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tmp" ContentType="image/jpe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media/image13.tmp" ContentType="image/png"/>
  <Override PartName="/xl/media/image14.tmp" ContentType="image/png"/>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Tech 1 - TL Francisco Puebla/Uber/"/>
    </mc:Choice>
  </mc:AlternateContent>
  <xr:revisionPtr revIDLastSave="940" documentId="1_{3BBC834D-1223-4191-A8C7-A64D2658C69B}" xr6:coauthVersionLast="47" xr6:coauthVersionMax="47" xr10:uidLastSave="{7E26C030-9370-448A-B10B-B18C9E44596A}"/>
  <bookViews>
    <workbookView xWindow="0" yWindow="500" windowWidth="28800" windowHeight="16340" tabRatio="644" firstSheet="5" activeTab="9" xr2:uid="{00000000-000D-0000-FFFF-FFFF00000000}"/>
  </bookViews>
  <sheets>
    <sheet name="OP" sheetId="1" r:id="rId1"/>
    <sheet name="Segments" sheetId="3" r:id="rId2"/>
    <sheet name="Acuerdo" sheetId="11" state="hidden" r:id="rId3"/>
    <sheet name="Peers" sheetId="10" r:id="rId4"/>
    <sheet name="ESG" sheetId="19" r:id="rId5"/>
    <sheet name="DCF" sheetId="4" r:id="rId6"/>
    <sheet name="Assumptions" sheetId="21" r:id="rId7"/>
    <sheet name="Fin. Data" sheetId="16" r:id="rId8"/>
    <sheet name="Fin. Data (Common Size)" sheetId="20" r:id="rId9"/>
    <sheet name="Inputs" sheetId="17" r:id="rId10"/>
    <sheet name="Growth Industry Averages" sheetId="23" r:id="rId11"/>
    <sheet name="Sector Impact" sheetId="18" state="hidden" r:id="rId12"/>
    <sheet name="Industry Averages" sheetId="22" r:id="rId13"/>
  </sheets>
  <definedNames>
    <definedName name="_msoanchor_1" localSheetId="1">Segments!$C$5</definedName>
    <definedName name="_xlnm.Print_Area" localSheetId="0">OP!$A$1:$M$79</definedName>
    <definedName name="_xlnm.Print_Area" localSheetId="1">Segments!#REF!</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21" l="1"/>
  <c r="Y5" i="4"/>
  <c r="Z5" i="4" s="1"/>
  <c r="AA5" i="4" s="1"/>
  <c r="AB5" i="4" s="1"/>
  <c r="AC5" i="4" s="1"/>
  <c r="AD5" i="4" s="1"/>
  <c r="AE5" i="4" s="1"/>
  <c r="AF5" i="4" s="1"/>
  <c r="B15" i="17" l="1"/>
  <c r="H104" i="1"/>
  <c r="M104" i="1"/>
  <c r="L104" i="1"/>
  <c r="J104" i="1"/>
  <c r="M17" i="1"/>
  <c r="M11" i="21"/>
  <c r="V99" i="21"/>
  <c r="M113" i="21"/>
  <c r="M110" i="21"/>
  <c r="M121" i="21"/>
  <c r="D40" i="3" l="1"/>
  <c r="E64" i="4"/>
  <c r="D32" i="10"/>
  <c r="D33" i="10"/>
  <c r="D16" i="10"/>
  <c r="E16" i="10"/>
  <c r="C56" i="10"/>
  <c r="C110" i="21"/>
  <c r="E39" i="4"/>
  <c r="F39" i="4"/>
  <c r="D39" i="4"/>
  <c r="L130" i="21"/>
  <c r="D41" i="4" s="1"/>
  <c r="N130" i="21"/>
  <c r="F41" i="4" s="1"/>
  <c r="M130" i="21"/>
  <c r="E41" i="4" s="1"/>
  <c r="G94" i="21"/>
  <c r="K94" i="21"/>
  <c r="L94" i="21" s="1"/>
  <c r="M94" i="21" s="1"/>
  <c r="N94" i="21" s="1"/>
  <c r="O94" i="21" s="1"/>
  <c r="P94" i="21" s="1"/>
  <c r="Q94" i="21" s="1"/>
  <c r="R94" i="21" s="1"/>
  <c r="S94" i="21" s="1"/>
  <c r="T94" i="21" s="1"/>
  <c r="U94" i="21" s="1"/>
  <c r="V94" i="21" s="1"/>
  <c r="W94" i="21" s="1"/>
  <c r="X94" i="21" s="1"/>
  <c r="Y94" i="21" s="1"/>
  <c r="Z94" i="21" s="1"/>
  <c r="AA94" i="21" s="1"/>
  <c r="AB94" i="21" s="1"/>
  <c r="AC94" i="21" s="1"/>
  <c r="AD94" i="21" s="1"/>
  <c r="AE94" i="21" s="1"/>
  <c r="AF94" i="21" s="1"/>
  <c r="AG94" i="21" s="1"/>
  <c r="AH94" i="21" s="1"/>
  <c r="AI94" i="21" s="1"/>
  <c r="H94" i="21" l="1"/>
  <c r="S97" i="21" s="1"/>
  <c r="L78" i="21"/>
  <c r="M78" i="21" s="1"/>
  <c r="N78" i="21" s="1"/>
  <c r="O78" i="21" s="1"/>
  <c r="P78" i="21" s="1"/>
  <c r="Q78" i="21" s="1"/>
  <c r="R78" i="21" s="1"/>
  <c r="E65" i="4" l="1"/>
  <c r="S78" i="21"/>
  <c r="T78" i="21" s="1"/>
  <c r="U78" i="21" s="1"/>
  <c r="V78" i="21" s="1"/>
  <c r="W78" i="21" s="1"/>
  <c r="W79" i="21" s="1"/>
  <c r="F28" i="4"/>
  <c r="F19" i="1" l="1"/>
  <c r="F20" i="1"/>
  <c r="F21" i="1"/>
  <c r="F18" i="1"/>
  <c r="E70" i="10" l="1"/>
  <c r="F70" i="10"/>
  <c r="D70" i="10"/>
  <c r="T69" i="21"/>
  <c r="U69" i="21"/>
  <c r="V69" i="21"/>
  <c r="W69" i="21"/>
  <c r="X69" i="21"/>
  <c r="Y69" i="21"/>
  <c r="Z69" i="21"/>
  <c r="AA69" i="21"/>
  <c r="AB69" i="21"/>
  <c r="AC69" i="21"/>
  <c r="AD69" i="21"/>
  <c r="AE69" i="21"/>
  <c r="AF69" i="21"/>
  <c r="AG69" i="21"/>
  <c r="AH69" i="21"/>
  <c r="S69" i="21"/>
  <c r="T65" i="21"/>
  <c r="U65" i="21"/>
  <c r="V65" i="21"/>
  <c r="W65" i="21"/>
  <c r="X65" i="21"/>
  <c r="Y65" i="21"/>
  <c r="Z65" i="21"/>
  <c r="AA65" i="21"/>
  <c r="AB65" i="21"/>
  <c r="AC65" i="21"/>
  <c r="AD65" i="21"/>
  <c r="AE65" i="21"/>
  <c r="AF65" i="21"/>
  <c r="AG65" i="21"/>
  <c r="AH65" i="21"/>
  <c r="S65" i="21"/>
  <c r="D56" i="17"/>
  <c r="F72" i="21" s="1"/>
  <c r="B56" i="17"/>
  <c r="H72" i="21" s="1"/>
  <c r="C56" i="17"/>
  <c r="G72" i="21" s="1"/>
  <c r="H68" i="21"/>
  <c r="G68" i="21"/>
  <c r="F68" i="21"/>
  <c r="E68" i="21"/>
  <c r="D68" i="21"/>
  <c r="C72" i="21"/>
  <c r="H64" i="21"/>
  <c r="G64" i="21"/>
  <c r="F64" i="21"/>
  <c r="E64" i="21"/>
  <c r="D64" i="21"/>
  <c r="J63" i="21"/>
  <c r="K63" i="21" s="1"/>
  <c r="L63" i="21" s="1"/>
  <c r="M63" i="21" s="1"/>
  <c r="N63" i="21" s="1"/>
  <c r="O63" i="21" s="1"/>
  <c r="P63" i="21" s="1"/>
  <c r="Q63" i="21" s="1"/>
  <c r="R63" i="21" s="1"/>
  <c r="S63" i="21" s="1"/>
  <c r="T63" i="21" s="1"/>
  <c r="U63" i="21" s="1"/>
  <c r="V63" i="21" s="1"/>
  <c r="W63" i="21" s="1"/>
  <c r="X63" i="21" s="1"/>
  <c r="Y63" i="21" s="1"/>
  <c r="Z63" i="21" s="1"/>
  <c r="AA63" i="21" s="1"/>
  <c r="AB63" i="21" s="1"/>
  <c r="AC63" i="21" s="1"/>
  <c r="AD63" i="21" s="1"/>
  <c r="AE63" i="21" s="1"/>
  <c r="AF63" i="21" s="1"/>
  <c r="AG63" i="21" s="1"/>
  <c r="AH63" i="21" s="1"/>
  <c r="J82" i="21"/>
  <c r="K82" i="21" s="1"/>
  <c r="L82" i="21" s="1"/>
  <c r="M82" i="21" s="1"/>
  <c r="N82" i="21" s="1"/>
  <c r="O82" i="21" s="1"/>
  <c r="P82" i="21" s="1"/>
  <c r="Q82" i="21" s="1"/>
  <c r="R82" i="21" s="1"/>
  <c r="S82" i="21" s="1"/>
  <c r="T82" i="21" s="1"/>
  <c r="U82" i="21" s="1"/>
  <c r="V82" i="21" s="1"/>
  <c r="W82" i="21" s="1"/>
  <c r="X82" i="21" s="1"/>
  <c r="Y82" i="21" s="1"/>
  <c r="Z82" i="21" s="1"/>
  <c r="AA82" i="21" s="1"/>
  <c r="AB82" i="21" s="1"/>
  <c r="AC82" i="21" s="1"/>
  <c r="AD82" i="21" s="1"/>
  <c r="AE82" i="21" s="1"/>
  <c r="AF82" i="21" s="1"/>
  <c r="AG82" i="21" s="1"/>
  <c r="AH82" i="21" s="1"/>
  <c r="N113" i="21"/>
  <c r="O113" i="21"/>
  <c r="M112" i="21"/>
  <c r="M115" i="21" s="1"/>
  <c r="N112" i="21"/>
  <c r="O112" i="21"/>
  <c r="O110" i="21"/>
  <c r="N110" i="21"/>
  <c r="N121" i="21"/>
  <c r="O121" i="21"/>
  <c r="L121" i="21"/>
  <c r="N103" i="21"/>
  <c r="O103" i="21" s="1"/>
  <c r="P103" i="21" s="1"/>
  <c r="Q103" i="21" s="1"/>
  <c r="R103" i="21" s="1"/>
  <c r="S103" i="21" s="1"/>
  <c r="T103" i="21" s="1"/>
  <c r="U103" i="21" s="1"/>
  <c r="V103" i="21" s="1"/>
  <c r="W103" i="21" s="1"/>
  <c r="X103" i="21" s="1"/>
  <c r="Y103" i="21" s="1"/>
  <c r="Z103" i="21" s="1"/>
  <c r="AA103" i="21" s="1"/>
  <c r="AB103" i="21" s="1"/>
  <c r="AC103" i="21" s="1"/>
  <c r="AD103" i="21" s="1"/>
  <c r="AE103" i="21" s="1"/>
  <c r="AF103" i="21" s="1"/>
  <c r="AG103" i="21" s="1"/>
  <c r="AH103" i="21" s="1"/>
  <c r="AI103" i="21" s="1"/>
  <c r="AJ103" i="21" s="1"/>
  <c r="AK103" i="21" s="1"/>
  <c r="AL103" i="21" s="1"/>
  <c r="AM103" i="21" s="1"/>
  <c r="AN103" i="21" s="1"/>
  <c r="AO103" i="21" s="1"/>
  <c r="E65" i="21" l="1"/>
  <c r="F69" i="21"/>
  <c r="H69" i="21"/>
  <c r="F65" i="21"/>
  <c r="H65" i="21"/>
  <c r="E69" i="21"/>
  <c r="G69" i="21"/>
  <c r="M117" i="21"/>
  <c r="D21" i="4" s="1"/>
  <c r="G65" i="21"/>
  <c r="O115" i="21"/>
  <c r="N115" i="21"/>
  <c r="N117" i="21" s="1"/>
  <c r="P110" i="21"/>
  <c r="H66" i="21" l="1"/>
  <c r="I65" i="21" s="1"/>
  <c r="I64" i="21" s="1"/>
  <c r="O117" i="21"/>
  <c r="F21" i="4" s="1"/>
  <c r="E21" i="4"/>
  <c r="AB78" i="21" l="1"/>
  <c r="AC78" i="21"/>
  <c r="AE78" i="21"/>
  <c r="AG78" i="21"/>
  <c r="AD78" i="21"/>
  <c r="X78" i="21"/>
  <c r="AF78" i="21"/>
  <c r="AH78" i="21"/>
  <c r="Y78" i="21"/>
  <c r="Z78" i="21"/>
  <c r="AA78" i="21"/>
  <c r="D35" i="10" l="1"/>
  <c r="E35" i="10"/>
  <c r="F35" i="10"/>
  <c r="F34" i="10"/>
  <c r="D34" i="10"/>
  <c r="E34" i="10"/>
  <c r="D23" i="17"/>
  <c r="C23" i="17"/>
  <c r="E23" i="17"/>
  <c r="F23" i="17"/>
  <c r="G23" i="17"/>
  <c r="B23" i="17"/>
  <c r="F22" i="17" l="1"/>
  <c r="D58" i="21" s="1"/>
  <c r="B22" i="17"/>
  <c r="D11" i="4"/>
  <c r="D77" i="17"/>
  <c r="C77" i="17"/>
  <c r="B77" i="17"/>
  <c r="B75" i="16"/>
  <c r="B13" i="17" l="1"/>
  <c r="N5" i="3" l="1"/>
  <c r="C15" i="17"/>
  <c r="D15" i="17"/>
  <c r="E15" i="17"/>
  <c r="F15" i="17"/>
  <c r="G15" i="17"/>
  <c r="J87" i="21" l="1"/>
  <c r="K87" i="21" s="1"/>
  <c r="L87" i="21" s="1"/>
  <c r="M87" i="21" s="1"/>
  <c r="N87" i="21" s="1"/>
  <c r="O87" i="21" s="1"/>
  <c r="P87" i="21" s="1"/>
  <c r="Q87" i="21" s="1"/>
  <c r="R87" i="21" s="1"/>
  <c r="S87" i="21" s="1"/>
  <c r="T87" i="21" s="1"/>
  <c r="U87" i="21" s="1"/>
  <c r="V87" i="21" s="1"/>
  <c r="W87" i="21" s="1"/>
  <c r="X87" i="21" s="1"/>
  <c r="Y87" i="21" s="1"/>
  <c r="Z87" i="21" s="1"/>
  <c r="AA87" i="21" s="1"/>
  <c r="AB87" i="21" s="1"/>
  <c r="AC87" i="21" s="1"/>
  <c r="AD87" i="21" s="1"/>
  <c r="AE87" i="21" s="1"/>
  <c r="AF87" i="21" s="1"/>
  <c r="AG87" i="21" s="1"/>
  <c r="AH87" i="21" s="1"/>
  <c r="F50" i="4"/>
  <c r="E67" i="4" l="1"/>
  <c r="D67" i="4"/>
  <c r="H58" i="21" l="1"/>
  <c r="F66" i="17" l="1"/>
  <c r="E66" i="17"/>
  <c r="E67" i="17" s="1"/>
  <c r="D66" i="17"/>
  <c r="D24" i="4" s="1"/>
  <c r="C66" i="17"/>
  <c r="C70" i="16" s="1"/>
  <c r="B66" i="17"/>
  <c r="B67" i="17" s="1"/>
  <c r="F25" i="4" s="1"/>
  <c r="D18" i="10"/>
  <c r="C51" i="21"/>
  <c r="B15" i="16"/>
  <c r="B54" i="16"/>
  <c r="B53" i="16"/>
  <c r="C71" i="17"/>
  <c r="E27" i="4" s="1"/>
  <c r="D71" i="17"/>
  <c r="F88" i="21" s="1"/>
  <c r="E71" i="17"/>
  <c r="E88" i="21" s="1"/>
  <c r="F71" i="17"/>
  <c r="D88" i="21" s="1"/>
  <c r="G71" i="17"/>
  <c r="G75" i="17" s="1"/>
  <c r="B71" i="17"/>
  <c r="B75" i="17" s="1"/>
  <c r="F31" i="4" s="1"/>
  <c r="D70" i="17"/>
  <c r="D28" i="4" s="1"/>
  <c r="J77" i="21"/>
  <c r="K77" i="21" s="1"/>
  <c r="L77" i="21" s="1"/>
  <c r="M77" i="21" s="1"/>
  <c r="N77" i="21" s="1"/>
  <c r="O77" i="21" s="1"/>
  <c r="P77" i="21" s="1"/>
  <c r="Q77" i="21" s="1"/>
  <c r="R77" i="21" s="1"/>
  <c r="S77" i="21" s="1"/>
  <c r="T77" i="21" s="1"/>
  <c r="U77" i="21" s="1"/>
  <c r="V77" i="21" s="1"/>
  <c r="W77" i="21" s="1"/>
  <c r="X77" i="21" s="1"/>
  <c r="Y77" i="21" s="1"/>
  <c r="Z77" i="21" s="1"/>
  <c r="AA77" i="21" s="1"/>
  <c r="AB77" i="21" s="1"/>
  <c r="AC77" i="21" s="1"/>
  <c r="AD77" i="21" s="1"/>
  <c r="AE77" i="21" s="1"/>
  <c r="AF77" i="21" s="1"/>
  <c r="AG77" i="21" s="1"/>
  <c r="AH77" i="21" s="1"/>
  <c r="H51" i="21"/>
  <c r="G51" i="21"/>
  <c r="F51" i="21"/>
  <c r="E51" i="21"/>
  <c r="D51" i="21"/>
  <c r="J57" i="21"/>
  <c r="K57" i="21" s="1"/>
  <c r="L57" i="21" s="1"/>
  <c r="M57" i="21" s="1"/>
  <c r="N57" i="21" s="1"/>
  <c r="O57" i="21" s="1"/>
  <c r="P57" i="21" s="1"/>
  <c r="Q57" i="21" s="1"/>
  <c r="R57" i="21" s="1"/>
  <c r="S57" i="21" s="1"/>
  <c r="T57" i="21" s="1"/>
  <c r="U57" i="21" s="1"/>
  <c r="V57" i="21" s="1"/>
  <c r="W57" i="21" s="1"/>
  <c r="X57" i="21" s="1"/>
  <c r="Y57" i="21" s="1"/>
  <c r="Z57" i="21" s="1"/>
  <c r="AA57" i="21" s="1"/>
  <c r="AB57" i="21" s="1"/>
  <c r="AC57" i="21" s="1"/>
  <c r="AD57" i="21" s="1"/>
  <c r="AE57" i="21" s="1"/>
  <c r="AF57" i="21" s="1"/>
  <c r="AG57" i="21" s="1"/>
  <c r="AH57" i="21" s="1"/>
  <c r="J50" i="21"/>
  <c r="K50" i="21" s="1"/>
  <c r="L50" i="21" s="1"/>
  <c r="M50" i="21" s="1"/>
  <c r="N50" i="21" s="1"/>
  <c r="O50" i="21" s="1"/>
  <c r="P50" i="21" s="1"/>
  <c r="Q50" i="21" s="1"/>
  <c r="R50" i="21" s="1"/>
  <c r="S50" i="21" s="1"/>
  <c r="T50" i="21" s="1"/>
  <c r="U50" i="21" s="1"/>
  <c r="V50" i="21" s="1"/>
  <c r="W50" i="21" s="1"/>
  <c r="X50" i="21" s="1"/>
  <c r="Y50" i="21" s="1"/>
  <c r="Z50" i="21" s="1"/>
  <c r="AA50" i="21" s="1"/>
  <c r="AB50" i="21" s="1"/>
  <c r="AC50" i="21" s="1"/>
  <c r="AD50" i="21" s="1"/>
  <c r="AE50" i="21" s="1"/>
  <c r="AF50" i="21" s="1"/>
  <c r="AG50" i="21" s="1"/>
  <c r="AH50" i="21" s="1"/>
  <c r="E58" i="4"/>
  <c r="D58" i="4"/>
  <c r="E57" i="4"/>
  <c r="H130" i="21"/>
  <c r="D56" i="4" s="1"/>
  <c r="H139" i="21"/>
  <c r="W11" i="21"/>
  <c r="R11" i="21"/>
  <c r="AA10" i="21"/>
  <c r="AB10" i="21" s="1"/>
  <c r="AC10" i="21" s="1"/>
  <c r="J30" i="21"/>
  <c r="K30" i="21" s="1"/>
  <c r="L30" i="21" s="1"/>
  <c r="M30" i="21" s="1"/>
  <c r="N30" i="21" s="1"/>
  <c r="O30" i="21" s="1"/>
  <c r="P30" i="21" s="1"/>
  <c r="Q30" i="21" s="1"/>
  <c r="R30" i="21" s="1"/>
  <c r="S30" i="21" s="1"/>
  <c r="T30" i="21" s="1"/>
  <c r="U30" i="21" s="1"/>
  <c r="V30" i="21" s="1"/>
  <c r="W30" i="21" s="1"/>
  <c r="X30" i="21" s="1"/>
  <c r="Y30" i="21" s="1"/>
  <c r="Z30" i="21" s="1"/>
  <c r="AA30" i="21" s="1"/>
  <c r="AB30" i="21" s="1"/>
  <c r="AC30" i="21" s="1"/>
  <c r="AD30" i="21" s="1"/>
  <c r="AE30" i="21" s="1"/>
  <c r="AF30" i="21" s="1"/>
  <c r="AG30" i="21" s="1"/>
  <c r="AH30" i="21" s="1"/>
  <c r="F11" i="4"/>
  <c r="E11" i="4"/>
  <c r="J23" i="21"/>
  <c r="K23" i="21" s="1"/>
  <c r="L23" i="21" s="1"/>
  <c r="J8" i="21"/>
  <c r="K8" i="21" s="1"/>
  <c r="L8" i="21" s="1"/>
  <c r="M8" i="21" s="1"/>
  <c r="N8" i="21" s="1"/>
  <c r="O8" i="21" s="1"/>
  <c r="P8" i="21" s="1"/>
  <c r="Q8" i="21" s="1"/>
  <c r="R8" i="21" s="1"/>
  <c r="S8" i="21" s="1"/>
  <c r="T8" i="21" s="1"/>
  <c r="U8" i="21" s="1"/>
  <c r="V8" i="21" s="1"/>
  <c r="W8" i="21" s="1"/>
  <c r="X8" i="21" s="1"/>
  <c r="Y8" i="21" s="1"/>
  <c r="Z8" i="21" s="1"/>
  <c r="AA8" i="21" s="1"/>
  <c r="AB8" i="21" s="1"/>
  <c r="AC8" i="21" s="1"/>
  <c r="AD8" i="21" s="1"/>
  <c r="AE8" i="21" s="1"/>
  <c r="AF8" i="21" s="1"/>
  <c r="AG8" i="21" s="1"/>
  <c r="AH8" i="21" s="1"/>
  <c r="J16" i="21"/>
  <c r="K16" i="21" s="1"/>
  <c r="L16" i="21" s="1"/>
  <c r="M16" i="21" s="1"/>
  <c r="N16" i="21" s="1"/>
  <c r="O16" i="21" s="1"/>
  <c r="P16" i="21" s="1"/>
  <c r="Q16" i="21" s="1"/>
  <c r="R16" i="21" s="1"/>
  <c r="S16" i="21" s="1"/>
  <c r="T16" i="21" s="1"/>
  <c r="U16" i="21" s="1"/>
  <c r="V16" i="21" s="1"/>
  <c r="W16" i="21" s="1"/>
  <c r="X16" i="21" s="1"/>
  <c r="Y16" i="21" s="1"/>
  <c r="Z16" i="21" s="1"/>
  <c r="AA16" i="21" s="1"/>
  <c r="AB16" i="21" s="1"/>
  <c r="AC16" i="21" s="1"/>
  <c r="AD16" i="21" s="1"/>
  <c r="AE16" i="21" s="1"/>
  <c r="AF16" i="21" s="1"/>
  <c r="AG16" i="21" s="1"/>
  <c r="AH16" i="21" s="1"/>
  <c r="M11" i="19"/>
  <c r="M9" i="19" s="1"/>
  <c r="N11" i="19"/>
  <c r="N6" i="19" s="1"/>
  <c r="O11" i="19"/>
  <c r="O6" i="19" s="1"/>
  <c r="L11" i="19"/>
  <c r="L6" i="19" s="1"/>
  <c r="B14" i="17"/>
  <c r="B5" i="16"/>
  <c r="H9" i="21" s="1"/>
  <c r="C33" i="10"/>
  <c r="F6" i="4"/>
  <c r="E6" i="4"/>
  <c r="D6" i="4"/>
  <c r="L5" i="3"/>
  <c r="M5" i="3"/>
  <c r="L6" i="3"/>
  <c r="M6" i="3"/>
  <c r="N6" i="3"/>
  <c r="L7" i="3"/>
  <c r="M7" i="3"/>
  <c r="N7" i="3"/>
  <c r="L8" i="3"/>
  <c r="M8" i="3"/>
  <c r="N8" i="3"/>
  <c r="K6" i="3"/>
  <c r="K7" i="3"/>
  <c r="K8" i="3"/>
  <c r="N16" i="3"/>
  <c r="M16" i="3"/>
  <c r="B13" i="3"/>
  <c r="B2" i="3"/>
  <c r="H11" i="3"/>
  <c r="D32" i="17"/>
  <c r="E32" i="17"/>
  <c r="E36" i="17" s="1"/>
  <c r="F32" i="17"/>
  <c r="G32" i="17"/>
  <c r="C60" i="17"/>
  <c r="C63" i="17" s="1"/>
  <c r="D60" i="17"/>
  <c r="D63" i="17" s="1"/>
  <c r="E60" i="17"/>
  <c r="E63" i="17" s="1"/>
  <c r="F60" i="17"/>
  <c r="F63" i="17" s="1"/>
  <c r="G60" i="17"/>
  <c r="G63" i="17" s="1"/>
  <c r="B60" i="17"/>
  <c r="B63" i="17" s="1"/>
  <c r="E47" i="17"/>
  <c r="F47" i="17"/>
  <c r="G47" i="17"/>
  <c r="G42" i="10"/>
  <c r="G44" i="10"/>
  <c r="E2" i="1"/>
  <c r="F20" i="10"/>
  <c r="E20" i="10"/>
  <c r="D20" i="10"/>
  <c r="F50" i="1"/>
  <c r="F49" i="1"/>
  <c r="E77" i="17"/>
  <c r="F48" i="1" s="1"/>
  <c r="F77" i="17"/>
  <c r="F47" i="1" s="1"/>
  <c r="G77" i="17"/>
  <c r="F46" i="1" s="1"/>
  <c r="F45" i="1"/>
  <c r="F44" i="1"/>
  <c r="F43" i="1"/>
  <c r="F51" i="1"/>
  <c r="F43" i="10" a="1"/>
  <c r="F43" i="10" s="1"/>
  <c r="F45" i="10" s="1"/>
  <c r="E43" i="10" a="1"/>
  <c r="E43" i="10" s="1"/>
  <c r="E45" i="10" s="1"/>
  <c r="D43" i="10" a="1"/>
  <c r="D43" i="10" s="1"/>
  <c r="D45" i="10" s="1"/>
  <c r="E26" i="10"/>
  <c r="P9" i="19"/>
  <c r="P8" i="19"/>
  <c r="P7" i="19"/>
  <c r="P6" i="19"/>
  <c r="C22" i="17"/>
  <c r="G58" i="21" s="1"/>
  <c r="F25" i="1"/>
  <c r="F26" i="1"/>
  <c r="F27" i="1"/>
  <c r="F24" i="1"/>
  <c r="E28" i="4"/>
  <c r="D73" i="4"/>
  <c r="F46" i="17"/>
  <c r="C32" i="17"/>
  <c r="C8" i="19"/>
  <c r="Q6" i="19"/>
  <c r="Q7" i="19"/>
  <c r="Q8" i="19"/>
  <c r="Q9" i="19"/>
  <c r="L7" i="19"/>
  <c r="L8" i="19"/>
  <c r="L16" i="3"/>
  <c r="L17" i="3"/>
  <c r="M17" i="3"/>
  <c r="N17" i="3"/>
  <c r="L18" i="3"/>
  <c r="M18" i="3"/>
  <c r="N18" i="3"/>
  <c r="L19" i="3"/>
  <c r="M19" i="3"/>
  <c r="N19" i="3"/>
  <c r="K17" i="3"/>
  <c r="K18" i="3"/>
  <c r="K19" i="3"/>
  <c r="K16" i="3"/>
  <c r="K5" i="3"/>
  <c r="C6" i="19"/>
  <c r="D20" i="3"/>
  <c r="B18" i="3" s="1"/>
  <c r="H26" i="1" s="1"/>
  <c r="H4" i="4"/>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D9" i="10"/>
  <c r="E9" i="10"/>
  <c r="F9" i="10"/>
  <c r="D11" i="10"/>
  <c r="E11" i="10"/>
  <c r="F11" i="10"/>
  <c r="D12" i="10"/>
  <c r="E12" i="10"/>
  <c r="F12" i="10"/>
  <c r="D13" i="10"/>
  <c r="E13" i="10"/>
  <c r="F13" i="10"/>
  <c r="D14" i="10"/>
  <c r="E14" i="10"/>
  <c r="F14" i="10"/>
  <c r="D15" i="10"/>
  <c r="E15" i="10"/>
  <c r="F15" i="10"/>
  <c r="F16" i="10"/>
  <c r="E18" i="10"/>
  <c r="F18" i="10"/>
  <c r="D19" i="10"/>
  <c r="E19" i="10"/>
  <c r="F19" i="10"/>
  <c r="D22" i="10"/>
  <c r="E22" i="10"/>
  <c r="F22" i="10"/>
  <c r="D23" i="10"/>
  <c r="E23" i="10"/>
  <c r="F23" i="10"/>
  <c r="D25" i="10"/>
  <c r="E25" i="10"/>
  <c r="F25" i="10"/>
  <c r="D26" i="10"/>
  <c r="F26" i="10"/>
  <c r="D27" i="10"/>
  <c r="E27" i="10"/>
  <c r="F27" i="10"/>
  <c r="D28" i="10"/>
  <c r="E28" i="10"/>
  <c r="F28" i="10"/>
  <c r="D29" i="10"/>
  <c r="E29" i="10"/>
  <c r="F29" i="10"/>
  <c r="D31" i="10"/>
  <c r="E31" i="10"/>
  <c r="F31" i="10"/>
  <c r="E32" i="10"/>
  <c r="F32" i="10"/>
  <c r="E33" i="10"/>
  <c r="F33" i="10"/>
  <c r="C38" i="10"/>
  <c r="C37" i="10"/>
  <c r="G7" i="10"/>
  <c r="G36" i="10"/>
  <c r="C66" i="10"/>
  <c r="C65" i="10"/>
  <c r="E20" i="3"/>
  <c r="F20" i="3"/>
  <c r="G20" i="3"/>
  <c r="H20" i="3"/>
  <c r="P20" i="3"/>
  <c r="E11" i="3"/>
  <c r="F11" i="3"/>
  <c r="I11" i="3"/>
  <c r="P11" i="3" s="1"/>
  <c r="K15" i="3"/>
  <c r="L15" i="3" s="1"/>
  <c r="M15" i="3" s="1"/>
  <c r="N15" i="3" s="1"/>
  <c r="O15" i="3" s="1"/>
  <c r="P15" i="3" s="1"/>
  <c r="K4" i="3"/>
  <c r="L4" i="3" s="1"/>
  <c r="M4" i="3" s="1"/>
  <c r="N4" i="3" s="1"/>
  <c r="O4" i="3" s="1"/>
  <c r="P4" i="3" s="1"/>
  <c r="D15" i="3"/>
  <c r="E15" i="3" s="1"/>
  <c r="F15" i="3" s="1"/>
  <c r="G15" i="3" s="1"/>
  <c r="H15" i="3" s="1"/>
  <c r="I15"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B70" i="16"/>
  <c r="M69" i="16"/>
  <c r="L69" i="16"/>
  <c r="K69" i="16"/>
  <c r="J69" i="16"/>
  <c r="I69" i="16"/>
  <c r="H69" i="16"/>
  <c r="G69" i="16"/>
  <c r="F69" i="16"/>
  <c r="E69" i="16"/>
  <c r="D69" i="16"/>
  <c r="C69" i="16"/>
  <c r="B69" i="16"/>
  <c r="B23" i="16"/>
  <c r="F17" i="4" s="1"/>
  <c r="M73" i="20"/>
  <c r="L73" i="20"/>
  <c r="K73" i="20"/>
  <c r="J73" i="20"/>
  <c r="I73" i="20"/>
  <c r="H73" i="20"/>
  <c r="G73" i="20"/>
  <c r="F73" i="20"/>
  <c r="E73" i="20"/>
  <c r="D73" i="20"/>
  <c r="C73" i="20"/>
  <c r="B73" i="20"/>
  <c r="M72" i="20"/>
  <c r="L72" i="20"/>
  <c r="K72" i="20"/>
  <c r="J72" i="20"/>
  <c r="I72" i="20"/>
  <c r="H72" i="20"/>
  <c r="G72" i="20"/>
  <c r="F72" i="20"/>
  <c r="E72" i="20"/>
  <c r="D72" i="20"/>
  <c r="C72" i="20"/>
  <c r="B72" i="20"/>
  <c r="M71" i="20"/>
  <c r="L71" i="20"/>
  <c r="K71" i="20"/>
  <c r="J71" i="20"/>
  <c r="I71" i="20"/>
  <c r="H71" i="20"/>
  <c r="G71" i="20"/>
  <c r="F71" i="20"/>
  <c r="E71" i="20"/>
  <c r="D71" i="20"/>
  <c r="C71" i="20"/>
  <c r="M70" i="20"/>
  <c r="L70" i="20"/>
  <c r="K70" i="20"/>
  <c r="J70" i="20"/>
  <c r="I70" i="20"/>
  <c r="H70" i="20"/>
  <c r="G70" i="20"/>
  <c r="F70" i="20"/>
  <c r="E70" i="20"/>
  <c r="D70" i="20"/>
  <c r="C70" i="20"/>
  <c r="M69" i="20"/>
  <c r="L69" i="20"/>
  <c r="K69" i="20"/>
  <c r="J69" i="20"/>
  <c r="I69" i="20"/>
  <c r="H69" i="20"/>
  <c r="G69" i="20"/>
  <c r="F69" i="20"/>
  <c r="E69" i="20"/>
  <c r="D69" i="20"/>
  <c r="C69" i="20"/>
  <c r="M68" i="20"/>
  <c r="L68" i="20"/>
  <c r="K68" i="20"/>
  <c r="J68" i="20"/>
  <c r="I68" i="20"/>
  <c r="H68" i="20"/>
  <c r="G68" i="20"/>
  <c r="F68" i="20"/>
  <c r="E68" i="20"/>
  <c r="D68" i="20"/>
  <c r="C68" i="20"/>
  <c r="B68" i="20"/>
  <c r="M67" i="20"/>
  <c r="L67" i="20"/>
  <c r="K67" i="20"/>
  <c r="J67" i="20"/>
  <c r="I67" i="20"/>
  <c r="H67" i="20"/>
  <c r="G67" i="20"/>
  <c r="F67" i="20"/>
  <c r="E67" i="20"/>
  <c r="D67" i="20"/>
  <c r="C67" i="20"/>
  <c r="B67" i="20"/>
  <c r="M61" i="20"/>
  <c r="L61" i="20"/>
  <c r="K61" i="20"/>
  <c r="J61" i="20"/>
  <c r="I61" i="20"/>
  <c r="H61" i="20"/>
  <c r="G61" i="20"/>
  <c r="F61" i="20"/>
  <c r="E61" i="20"/>
  <c r="D61" i="20"/>
  <c r="C61" i="20"/>
  <c r="B61" i="20"/>
  <c r="M54" i="20"/>
  <c r="L54" i="20"/>
  <c r="K54" i="20"/>
  <c r="J54" i="20"/>
  <c r="I54" i="20"/>
  <c r="H54" i="20"/>
  <c r="G54" i="20"/>
  <c r="F54" i="20"/>
  <c r="E54" i="20"/>
  <c r="D54" i="20"/>
  <c r="C54" i="20"/>
  <c r="B54" i="20"/>
  <c r="M53" i="20"/>
  <c r="L53" i="20"/>
  <c r="K53" i="20"/>
  <c r="J53" i="20"/>
  <c r="I53" i="20"/>
  <c r="H53" i="20"/>
  <c r="G53" i="20"/>
  <c r="F53" i="20"/>
  <c r="E53" i="20"/>
  <c r="D53" i="20"/>
  <c r="C53" i="20"/>
  <c r="B53" i="20"/>
  <c r="M52" i="20"/>
  <c r="L52" i="20"/>
  <c r="J52" i="20"/>
  <c r="I52" i="20"/>
  <c r="H52" i="20"/>
  <c r="G52" i="20"/>
  <c r="F52" i="20"/>
  <c r="M50" i="20"/>
  <c r="L50" i="20"/>
  <c r="K50" i="20"/>
  <c r="J50" i="20"/>
  <c r="I50" i="20"/>
  <c r="H50" i="20"/>
  <c r="G50" i="20"/>
  <c r="F50" i="20"/>
  <c r="E50" i="20"/>
  <c r="D50" i="20"/>
  <c r="C50" i="20"/>
  <c r="B50" i="20"/>
  <c r="M49" i="20"/>
  <c r="L49" i="20"/>
  <c r="K49" i="20"/>
  <c r="J49" i="20"/>
  <c r="I49" i="20"/>
  <c r="H49" i="20"/>
  <c r="G49" i="20"/>
  <c r="F49" i="20"/>
  <c r="E49" i="20"/>
  <c r="D49" i="20"/>
  <c r="C49" i="20"/>
  <c r="B49" i="20"/>
  <c r="M48" i="20"/>
  <c r="L48" i="20"/>
  <c r="K48" i="20"/>
  <c r="J48" i="20"/>
  <c r="I48" i="20"/>
  <c r="H48" i="20"/>
  <c r="G48" i="20"/>
  <c r="F48" i="20"/>
  <c r="E48" i="20"/>
  <c r="D48" i="20"/>
  <c r="C48" i="20"/>
  <c r="B48" i="20"/>
  <c r="M42" i="20"/>
  <c r="L42" i="20"/>
  <c r="K42" i="20"/>
  <c r="J42" i="20"/>
  <c r="I42" i="20"/>
  <c r="H42" i="20"/>
  <c r="G42" i="20"/>
  <c r="F42" i="20"/>
  <c r="E42" i="20"/>
  <c r="D42" i="20"/>
  <c r="C42" i="20"/>
  <c r="B42" i="20"/>
  <c r="M41" i="20"/>
  <c r="L41" i="20"/>
  <c r="K41" i="20"/>
  <c r="J41" i="20"/>
  <c r="I41" i="20"/>
  <c r="H41" i="20"/>
  <c r="G41" i="20"/>
  <c r="F41" i="20"/>
  <c r="E41" i="20"/>
  <c r="D41" i="20"/>
  <c r="C41" i="20"/>
  <c r="B41" i="20"/>
  <c r="M40" i="20"/>
  <c r="L40" i="20"/>
  <c r="K40" i="20"/>
  <c r="J40" i="20"/>
  <c r="I40" i="20"/>
  <c r="H40" i="20"/>
  <c r="G40" i="20"/>
  <c r="F40" i="20"/>
  <c r="E40" i="20"/>
  <c r="D40" i="20"/>
  <c r="C40" i="20"/>
  <c r="B40" i="20"/>
  <c r="M39" i="20"/>
  <c r="M26" i="20" s="1"/>
  <c r="L39" i="20"/>
  <c r="K39" i="20"/>
  <c r="J39" i="20"/>
  <c r="I39" i="20"/>
  <c r="H39" i="20"/>
  <c r="G39" i="20"/>
  <c r="F39" i="20"/>
  <c r="E39" i="20"/>
  <c r="D39" i="20"/>
  <c r="C39" i="20"/>
  <c r="B39" i="20"/>
  <c r="M33" i="20"/>
  <c r="L33" i="20"/>
  <c r="K33" i="20"/>
  <c r="J33" i="20"/>
  <c r="I33" i="20"/>
  <c r="H33" i="20"/>
  <c r="G33" i="20"/>
  <c r="F33" i="20"/>
  <c r="E33" i="20"/>
  <c r="D33" i="20"/>
  <c r="C33" i="20"/>
  <c r="B33" i="20"/>
  <c r="M32" i="20"/>
  <c r="L32" i="20"/>
  <c r="K32" i="20"/>
  <c r="K34" i="20" s="1"/>
  <c r="J32" i="20"/>
  <c r="I32" i="20"/>
  <c r="H32" i="20"/>
  <c r="G32" i="20"/>
  <c r="F32" i="20"/>
  <c r="E32" i="20"/>
  <c r="D32" i="20"/>
  <c r="C32" i="20"/>
  <c r="B32" i="20"/>
  <c r="M28" i="20"/>
  <c r="L28" i="20"/>
  <c r="K28" i="20"/>
  <c r="J28" i="20"/>
  <c r="I28" i="20"/>
  <c r="H28" i="20"/>
  <c r="G28" i="20"/>
  <c r="F28" i="20"/>
  <c r="E28" i="20"/>
  <c r="D28" i="20"/>
  <c r="C28" i="20"/>
  <c r="B28" i="20"/>
  <c r="M27" i="20"/>
  <c r="L27" i="20"/>
  <c r="K27" i="20"/>
  <c r="K35" i="20" s="1"/>
  <c r="J27" i="20"/>
  <c r="I27" i="20"/>
  <c r="H27" i="20"/>
  <c r="G27" i="20"/>
  <c r="F27" i="20"/>
  <c r="E27" i="20"/>
  <c r="D27" i="20"/>
  <c r="C27" i="20"/>
  <c r="B27" i="20"/>
  <c r="M23" i="20"/>
  <c r="L23" i="20"/>
  <c r="K23" i="20"/>
  <c r="J23" i="20"/>
  <c r="I23" i="20"/>
  <c r="H23" i="20"/>
  <c r="G23" i="20"/>
  <c r="F23" i="20"/>
  <c r="E23" i="20"/>
  <c r="D23" i="20"/>
  <c r="C23" i="20"/>
  <c r="B23" i="20"/>
  <c r="M21" i="20"/>
  <c r="L21" i="20"/>
  <c r="K21" i="20"/>
  <c r="J21" i="20"/>
  <c r="I21" i="20"/>
  <c r="H21" i="20"/>
  <c r="G21" i="20"/>
  <c r="F21" i="20"/>
  <c r="E21" i="20"/>
  <c r="D21" i="20"/>
  <c r="C21" i="20"/>
  <c r="B21" i="20"/>
  <c r="M15" i="20"/>
  <c r="L15" i="20"/>
  <c r="K15" i="20"/>
  <c r="J15" i="20"/>
  <c r="I15" i="20"/>
  <c r="H15" i="20"/>
  <c r="G15" i="20"/>
  <c r="F15" i="20"/>
  <c r="E15" i="20"/>
  <c r="D15" i="20"/>
  <c r="C15" i="20"/>
  <c r="B15" i="20"/>
  <c r="M14" i="20"/>
  <c r="L14" i="20"/>
  <c r="K14" i="20"/>
  <c r="J14" i="20"/>
  <c r="I14" i="20"/>
  <c r="H14" i="20"/>
  <c r="G14" i="20"/>
  <c r="F14" i="20"/>
  <c r="E14" i="20"/>
  <c r="D14" i="20"/>
  <c r="C14" i="20"/>
  <c r="B14" i="20"/>
  <c r="M11" i="20"/>
  <c r="M16" i="20" s="1"/>
  <c r="L11" i="20"/>
  <c r="K11" i="20"/>
  <c r="J11" i="20"/>
  <c r="I11" i="20"/>
  <c r="H11" i="20"/>
  <c r="G11" i="20"/>
  <c r="F11" i="20"/>
  <c r="E11" i="20"/>
  <c r="D11" i="20"/>
  <c r="C11" i="20"/>
  <c r="B11" i="20"/>
  <c r="M7" i="20"/>
  <c r="L7" i="20"/>
  <c r="K7" i="20"/>
  <c r="J7" i="20"/>
  <c r="I7" i="20"/>
  <c r="H7" i="20"/>
  <c r="G7" i="20"/>
  <c r="F7" i="20"/>
  <c r="E7" i="20"/>
  <c r="D7" i="20"/>
  <c r="C7" i="20"/>
  <c r="B7" i="20"/>
  <c r="M5" i="20"/>
  <c r="M6" i="20" s="1"/>
  <c r="L5" i="20"/>
  <c r="K5" i="20"/>
  <c r="K9" i="20" s="1"/>
  <c r="K10" i="20" s="1"/>
  <c r="J5" i="20"/>
  <c r="J9" i="20" s="1"/>
  <c r="J10" i="20" s="1"/>
  <c r="I5" i="20"/>
  <c r="H5" i="20"/>
  <c r="G5" i="20"/>
  <c r="G9" i="20" s="1"/>
  <c r="G10" i="20" s="1"/>
  <c r="F5" i="20"/>
  <c r="F9" i="20" s="1"/>
  <c r="F10" i="20" s="1"/>
  <c r="E5" i="20"/>
  <c r="D5" i="20"/>
  <c r="C5" i="20"/>
  <c r="B5" i="20"/>
  <c r="B4" i="20"/>
  <c r="C4" i="20" s="1"/>
  <c r="A2" i="20"/>
  <c r="A1" i="20"/>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J52" i="16"/>
  <c r="I52" i="16"/>
  <c r="H52" i="16"/>
  <c r="G52" i="16"/>
  <c r="F52" i="16"/>
  <c r="C48" i="16"/>
  <c r="D48" i="16"/>
  <c r="E48" i="16"/>
  <c r="F48" i="16"/>
  <c r="G48" i="16"/>
  <c r="H48" i="16"/>
  <c r="I48" i="16"/>
  <c r="J48" i="16"/>
  <c r="K48" i="16"/>
  <c r="L48" i="16"/>
  <c r="M48" i="16"/>
  <c r="B48" i="16"/>
  <c r="M54" i="16"/>
  <c r="L54" i="16"/>
  <c r="K54" i="16"/>
  <c r="J54" i="16"/>
  <c r="I54" i="16"/>
  <c r="H54" i="16"/>
  <c r="G54" i="16"/>
  <c r="F54" i="16"/>
  <c r="E54" i="16"/>
  <c r="D54" i="16"/>
  <c r="C54" i="16"/>
  <c r="M53" i="16"/>
  <c r="L53" i="16"/>
  <c r="K53" i="16"/>
  <c r="J53" i="16"/>
  <c r="I53" i="16"/>
  <c r="H53" i="16"/>
  <c r="G53" i="16"/>
  <c r="F53" i="16"/>
  <c r="E53" i="16"/>
  <c r="D53" i="16"/>
  <c r="C53" i="16"/>
  <c r="M50" i="16"/>
  <c r="L50" i="16"/>
  <c r="K50" i="16"/>
  <c r="J50" i="16"/>
  <c r="I50" i="16"/>
  <c r="H50" i="16"/>
  <c r="G50" i="16"/>
  <c r="F50" i="16"/>
  <c r="E50" i="16"/>
  <c r="D50" i="16"/>
  <c r="C50" i="16"/>
  <c r="B50" i="16"/>
  <c r="M49" i="16"/>
  <c r="L49" i="16"/>
  <c r="K49" i="16"/>
  <c r="J49" i="16"/>
  <c r="I49" i="16"/>
  <c r="H49" i="16"/>
  <c r="G49" i="16"/>
  <c r="F49" i="16"/>
  <c r="E49" i="16"/>
  <c r="D49" i="16"/>
  <c r="C49" i="16"/>
  <c r="B49" i="16"/>
  <c r="B44" i="16"/>
  <c r="C64" i="10" s="1"/>
  <c r="M42" i="16"/>
  <c r="L42" i="16"/>
  <c r="K42" i="16"/>
  <c r="J42" i="16"/>
  <c r="I42" i="16"/>
  <c r="H42" i="16"/>
  <c r="G42" i="16"/>
  <c r="F42" i="16"/>
  <c r="E42" i="16"/>
  <c r="D42" i="16"/>
  <c r="C42" i="16"/>
  <c r="B42" i="16"/>
  <c r="C63" i="10" s="1"/>
  <c r="M41" i="16"/>
  <c r="L41" i="16"/>
  <c r="K41" i="16"/>
  <c r="J41" i="16"/>
  <c r="I41" i="16"/>
  <c r="H41" i="16"/>
  <c r="G41" i="16"/>
  <c r="F41" i="16"/>
  <c r="E41" i="16"/>
  <c r="D41" i="16"/>
  <c r="C41" i="16"/>
  <c r="B41" i="16"/>
  <c r="C61" i="10" s="1"/>
  <c r="M40" i="16"/>
  <c r="L40" i="16"/>
  <c r="K40" i="16"/>
  <c r="J40" i="16"/>
  <c r="I40" i="16"/>
  <c r="H40" i="16"/>
  <c r="G40" i="16"/>
  <c r="F40" i="16"/>
  <c r="E40" i="16"/>
  <c r="D40" i="16"/>
  <c r="C40" i="16"/>
  <c r="B40" i="16"/>
  <c r="C60" i="10" s="1"/>
  <c r="M39" i="16"/>
  <c r="M26" i="16" s="1"/>
  <c r="L39" i="16"/>
  <c r="K39" i="16"/>
  <c r="J39" i="16"/>
  <c r="I39" i="16"/>
  <c r="H39" i="16"/>
  <c r="G39" i="16"/>
  <c r="F39" i="16"/>
  <c r="E39" i="16"/>
  <c r="D39" i="16"/>
  <c r="C39" i="16"/>
  <c r="B39" i="16"/>
  <c r="M33" i="16"/>
  <c r="L33" i="16"/>
  <c r="K33" i="16"/>
  <c r="J33" i="16"/>
  <c r="I33" i="16"/>
  <c r="H33" i="16"/>
  <c r="G33" i="16"/>
  <c r="F33" i="16"/>
  <c r="E33" i="16"/>
  <c r="D33" i="16"/>
  <c r="C33" i="16"/>
  <c r="B33" i="16"/>
  <c r="G137" i="21" s="1"/>
  <c r="M32" i="16"/>
  <c r="L32" i="16"/>
  <c r="K32" i="16"/>
  <c r="J32" i="16"/>
  <c r="I32" i="16"/>
  <c r="H32" i="16"/>
  <c r="G32" i="16"/>
  <c r="F32" i="16"/>
  <c r="E32" i="16"/>
  <c r="D32" i="16"/>
  <c r="C32" i="16"/>
  <c r="E23" i="4" s="1"/>
  <c r="B32" i="16"/>
  <c r="G136" i="21" s="1"/>
  <c r="M28" i="16"/>
  <c r="L28" i="16"/>
  <c r="K28" i="16"/>
  <c r="J28" i="16"/>
  <c r="I28" i="16"/>
  <c r="H28" i="16"/>
  <c r="G28" i="16"/>
  <c r="F28" i="16"/>
  <c r="E28" i="16"/>
  <c r="D28" i="16"/>
  <c r="C28" i="16"/>
  <c r="B28" i="16"/>
  <c r="M27" i="16"/>
  <c r="L27" i="16"/>
  <c r="K27" i="16"/>
  <c r="J27" i="16"/>
  <c r="I27" i="16"/>
  <c r="H27" i="16"/>
  <c r="G27" i="16"/>
  <c r="F27" i="16"/>
  <c r="E27" i="16"/>
  <c r="D27" i="16"/>
  <c r="D30" i="4" s="1"/>
  <c r="C27" i="16"/>
  <c r="B27" i="16"/>
  <c r="F30" i="4" s="1"/>
  <c r="M23" i="16"/>
  <c r="L23" i="16"/>
  <c r="K23" i="16"/>
  <c r="J23" i="16"/>
  <c r="I23" i="16"/>
  <c r="H23" i="16"/>
  <c r="G23" i="16"/>
  <c r="F23" i="16"/>
  <c r="E23" i="16"/>
  <c r="D23" i="16"/>
  <c r="D17" i="4" s="1"/>
  <c r="C23" i="16"/>
  <c r="M21" i="16"/>
  <c r="L21" i="16"/>
  <c r="K21" i="16"/>
  <c r="J21" i="16"/>
  <c r="I21" i="16"/>
  <c r="H21" i="16"/>
  <c r="G21" i="16"/>
  <c r="F21" i="16"/>
  <c r="E21" i="16"/>
  <c r="D21" i="16"/>
  <c r="D16" i="4" s="1"/>
  <c r="C21" i="16"/>
  <c r="E16" i="4" s="1"/>
  <c r="B21" i="16"/>
  <c r="F16" i="4" s="1"/>
  <c r="M17" i="16"/>
  <c r="M17" i="20" s="1"/>
  <c r="L17" i="16"/>
  <c r="L17" i="20" s="1"/>
  <c r="K17" i="16"/>
  <c r="K17" i="20" s="1"/>
  <c r="J17" i="16"/>
  <c r="J17" i="20" s="1"/>
  <c r="I17" i="16"/>
  <c r="I17" i="20" s="1"/>
  <c r="H17" i="16"/>
  <c r="H17" i="20" s="1"/>
  <c r="G17" i="16"/>
  <c r="G17" i="20" s="1"/>
  <c r="F17" i="16"/>
  <c r="E17" i="16"/>
  <c r="E17" i="20" s="1"/>
  <c r="D17" i="16"/>
  <c r="D17" i="20" s="1"/>
  <c r="C17" i="16"/>
  <c r="C17" i="20" s="1"/>
  <c r="B17" i="16"/>
  <c r="M15" i="16"/>
  <c r="L15" i="16"/>
  <c r="K15" i="16"/>
  <c r="J15" i="16"/>
  <c r="I15" i="16"/>
  <c r="H15" i="16"/>
  <c r="G15" i="16"/>
  <c r="F15" i="16"/>
  <c r="E15" i="16"/>
  <c r="D15" i="16"/>
  <c r="D14" i="4" s="1"/>
  <c r="C15" i="16"/>
  <c r="E14" i="4" s="1"/>
  <c r="F14" i="4"/>
  <c r="M14" i="16"/>
  <c r="L14" i="16"/>
  <c r="K14" i="16"/>
  <c r="J14" i="16"/>
  <c r="I14" i="16"/>
  <c r="H14" i="16"/>
  <c r="G14" i="16"/>
  <c r="F14" i="16"/>
  <c r="E14" i="16"/>
  <c r="D14" i="16"/>
  <c r="D13" i="4" s="1"/>
  <c r="C14" i="16"/>
  <c r="E13" i="4" s="1"/>
  <c r="B14" i="16"/>
  <c r="C11" i="16"/>
  <c r="E8" i="4" s="1"/>
  <c r="E7" i="4" s="1"/>
  <c r="D11" i="16"/>
  <c r="D8" i="4" s="1"/>
  <c r="E11" i="16"/>
  <c r="F11" i="16"/>
  <c r="G11" i="16"/>
  <c r="H11" i="16"/>
  <c r="I11" i="16"/>
  <c r="J11" i="16"/>
  <c r="K11" i="16"/>
  <c r="L11" i="16"/>
  <c r="M11" i="16"/>
  <c r="B11" i="16"/>
  <c r="B12" i="16" s="1"/>
  <c r="C7" i="16"/>
  <c r="D7" i="16"/>
  <c r="E7" i="16"/>
  <c r="F7" i="16"/>
  <c r="G7" i="16"/>
  <c r="H7" i="16"/>
  <c r="I7" i="16"/>
  <c r="J7" i="16"/>
  <c r="K7" i="16"/>
  <c r="L7" i="16"/>
  <c r="M7" i="16"/>
  <c r="B7" i="16"/>
  <c r="C52" i="10" s="1"/>
  <c r="M5" i="16"/>
  <c r="L5" i="16"/>
  <c r="L9" i="16" s="1"/>
  <c r="L10" i="16" s="1"/>
  <c r="K5" i="16"/>
  <c r="J5" i="16"/>
  <c r="I5" i="16"/>
  <c r="H5" i="16"/>
  <c r="G5" i="16"/>
  <c r="C9" i="21" s="1"/>
  <c r="F5" i="16"/>
  <c r="D9" i="21" s="1"/>
  <c r="E5" i="16"/>
  <c r="D5" i="16"/>
  <c r="F9" i="21" s="1"/>
  <c r="F32" i="21" s="1"/>
  <c r="C5" i="16"/>
  <c r="G9" i="21" s="1"/>
  <c r="G13" i="17"/>
  <c r="G14" i="17" s="1"/>
  <c r="F13" i="17"/>
  <c r="F14" i="17" s="1"/>
  <c r="E13" i="17"/>
  <c r="E14" i="17" s="1"/>
  <c r="D68" i="16"/>
  <c r="E68" i="16"/>
  <c r="F68" i="16"/>
  <c r="G68" i="16"/>
  <c r="H68" i="16"/>
  <c r="I68" i="16"/>
  <c r="K68" i="16"/>
  <c r="M71" i="16"/>
  <c r="L71" i="16"/>
  <c r="K71" i="16"/>
  <c r="J71" i="16"/>
  <c r="I71" i="16"/>
  <c r="H71" i="16"/>
  <c r="G71" i="16"/>
  <c r="F71" i="16"/>
  <c r="E71" i="16"/>
  <c r="D71" i="16"/>
  <c r="C71" i="16"/>
  <c r="B71" i="16"/>
  <c r="B67" i="16"/>
  <c r="F22" i="4" s="1"/>
  <c r="F19" i="4" s="1"/>
  <c r="M75" i="16"/>
  <c r="L75" i="16"/>
  <c r="K75" i="16"/>
  <c r="J75" i="16"/>
  <c r="I75" i="16"/>
  <c r="H75" i="16"/>
  <c r="G75" i="16"/>
  <c r="F75" i="16"/>
  <c r="E75" i="16"/>
  <c r="D75" i="16"/>
  <c r="C75" i="16"/>
  <c r="M67" i="16"/>
  <c r="J67" i="16"/>
  <c r="I67" i="16"/>
  <c r="H67" i="16"/>
  <c r="G67" i="16"/>
  <c r="F67" i="16"/>
  <c r="E67" i="16"/>
  <c r="D67" i="16"/>
  <c r="D22" i="4" s="1"/>
  <c r="D19" i="4" s="1"/>
  <c r="C67" i="16"/>
  <c r="C36" i="17"/>
  <c r="C31" i="17"/>
  <c r="D31" i="17"/>
  <c r="E31" i="17"/>
  <c r="F31" i="17"/>
  <c r="G31" i="17"/>
  <c r="C44" i="16"/>
  <c r="B44" i="20"/>
  <c r="F50" i="17"/>
  <c r="F55" i="16" s="1"/>
  <c r="G50" i="17"/>
  <c r="G55" i="16" s="1"/>
  <c r="H55" i="20"/>
  <c r="I55" i="20"/>
  <c r="J55" i="20"/>
  <c r="L55" i="20"/>
  <c r="M55" i="16"/>
  <c r="C46" i="17"/>
  <c r="C51" i="16" s="1"/>
  <c r="D46" i="17"/>
  <c r="D51" i="20" s="1"/>
  <c r="E46" i="17"/>
  <c r="F51" i="20"/>
  <c r="G46" i="17"/>
  <c r="G51" i="16" s="1"/>
  <c r="H51" i="20"/>
  <c r="J51" i="16"/>
  <c r="K51" i="20"/>
  <c r="L51" i="20"/>
  <c r="M51" i="20"/>
  <c r="B46" i="17"/>
  <c r="B51" i="16" s="1"/>
  <c r="AB38" i="17"/>
  <c r="B19" i="3"/>
  <c r="H27" i="1" s="1"/>
  <c r="C43" i="10" a="1"/>
  <c r="C43" i="10" s="1"/>
  <c r="G41" i="10"/>
  <c r="G46" i="4"/>
  <c r="F45" i="4"/>
  <c r="J37" i="1"/>
  <c r="F46" i="4"/>
  <c r="F47" i="4"/>
  <c r="K47" i="4"/>
  <c r="O47" i="4"/>
  <c r="S47" i="4"/>
  <c r="W47" i="4"/>
  <c r="AA47" i="4"/>
  <c r="AE47" i="4"/>
  <c r="J46" i="4"/>
  <c r="N46" i="4"/>
  <c r="R46" i="4"/>
  <c r="V46" i="4"/>
  <c r="Z46" i="4"/>
  <c r="AD46" i="4"/>
  <c r="G47" i="4"/>
  <c r="K45" i="4"/>
  <c r="O45" i="4"/>
  <c r="S45" i="4"/>
  <c r="W45" i="4"/>
  <c r="AA45" i="4"/>
  <c r="AE45" i="4"/>
  <c r="M47" i="4"/>
  <c r="Y47" i="4"/>
  <c r="H46" i="4"/>
  <c r="P46" i="4"/>
  <c r="X46" i="4"/>
  <c r="AF46" i="4"/>
  <c r="M45" i="4"/>
  <c r="U45" i="4"/>
  <c r="AC45" i="4"/>
  <c r="J47" i="4"/>
  <c r="R47" i="4"/>
  <c r="Z47" i="4"/>
  <c r="AD47" i="4"/>
  <c r="M46" i="4"/>
  <c r="U46" i="4"/>
  <c r="AC46" i="4"/>
  <c r="J45" i="4"/>
  <c r="R45" i="4"/>
  <c r="Z45" i="4"/>
  <c r="H47" i="4"/>
  <c r="L47" i="4"/>
  <c r="P47" i="4"/>
  <c r="T47" i="4"/>
  <c r="X47" i="4"/>
  <c r="AB47" i="4"/>
  <c r="AF47" i="4"/>
  <c r="K46" i="4"/>
  <c r="O46" i="4"/>
  <c r="S46" i="4"/>
  <c r="W46" i="4"/>
  <c r="AA46" i="4"/>
  <c r="AE46" i="4"/>
  <c r="H45" i="4"/>
  <c r="L45" i="4"/>
  <c r="P45" i="4"/>
  <c r="T45" i="4"/>
  <c r="X45" i="4"/>
  <c r="AB45" i="4"/>
  <c r="AF45" i="4"/>
  <c r="I47" i="4"/>
  <c r="Q47" i="4"/>
  <c r="U47" i="4"/>
  <c r="AC47" i="4"/>
  <c r="L46" i="4"/>
  <c r="T46" i="4"/>
  <c r="AB46" i="4"/>
  <c r="I45" i="4"/>
  <c r="Q45" i="4"/>
  <c r="Y45" i="4"/>
  <c r="G45" i="4"/>
  <c r="N47" i="4"/>
  <c r="V47" i="4"/>
  <c r="I46" i="4"/>
  <c r="Q46" i="4"/>
  <c r="Y46" i="4"/>
  <c r="N45" i="4"/>
  <c r="V45" i="4"/>
  <c r="AD45" i="4"/>
  <c r="L11" i="3"/>
  <c r="D13" i="17"/>
  <c r="D14" i="17" s="1"/>
  <c r="C13" i="17"/>
  <c r="C14" i="17" s="1"/>
  <c r="E5" i="4"/>
  <c r="L51" i="16"/>
  <c r="L55" i="16"/>
  <c r="F51" i="16"/>
  <c r="M51" i="16"/>
  <c r="H55" i="16"/>
  <c r="I55" i="16"/>
  <c r="J55" i="16"/>
  <c r="C44" i="20"/>
  <c r="H51" i="16"/>
  <c r="J51" i="20"/>
  <c r="I51" i="20"/>
  <c r="I51" i="16"/>
  <c r="B24" i="16"/>
  <c r="K51" i="16"/>
  <c r="M55" i="20"/>
  <c r="B5" i="17"/>
  <c r="C5" i="17" s="1"/>
  <c r="D5" i="17" s="1"/>
  <c r="E5" i="17" s="1"/>
  <c r="F5" i="17" s="1"/>
  <c r="G5" i="17" s="1"/>
  <c r="H5" i="17" s="1"/>
  <c r="I5" i="17" s="1"/>
  <c r="J5" i="17" s="1"/>
  <c r="K5" i="17" s="1"/>
  <c r="L5" i="17" s="1"/>
  <c r="M5" i="17" s="1"/>
  <c r="B4" i="16"/>
  <c r="C4" i="16" s="1"/>
  <c r="L43" i="1"/>
  <c r="M43" i="1" s="1"/>
  <c r="B51" i="1"/>
  <c r="B50" i="1" s="1"/>
  <c r="B49" i="1" s="1"/>
  <c r="B48" i="1" s="1"/>
  <c r="B47" i="1" s="1"/>
  <c r="B46" i="1" s="1"/>
  <c r="B45" i="1" s="1"/>
  <c r="B44" i="1" s="1"/>
  <c r="B43" i="1" s="1"/>
  <c r="B84" i="17"/>
  <c r="B82" i="16" s="1"/>
  <c r="B83" i="17"/>
  <c r="B70" i="20" s="1"/>
  <c r="B82" i="17"/>
  <c r="G24" i="10"/>
  <c r="C12" i="19"/>
  <c r="C13" i="19"/>
  <c r="C14" i="19"/>
  <c r="C15" i="19"/>
  <c r="C16" i="19"/>
  <c r="C17" i="19"/>
  <c r="C18" i="19"/>
  <c r="C19" i="19"/>
  <c r="C20" i="19"/>
  <c r="C21" i="19"/>
  <c r="C22" i="19"/>
  <c r="C7" i="19"/>
  <c r="C9" i="19"/>
  <c r="C10" i="19"/>
  <c r="G10" i="10"/>
  <c r="G38" i="10"/>
  <c r="C87" i="17"/>
  <c r="D87" i="17" s="1"/>
  <c r="AD53" i="17"/>
  <c r="AC53" i="17"/>
  <c r="AD52" i="17"/>
  <c r="AC52" i="17"/>
  <c r="AG49" i="17"/>
  <c r="AG52" i="17" s="1"/>
  <c r="AF49" i="17"/>
  <c r="AE49" i="17"/>
  <c r="AB49" i="17"/>
  <c r="AB52" i="17" s="1"/>
  <c r="AA49" i="17"/>
  <c r="AA53" i="17" s="1"/>
  <c r="Z49" i="17"/>
  <c r="Z52" i="17" s="1"/>
  <c r="AD48" i="17"/>
  <c r="AC48" i="17"/>
  <c r="AB48" i="17"/>
  <c r="AA48" i="17"/>
  <c r="Z48" i="17"/>
  <c r="AG44" i="17"/>
  <c r="AG48" i="17" s="1"/>
  <c r="AF44" i="17"/>
  <c r="AF48" i="17" s="1"/>
  <c r="AE44" i="17"/>
  <c r="AE48" i="17" s="1"/>
  <c r="AG39" i="17"/>
  <c r="AF39" i="17"/>
  <c r="AE39" i="17"/>
  <c r="AD39" i="17"/>
  <c r="AC39" i="17"/>
  <c r="AB31" i="17"/>
  <c r="AA31" i="17"/>
  <c r="AA39" i="17" s="1"/>
  <c r="Z31" i="17"/>
  <c r="Z39" i="17" s="1"/>
  <c r="AA25" i="17"/>
  <c r="O74" i="17"/>
  <c r="AE12" i="17"/>
  <c r="AG11" i="17"/>
  <c r="AF11" i="17"/>
  <c r="AE11" i="17"/>
  <c r="AD11" i="17"/>
  <c r="D22" i="17"/>
  <c r="F58" i="21" s="1"/>
  <c r="E22" i="17"/>
  <c r="E18" i="20" s="1"/>
  <c r="AG9" i="17"/>
  <c r="AF9" i="17"/>
  <c r="AD9" i="17"/>
  <c r="AC9" i="17"/>
  <c r="AB9" i="17"/>
  <c r="AA9" i="17"/>
  <c r="Z9" i="17"/>
  <c r="AG10" i="17"/>
  <c r="AF10" i="17"/>
  <c r="AE10" i="17"/>
  <c r="AD10" i="17"/>
  <c r="AC10" i="17"/>
  <c r="AB10" i="17"/>
  <c r="AA10" i="17"/>
  <c r="Z10" i="17"/>
  <c r="AG7" i="17"/>
  <c r="AG8" i="17" s="1"/>
  <c r="AF7" i="17"/>
  <c r="AF8" i="17" s="1"/>
  <c r="AE7" i="17"/>
  <c r="AE8" i="17" s="1"/>
  <c r="AD7" i="17"/>
  <c r="AD8" i="17" s="1"/>
  <c r="AC7" i="17"/>
  <c r="AC8" i="17" s="1"/>
  <c r="AB7" i="17"/>
  <c r="AB8" i="17" s="1"/>
  <c r="AA7" i="17"/>
  <c r="AA8" i="17" s="1"/>
  <c r="Z7" i="17"/>
  <c r="Z8" i="17" s="1"/>
  <c r="O7" i="17"/>
  <c r="A2" i="16"/>
  <c r="A1" i="16"/>
  <c r="C19" i="1"/>
  <c r="C8" i="10" s="1"/>
  <c r="C31" i="10" s="1"/>
  <c r="G31" i="10" s="1"/>
  <c r="D11" i="3"/>
  <c r="B8" i="3" s="1"/>
  <c r="H138" i="21"/>
  <c r="D64" i="4" s="1"/>
  <c r="F5" i="4"/>
  <c r="H18" i="16"/>
  <c r="H18" i="20"/>
  <c r="L18" i="20"/>
  <c r="L18" i="16"/>
  <c r="K18" i="20"/>
  <c r="K18" i="16"/>
  <c r="G56" i="16"/>
  <c r="G56" i="20"/>
  <c r="C18" i="20"/>
  <c r="C18" i="16"/>
  <c r="J56" i="16"/>
  <c r="J56" i="20"/>
  <c r="F18" i="20"/>
  <c r="F18" i="16"/>
  <c r="G18" i="16"/>
  <c r="G18" i="20"/>
  <c r="H56" i="16"/>
  <c r="H56" i="20"/>
  <c r="I18" i="20"/>
  <c r="I18" i="16"/>
  <c r="J18" i="20"/>
  <c r="J18" i="16"/>
  <c r="L56" i="20"/>
  <c r="L56" i="16"/>
  <c r="M56" i="20"/>
  <c r="M56" i="16"/>
  <c r="F56" i="16"/>
  <c r="F56" i="20"/>
  <c r="I56" i="16"/>
  <c r="I56" i="20"/>
  <c r="M18" i="16"/>
  <c r="M18" i="20"/>
  <c r="G37" i="10"/>
  <c r="G17" i="10"/>
  <c r="G30" i="10"/>
  <c r="Q49" i="1"/>
  <c r="Q45" i="1"/>
  <c r="F55" i="1"/>
  <c r="Q50" i="1"/>
  <c r="Q51" i="1"/>
  <c r="G32" i="10"/>
  <c r="F36" i="17"/>
  <c r="M44" i="16"/>
  <c r="I44" i="16"/>
  <c r="I43" i="16"/>
  <c r="E44" i="16"/>
  <c r="G36" i="17"/>
  <c r="L44" i="16"/>
  <c r="L43" i="16"/>
  <c r="L44" i="20"/>
  <c r="G56" i="17"/>
  <c r="G63" i="20" s="1"/>
  <c r="G44" i="20"/>
  <c r="J44" i="16"/>
  <c r="J44" i="20"/>
  <c r="H64" i="16"/>
  <c r="H63" i="20"/>
  <c r="K43" i="20"/>
  <c r="K43" i="16"/>
  <c r="J43" i="20"/>
  <c r="J43" i="16"/>
  <c r="F56" i="17"/>
  <c r="D72" i="21" s="1"/>
  <c r="H44" i="20"/>
  <c r="F44" i="20"/>
  <c r="K44" i="16"/>
  <c r="F44" i="16"/>
  <c r="G44" i="16"/>
  <c r="H44" i="16"/>
  <c r="K44" i="20"/>
  <c r="L43" i="20"/>
  <c r="I43" i="20"/>
  <c r="E44" i="20"/>
  <c r="M44" i="20"/>
  <c r="I44" i="20"/>
  <c r="M64" i="16"/>
  <c r="M63" i="20"/>
  <c r="I64" i="16"/>
  <c r="I63" i="20"/>
  <c r="M43" i="16"/>
  <c r="M43" i="20"/>
  <c r="H43" i="20"/>
  <c r="H43" i="16"/>
  <c r="J64" i="16"/>
  <c r="J63" i="20"/>
  <c r="L64" i="16"/>
  <c r="L63" i="20"/>
  <c r="D36" i="17"/>
  <c r="C64" i="16"/>
  <c r="C56" i="16"/>
  <c r="C47" i="17"/>
  <c r="C52" i="20" s="1"/>
  <c r="C56" i="20"/>
  <c r="D44" i="20"/>
  <c r="D44" i="16"/>
  <c r="C63" i="20"/>
  <c r="B68" i="16"/>
  <c r="C68" i="16"/>
  <c r="C67" i="17"/>
  <c r="E25" i="4" s="1"/>
  <c r="K55" i="20"/>
  <c r="K56" i="16"/>
  <c r="K52" i="16"/>
  <c r="K55" i="16"/>
  <c r="K52" i="20"/>
  <c r="K64" i="16"/>
  <c r="K63" i="20"/>
  <c r="K56" i="20"/>
  <c r="K67" i="16"/>
  <c r="L67" i="16"/>
  <c r="J68" i="16"/>
  <c r="L68" i="16"/>
  <c r="M68" i="16"/>
  <c r="C62" i="10"/>
  <c r="C22" i="10" s="1"/>
  <c r="G22" i="10" s="1"/>
  <c r="B18" i="16"/>
  <c r="B18" i="20"/>
  <c r="B31" i="17"/>
  <c r="B32" i="17"/>
  <c r="B36" i="17" s="1"/>
  <c r="E50" i="17"/>
  <c r="E55" i="16" s="1"/>
  <c r="E52" i="16"/>
  <c r="E52" i="20"/>
  <c r="E56" i="20"/>
  <c r="E56" i="17"/>
  <c r="E63" i="20" s="1"/>
  <c r="E56" i="16"/>
  <c r="B64" i="16"/>
  <c r="C68" i="10" s="1"/>
  <c r="C15" i="10" s="1"/>
  <c r="G15" i="10" s="1"/>
  <c r="B63" i="20"/>
  <c r="B56" i="16"/>
  <c r="B56" i="20"/>
  <c r="B47" i="17"/>
  <c r="B50" i="17" s="1"/>
  <c r="B55" i="16" s="1"/>
  <c r="G33" i="10"/>
  <c r="B85" i="17"/>
  <c r="D56" i="20"/>
  <c r="D56" i="16"/>
  <c r="D47" i="17"/>
  <c r="D52" i="20" s="1"/>
  <c r="D64" i="16"/>
  <c r="D63" i="20"/>
  <c r="L9" i="19" l="1"/>
  <c r="L9" i="20"/>
  <c r="L10" i="20" s="1"/>
  <c r="E70" i="16"/>
  <c r="M20" i="3"/>
  <c r="G6" i="4"/>
  <c r="G8" i="4" s="1"/>
  <c r="G64" i="16"/>
  <c r="M7" i="19"/>
  <c r="D7" i="4"/>
  <c r="D12" i="4"/>
  <c r="K20" i="3"/>
  <c r="B16" i="3"/>
  <c r="L20" i="3"/>
  <c r="B17" i="3"/>
  <c r="H25" i="1" s="1"/>
  <c r="M52" i="1"/>
  <c r="L12" i="20"/>
  <c r="Q46" i="1"/>
  <c r="D70" i="16"/>
  <c r="E6" i="20"/>
  <c r="I16" i="20"/>
  <c r="H26" i="20"/>
  <c r="I58" i="20"/>
  <c r="I59" i="20" s="1"/>
  <c r="E75" i="17"/>
  <c r="K16" i="20"/>
  <c r="M8" i="19"/>
  <c r="M6" i="19"/>
  <c r="F75" i="17"/>
  <c r="N8" i="19"/>
  <c r="G55" i="20"/>
  <c r="L6" i="16"/>
  <c r="M6" i="16"/>
  <c r="F37" i="17"/>
  <c r="F43" i="20" s="1"/>
  <c r="K19" i="20"/>
  <c r="K20" i="20" s="1"/>
  <c r="N7" i="19"/>
  <c r="C51" i="20"/>
  <c r="E55" i="20"/>
  <c r="D67" i="17"/>
  <c r="D25" i="4" s="1"/>
  <c r="G25" i="4" s="1"/>
  <c r="N9" i="19"/>
  <c r="F27" i="4"/>
  <c r="B71" i="20"/>
  <c r="E37" i="17"/>
  <c r="E43" i="16" s="1"/>
  <c r="H6" i="16"/>
  <c r="L16" i="16"/>
  <c r="J26" i="16"/>
  <c r="J29" i="16" s="1"/>
  <c r="K26" i="20"/>
  <c r="K29" i="20" s="1"/>
  <c r="C75" i="17"/>
  <c r="E31" i="4" s="1"/>
  <c r="D27" i="4"/>
  <c r="M22" i="16"/>
  <c r="G8" i="10"/>
  <c r="L26" i="20"/>
  <c r="L29" i="20" s="1"/>
  <c r="B52" i="20"/>
  <c r="H24" i="1"/>
  <c r="D51" i="16"/>
  <c r="K9" i="16"/>
  <c r="K10" i="16" s="1"/>
  <c r="J19" i="20"/>
  <c r="J20" i="20" s="1"/>
  <c r="I26" i="16"/>
  <c r="I29" i="16" s="1"/>
  <c r="J16" i="20"/>
  <c r="O9" i="19"/>
  <c r="O8" i="19"/>
  <c r="O7" i="19"/>
  <c r="L35" i="16"/>
  <c r="L36" i="16" s="1"/>
  <c r="L34" i="16"/>
  <c r="AE13" i="17"/>
  <c r="AE14" i="17" s="1"/>
  <c r="AG53" i="17"/>
  <c r="AB39" i="17"/>
  <c r="G37" i="17"/>
  <c r="G43" i="16" s="1"/>
  <c r="K12" i="20"/>
  <c r="AA13" i="17"/>
  <c r="AA14" i="17" s="1"/>
  <c r="AA52" i="17"/>
  <c r="K24" i="20"/>
  <c r="Q47" i="1"/>
  <c r="Q48" i="1"/>
  <c r="F54" i="1"/>
  <c r="F52" i="1"/>
  <c r="H131" i="21"/>
  <c r="D57" i="4" s="1"/>
  <c r="D75" i="17"/>
  <c r="D31" i="4" s="1"/>
  <c r="J24" i="20"/>
  <c r="K6" i="20"/>
  <c r="AC13" i="17"/>
  <c r="AC14" i="17" s="1"/>
  <c r="M24" i="16"/>
  <c r="M25" i="16" s="1"/>
  <c r="I34" i="16"/>
  <c r="K58" i="20"/>
  <c r="K59" i="20" s="1"/>
  <c r="J35" i="16"/>
  <c r="J36" i="16" s="1"/>
  <c r="J34" i="16"/>
  <c r="I35" i="20"/>
  <c r="I36" i="20" s="1"/>
  <c r="I34" i="20"/>
  <c r="G51" i="20"/>
  <c r="I12" i="16"/>
  <c r="K35" i="16"/>
  <c r="K36" i="16" s="1"/>
  <c r="K34" i="16"/>
  <c r="B35" i="20"/>
  <c r="B36" i="20" s="1"/>
  <c r="J35" i="20"/>
  <c r="J36" i="20" s="1"/>
  <c r="B34" i="20"/>
  <c r="J34" i="20"/>
  <c r="J26" i="20"/>
  <c r="J29" i="20" s="1"/>
  <c r="H35" i="20"/>
  <c r="H36" i="20" s="1"/>
  <c r="H34" i="20"/>
  <c r="F55" i="20"/>
  <c r="F63" i="20"/>
  <c r="AG13" i="17"/>
  <c r="AG14" i="17" s="1"/>
  <c r="AF13" i="17"/>
  <c r="AF14" i="17" s="1"/>
  <c r="M58" i="20"/>
  <c r="M59" i="20" s="1"/>
  <c r="F64" i="16"/>
  <c r="Z53" i="17"/>
  <c r="B80" i="20"/>
  <c r="I22" i="16"/>
  <c r="K11" i="3"/>
  <c r="J12" i="16"/>
  <c r="I13" i="16" s="1"/>
  <c r="B91" i="16"/>
  <c r="D18" i="20"/>
  <c r="AD13" i="17"/>
  <c r="AD14" i="17" s="1"/>
  <c r="D18" i="16"/>
  <c r="Z13" i="17"/>
  <c r="Z14" i="17" s="1"/>
  <c r="AB13" i="17"/>
  <c r="AB14" i="17" s="1"/>
  <c r="AE53" i="17"/>
  <c r="D37" i="17"/>
  <c r="D43" i="20" s="1"/>
  <c r="B52" i="16"/>
  <c r="AF53" i="17"/>
  <c r="J6" i="20"/>
  <c r="C37" i="17"/>
  <c r="C43" i="20" s="1"/>
  <c r="H8" i="20"/>
  <c r="G9" i="3"/>
  <c r="G10" i="3"/>
  <c r="H16" i="20"/>
  <c r="L44" i="1"/>
  <c r="H19" i="20"/>
  <c r="H20" i="20" s="1"/>
  <c r="E18" i="1"/>
  <c r="K22" i="1"/>
  <c r="K23" i="1" s="1"/>
  <c r="L52" i="1"/>
  <c r="H58" i="16"/>
  <c r="H59" i="16" s="1"/>
  <c r="L49" i="1"/>
  <c r="M50" i="1"/>
  <c r="E19" i="1"/>
  <c r="E17" i="1"/>
  <c r="M12" i="16"/>
  <c r="M13" i="16" s="1"/>
  <c r="C55" i="10"/>
  <c r="F13" i="4"/>
  <c r="I19" i="16"/>
  <c r="I20" i="16" s="1"/>
  <c r="J16" i="16"/>
  <c r="K16" i="16"/>
  <c r="J22" i="16"/>
  <c r="I24" i="16"/>
  <c r="H35" i="16"/>
  <c r="H36" i="16" s="1"/>
  <c r="L58" i="16"/>
  <c r="L60" i="16" s="1"/>
  <c r="M58" i="16"/>
  <c r="M60" i="16" s="1"/>
  <c r="I8" i="20"/>
  <c r="J8" i="20"/>
  <c r="K8" i="20"/>
  <c r="L8" i="20"/>
  <c r="I19" i="20"/>
  <c r="I20" i="20" s="1"/>
  <c r="L19" i="20"/>
  <c r="L20" i="20" s="1"/>
  <c r="B22" i="20"/>
  <c r="J22" i="20"/>
  <c r="K22" i="20"/>
  <c r="L22" i="20"/>
  <c r="L24" i="20"/>
  <c r="K36" i="20"/>
  <c r="L35" i="20"/>
  <c r="L36" i="20" s="1"/>
  <c r="M35" i="20"/>
  <c r="M36" i="20" s="1"/>
  <c r="L34" i="20"/>
  <c r="J58" i="20"/>
  <c r="J59" i="20" s="1"/>
  <c r="N20" i="3"/>
  <c r="H16" i="16"/>
  <c r="H12" i="16"/>
  <c r="B37" i="17"/>
  <c r="C52" i="16"/>
  <c r="K26" i="16"/>
  <c r="K29" i="16" s="1"/>
  <c r="H9" i="20"/>
  <c r="H10" i="20" s="1"/>
  <c r="H6" i="20"/>
  <c r="H12" i="20"/>
  <c r="D52" i="16"/>
  <c r="I6" i="16"/>
  <c r="AE52" i="17"/>
  <c r="B6" i="3"/>
  <c r="B9" i="3"/>
  <c r="B5" i="3"/>
  <c r="C50" i="17"/>
  <c r="I9" i="16"/>
  <c r="I10" i="16" s="1"/>
  <c r="AF52" i="17"/>
  <c r="B51" i="20"/>
  <c r="H22" i="20"/>
  <c r="H9" i="16"/>
  <c r="H10" i="16" s="1"/>
  <c r="M19" i="20"/>
  <c r="M20" i="20" s="1"/>
  <c r="I22" i="20"/>
  <c r="M24" i="20"/>
  <c r="M25" i="20" s="1"/>
  <c r="I26" i="20"/>
  <c r="I29" i="20" s="1"/>
  <c r="L58" i="20"/>
  <c r="L59" i="20" s="1"/>
  <c r="G31" i="4"/>
  <c r="H31" i="4" s="1"/>
  <c r="H19" i="16"/>
  <c r="H20" i="16" s="1"/>
  <c r="H21" i="1"/>
  <c r="C106" i="21"/>
  <c r="C120" i="21" s="1"/>
  <c r="F120" i="21" s="1"/>
  <c r="E51" i="16"/>
  <c r="E51" i="20"/>
  <c r="H24" i="16"/>
  <c r="I58" i="16"/>
  <c r="I60" i="16" s="1"/>
  <c r="AB53" i="17"/>
  <c r="B10" i="3"/>
  <c r="H22" i="16"/>
  <c r="J8" i="16"/>
  <c r="M35" i="16"/>
  <c r="M36" i="16" s="1"/>
  <c r="I35" i="16"/>
  <c r="I36" i="16" s="1"/>
  <c r="M34" i="16"/>
  <c r="B58" i="16"/>
  <c r="H83" i="21" s="1"/>
  <c r="H78" i="21" s="1"/>
  <c r="I9" i="20"/>
  <c r="I10" i="20" s="1"/>
  <c r="I6" i="20"/>
  <c r="M8" i="20"/>
  <c r="H24" i="20"/>
  <c r="D50" i="17"/>
  <c r="B55" i="20"/>
  <c r="B7" i="3"/>
  <c r="E58" i="21"/>
  <c r="E18" i="16"/>
  <c r="I8" i="16"/>
  <c r="C91" i="16"/>
  <c r="D4" i="16"/>
  <c r="I12" i="20"/>
  <c r="L8" i="16"/>
  <c r="H8" i="16"/>
  <c r="O11" i="3"/>
  <c r="O20" i="3"/>
  <c r="H88" i="21"/>
  <c r="H89" i="21" s="1"/>
  <c r="G88" i="21"/>
  <c r="G89" i="21" s="1"/>
  <c r="F140" i="21" s="1"/>
  <c r="E64" i="16"/>
  <c r="E72" i="21"/>
  <c r="M49" i="1"/>
  <c r="M9" i="16"/>
  <c r="M10" i="16" s="1"/>
  <c r="J24" i="16"/>
  <c r="L51" i="1"/>
  <c r="F29" i="4"/>
  <c r="M46" i="1"/>
  <c r="B81" i="16"/>
  <c r="J12" i="20"/>
  <c r="M44" i="1"/>
  <c r="M51" i="1"/>
  <c r="M48" i="1"/>
  <c r="L46" i="1"/>
  <c r="M8" i="16"/>
  <c r="I16" i="16"/>
  <c r="H34" i="16"/>
  <c r="H26" i="16"/>
  <c r="H29" i="16" s="1"/>
  <c r="M23" i="21"/>
  <c r="C80" i="20"/>
  <c r="D4" i="20"/>
  <c r="K6" i="16"/>
  <c r="L26" i="16"/>
  <c r="L29" i="16" s="1"/>
  <c r="M19" i="16"/>
  <c r="M20" i="16" s="1"/>
  <c r="E9" i="20"/>
  <c r="E10" i="20" s="1"/>
  <c r="M16" i="16"/>
  <c r="L12" i="16"/>
  <c r="L13" i="16" s="1"/>
  <c r="L22" i="16"/>
  <c r="M29" i="16"/>
  <c r="F12" i="20"/>
  <c r="E24" i="20"/>
  <c r="D58" i="20"/>
  <c r="D59" i="20" s="1"/>
  <c r="J6" i="16"/>
  <c r="L24" i="16"/>
  <c r="K24" i="16"/>
  <c r="M29" i="20"/>
  <c r="K19" i="16"/>
  <c r="K20" i="16" s="1"/>
  <c r="J58" i="16"/>
  <c r="M12" i="20"/>
  <c r="K8" i="16"/>
  <c r="J19" i="16"/>
  <c r="J20" i="16" s="1"/>
  <c r="J9" i="16"/>
  <c r="J10" i="16" s="1"/>
  <c r="G26" i="16"/>
  <c r="G29" i="16" s="1"/>
  <c r="K58" i="16"/>
  <c r="G58" i="20"/>
  <c r="G59" i="20" s="1"/>
  <c r="M9" i="20"/>
  <c r="M10" i="20" s="1"/>
  <c r="M22" i="20"/>
  <c r="L6" i="20"/>
  <c r="I24" i="20"/>
  <c r="M34" i="20"/>
  <c r="H58" i="20"/>
  <c r="H59" i="20" s="1"/>
  <c r="K22" i="16"/>
  <c r="H29" i="20"/>
  <c r="B80" i="16"/>
  <c r="B69" i="20"/>
  <c r="L16" i="20"/>
  <c r="E8" i="20"/>
  <c r="D35" i="20"/>
  <c r="D36" i="20" s="1"/>
  <c r="D34" i="20"/>
  <c r="L19" i="16"/>
  <c r="L20" i="16" s="1"/>
  <c r="G6" i="16"/>
  <c r="K12" i="16"/>
  <c r="F8" i="20"/>
  <c r="E22" i="20"/>
  <c r="E35" i="20"/>
  <c r="E36" i="20" s="1"/>
  <c r="E34" i="20"/>
  <c r="F22" i="20"/>
  <c r="B24" i="20"/>
  <c r="C58" i="20"/>
  <c r="C59" i="20" s="1"/>
  <c r="E19" i="20"/>
  <c r="E20" i="20" s="1"/>
  <c r="E16" i="20"/>
  <c r="C26" i="16"/>
  <c r="C29" i="16" s="1"/>
  <c r="C9" i="20"/>
  <c r="C10" i="20" s="1"/>
  <c r="E17" i="4"/>
  <c r="L47" i="1"/>
  <c r="G14" i="4"/>
  <c r="D59" i="21"/>
  <c r="C52" i="21"/>
  <c r="E129" i="21"/>
  <c r="M104" i="21"/>
  <c r="M109" i="21" s="1"/>
  <c r="M120" i="21"/>
  <c r="M122" i="21" s="1"/>
  <c r="O120" i="21"/>
  <c r="O122" i="21" s="1"/>
  <c r="P122" i="21" s="1"/>
  <c r="Q122" i="21" s="1"/>
  <c r="R122" i="21" s="1"/>
  <c r="S122" i="21" s="1"/>
  <c r="T122" i="21" s="1"/>
  <c r="U122" i="21" s="1"/>
  <c r="V122" i="21" s="1"/>
  <c r="W122" i="21" s="1"/>
  <c r="X122" i="21" s="1"/>
  <c r="Y122" i="21" s="1"/>
  <c r="Z122" i="21" s="1"/>
  <c r="AA122" i="21" s="1"/>
  <c r="AB122" i="21" s="1"/>
  <c r="AC122" i="21" s="1"/>
  <c r="AD122" i="21" s="1"/>
  <c r="AE122" i="21" s="1"/>
  <c r="AF122" i="21" s="1"/>
  <c r="AG122" i="21" s="1"/>
  <c r="AH122" i="21" s="1"/>
  <c r="AI122" i="21" s="1"/>
  <c r="AJ122" i="21" s="1"/>
  <c r="AK122" i="21" s="1"/>
  <c r="AL122" i="21" s="1"/>
  <c r="AM122" i="21" s="1"/>
  <c r="AN122" i="21" s="1"/>
  <c r="AO122" i="21" s="1"/>
  <c r="O104" i="21"/>
  <c r="O109" i="21" s="1"/>
  <c r="N104" i="21"/>
  <c r="N109" i="21" s="1"/>
  <c r="N120" i="21"/>
  <c r="N122" i="21" s="1"/>
  <c r="H59" i="21"/>
  <c r="G19" i="20"/>
  <c r="G20" i="20" s="1"/>
  <c r="M45" i="1"/>
  <c r="E22" i="4"/>
  <c r="E19" i="4" s="1"/>
  <c r="F58" i="20"/>
  <c r="F59" i="20" s="1"/>
  <c r="E29" i="4"/>
  <c r="C8" i="16"/>
  <c r="G16" i="16"/>
  <c r="G18" i="21"/>
  <c r="F127" i="21" s="1"/>
  <c r="G25" i="21"/>
  <c r="F128" i="21" s="1"/>
  <c r="F35" i="16"/>
  <c r="F36" i="16" s="1"/>
  <c r="F34" i="16"/>
  <c r="F25" i="21"/>
  <c r="E128" i="21" s="1"/>
  <c r="F18" i="21"/>
  <c r="E127" i="21" s="1"/>
  <c r="G8" i="20"/>
  <c r="E18" i="21"/>
  <c r="D127" i="21" s="1"/>
  <c r="E25" i="21"/>
  <c r="D128" i="21" s="1"/>
  <c r="C34" i="16"/>
  <c r="E24" i="4"/>
  <c r="E26" i="4" s="1"/>
  <c r="D26" i="16"/>
  <c r="D29" i="16" s="1"/>
  <c r="D18" i="21"/>
  <c r="D25" i="21"/>
  <c r="C128" i="21" s="1"/>
  <c r="G8" i="16"/>
  <c r="C25" i="21"/>
  <c r="C18" i="21"/>
  <c r="L45" i="1"/>
  <c r="H18" i="21"/>
  <c r="H25" i="21"/>
  <c r="C51" i="10"/>
  <c r="C28" i="10" s="1"/>
  <c r="G28" i="10" s="1"/>
  <c r="B9" i="20"/>
  <c r="B10" i="20" s="1"/>
  <c r="F24" i="4"/>
  <c r="C59" i="10"/>
  <c r="C6" i="16"/>
  <c r="B6" i="16"/>
  <c r="D22" i="16"/>
  <c r="C24" i="16"/>
  <c r="B25" i="16" s="1"/>
  <c r="E137" i="21"/>
  <c r="E26" i="16"/>
  <c r="E29" i="16" s="1"/>
  <c r="C8" i="20"/>
  <c r="G12" i="20"/>
  <c r="E58" i="20"/>
  <c r="E59" i="20" s="1"/>
  <c r="B8" i="16"/>
  <c r="B9" i="16"/>
  <c r="B10" i="16" s="1"/>
  <c r="L50" i="1"/>
  <c r="M29" i="1" s="1"/>
  <c r="C39" i="10" s="1"/>
  <c r="G39" i="10" s="1"/>
  <c r="B34" i="16"/>
  <c r="B12" i="20"/>
  <c r="B58" i="20"/>
  <c r="B59" i="20" s="1"/>
  <c r="G16" i="20"/>
  <c r="G24" i="20"/>
  <c r="F6" i="20"/>
  <c r="E12" i="16"/>
  <c r="C26" i="20"/>
  <c r="C29" i="20" s="1"/>
  <c r="G6" i="20"/>
  <c r="D9" i="16"/>
  <c r="D10" i="16" s="1"/>
  <c r="F19" i="16"/>
  <c r="F20" i="16" s="1"/>
  <c r="F8" i="16"/>
  <c r="C19" i="20"/>
  <c r="C20" i="20" s="1"/>
  <c r="F6" i="16"/>
  <c r="E19" i="16"/>
  <c r="E20" i="16" s="1"/>
  <c r="G58" i="16"/>
  <c r="G60" i="16" s="1"/>
  <c r="G22" i="20"/>
  <c r="G35" i="20"/>
  <c r="G36" i="20" s="1"/>
  <c r="G34" i="20"/>
  <c r="D12" i="16"/>
  <c r="D26" i="20"/>
  <c r="D29" i="20" s="1"/>
  <c r="D8" i="16"/>
  <c r="F16" i="16"/>
  <c r="G35" i="16"/>
  <c r="G36" i="16" s="1"/>
  <c r="F16" i="20"/>
  <c r="B26" i="20"/>
  <c r="B29" i="20" s="1"/>
  <c r="C16" i="16"/>
  <c r="C9" i="16"/>
  <c r="C10" i="16" s="1"/>
  <c r="F24" i="20"/>
  <c r="F25" i="20" s="1"/>
  <c r="F35" i="20"/>
  <c r="F36" i="20" s="1"/>
  <c r="D35" i="16"/>
  <c r="D36" i="16" s="1"/>
  <c r="F58" i="16"/>
  <c r="C35" i="16"/>
  <c r="C36" i="16" s="1"/>
  <c r="C22" i="20"/>
  <c r="G24" i="16"/>
  <c r="G22" i="16"/>
  <c r="G34" i="16"/>
  <c r="E15" i="4"/>
  <c r="F24" i="16"/>
  <c r="D58" i="16"/>
  <c r="F83" i="21" s="1"/>
  <c r="B22" i="16"/>
  <c r="E22" i="16"/>
  <c r="D136" i="21"/>
  <c r="C24" i="20"/>
  <c r="C34" i="20"/>
  <c r="F26" i="20"/>
  <c r="F29" i="20" s="1"/>
  <c r="B35" i="16"/>
  <c r="B36" i="16" s="1"/>
  <c r="E24" i="16"/>
  <c r="F12" i="16"/>
  <c r="C21" i="1"/>
  <c r="E35" i="16"/>
  <c r="E36" i="16" s="1"/>
  <c r="E58" i="16"/>
  <c r="C16" i="20"/>
  <c r="M47" i="1"/>
  <c r="D15" i="4"/>
  <c r="E12" i="20"/>
  <c r="B26" i="16"/>
  <c r="B29" i="16" s="1"/>
  <c r="L48" i="1"/>
  <c r="B8" i="20"/>
  <c r="C50" i="10"/>
  <c r="E30" i="4"/>
  <c r="E16" i="16"/>
  <c r="E9" i="21"/>
  <c r="C43" i="1" a="1"/>
  <c r="C52" i="1" s="1"/>
  <c r="N52" i="1" s="1"/>
  <c r="E6" i="16"/>
  <c r="E9" i="16"/>
  <c r="E10" i="16" s="1"/>
  <c r="C49" i="10"/>
  <c r="D52" i="21"/>
  <c r="C35" i="20"/>
  <c r="C36" i="20" s="1"/>
  <c r="C27" i="10"/>
  <c r="G27" i="10" s="1"/>
  <c r="C25" i="10"/>
  <c r="G25" i="10" s="1"/>
  <c r="D22" i="20"/>
  <c r="E34" i="16"/>
  <c r="B17" i="20"/>
  <c r="B19" i="20" s="1"/>
  <c r="K20" i="1"/>
  <c r="D6" i="20"/>
  <c r="D24" i="20"/>
  <c r="D8" i="20"/>
  <c r="C6" i="20"/>
  <c r="D9" i="20"/>
  <c r="D10" i="20" s="1"/>
  <c r="D19" i="20"/>
  <c r="D20" i="20" s="1"/>
  <c r="D16" i="20"/>
  <c r="D12" i="20"/>
  <c r="C54" i="10"/>
  <c r="F22" i="16"/>
  <c r="F9" i="16"/>
  <c r="F10" i="16" s="1"/>
  <c r="D16" i="16"/>
  <c r="K28" i="1"/>
  <c r="D29" i="4"/>
  <c r="E8" i="16"/>
  <c r="C12" i="16"/>
  <c r="C19" i="16"/>
  <c r="C20" i="16" s="1"/>
  <c r="D137" i="21"/>
  <c r="C58" i="16"/>
  <c r="G83" i="21" s="1"/>
  <c r="D24" i="16"/>
  <c r="H43" i="1" a="1"/>
  <c r="D19" i="16"/>
  <c r="D20" i="16" s="1"/>
  <c r="F136" i="21"/>
  <c r="B6" i="20"/>
  <c r="B16" i="20"/>
  <c r="E26" i="20"/>
  <c r="E29" i="20" s="1"/>
  <c r="E12" i="4"/>
  <c r="K27" i="1"/>
  <c r="M23" i="1" s="1"/>
  <c r="C22" i="16"/>
  <c r="F23" i="4"/>
  <c r="F17" i="20"/>
  <c r="F19" i="20" s="1"/>
  <c r="F20" i="20" s="1"/>
  <c r="D6" i="16"/>
  <c r="D5" i="4" s="1"/>
  <c r="B19" i="16"/>
  <c r="B16" i="16"/>
  <c r="K21" i="1" s="1"/>
  <c r="F8" i="4"/>
  <c r="F7" i="4" s="1"/>
  <c r="E136" i="21"/>
  <c r="D23" i="4"/>
  <c r="D34" i="16"/>
  <c r="C12" i="20"/>
  <c r="F34" i="20"/>
  <c r="C136" i="21"/>
  <c r="F137" i="21"/>
  <c r="G19" i="16"/>
  <c r="G20" i="16" s="1"/>
  <c r="G9" i="16"/>
  <c r="G10" i="16" s="1"/>
  <c r="G12" i="16"/>
  <c r="F26" i="16"/>
  <c r="F29" i="16" s="1"/>
  <c r="G26" i="20"/>
  <c r="G29" i="20" s="1"/>
  <c r="F59" i="21"/>
  <c r="E134" i="21" s="1"/>
  <c r="I130" i="21"/>
  <c r="E56" i="4" s="1"/>
  <c r="C32" i="21"/>
  <c r="G52" i="21"/>
  <c r="H10" i="21"/>
  <c r="G59" i="21"/>
  <c r="F134" i="21" s="1"/>
  <c r="G10" i="21"/>
  <c r="G32" i="21"/>
  <c r="F129" i="21" s="1"/>
  <c r="F52" i="21"/>
  <c r="D10" i="21"/>
  <c r="D32" i="21"/>
  <c r="AD10" i="21"/>
  <c r="AE10" i="21" s="1"/>
  <c r="AF10" i="21" s="1"/>
  <c r="AG10" i="21" s="1"/>
  <c r="AH10" i="21" s="1"/>
  <c r="G135" i="21"/>
  <c r="D89" i="21"/>
  <c r="C137" i="21"/>
  <c r="D135" i="21"/>
  <c r="F135" i="21"/>
  <c r="C89" i="21"/>
  <c r="C135" i="21"/>
  <c r="F89" i="21"/>
  <c r="E140" i="21" s="1"/>
  <c r="E135" i="21"/>
  <c r="H32" i="21"/>
  <c r="AB11" i="21"/>
  <c r="I9" i="21"/>
  <c r="H52" i="21"/>
  <c r="I139" i="21"/>
  <c r="I138" i="21"/>
  <c r="G43" i="10"/>
  <c r="C45" i="10"/>
  <c r="G45" i="10" s="1"/>
  <c r="H6" i="4" l="1"/>
  <c r="G43" i="20"/>
  <c r="L59" i="16"/>
  <c r="H19" i="21"/>
  <c r="C127" i="21"/>
  <c r="K13" i="20"/>
  <c r="D43" i="16"/>
  <c r="L25" i="20"/>
  <c r="J25" i="20"/>
  <c r="M59" i="16"/>
  <c r="M30" i="20"/>
  <c r="M31" i="20" s="1"/>
  <c r="M30" i="16"/>
  <c r="M31" i="16" s="1"/>
  <c r="B20" i="3"/>
  <c r="L25" i="16"/>
  <c r="C20" i="1"/>
  <c r="C22" i="1" s="1"/>
  <c r="M24" i="1" s="1"/>
  <c r="I31" i="4"/>
  <c r="J31" i="4" s="1"/>
  <c r="B60" i="16"/>
  <c r="C67" i="10"/>
  <c r="C70" i="10" s="1"/>
  <c r="E21" i="1"/>
  <c r="B59" i="16"/>
  <c r="E23" i="1" s="1"/>
  <c r="K25" i="20"/>
  <c r="K13" i="16"/>
  <c r="F53" i="1"/>
  <c r="D26" i="4"/>
  <c r="C43" i="16"/>
  <c r="F32" i="4"/>
  <c r="J13" i="20"/>
  <c r="B25" i="20"/>
  <c r="I59" i="16"/>
  <c r="F43" i="16"/>
  <c r="E43" i="20"/>
  <c r="D13" i="20"/>
  <c r="I25" i="20"/>
  <c r="I30" i="16"/>
  <c r="I31" i="16" s="1"/>
  <c r="G25" i="20"/>
  <c r="H60" i="16"/>
  <c r="E25" i="20"/>
  <c r="C23" i="10"/>
  <c r="G23" i="10" s="1"/>
  <c r="F44" i="4"/>
  <c r="G13" i="4" s="1"/>
  <c r="E35" i="4"/>
  <c r="J30" i="20"/>
  <c r="J31" i="20" s="1"/>
  <c r="E30" i="20"/>
  <c r="E31" i="20" s="1"/>
  <c r="I25" i="16"/>
  <c r="D25" i="20"/>
  <c r="E13" i="20"/>
  <c r="L30" i="20"/>
  <c r="L31" i="20" s="1"/>
  <c r="J25" i="16"/>
  <c r="H25" i="16"/>
  <c r="H13" i="16"/>
  <c r="K24" i="1"/>
  <c r="G25" i="16"/>
  <c r="M21" i="1"/>
  <c r="G13" i="20"/>
  <c r="G30" i="20"/>
  <c r="G31" i="20" s="1"/>
  <c r="K25" i="1"/>
  <c r="M22" i="1"/>
  <c r="G11" i="3"/>
  <c r="G30" i="16"/>
  <c r="G31" i="16" s="1"/>
  <c r="H30" i="16"/>
  <c r="H31" i="16" s="1"/>
  <c r="M53" i="1"/>
  <c r="K25" i="16"/>
  <c r="D91" i="16"/>
  <c r="E4" i="16"/>
  <c r="C55" i="16"/>
  <c r="C55" i="20"/>
  <c r="H18" i="1"/>
  <c r="C103" i="21"/>
  <c r="C117" i="21" s="1"/>
  <c r="F117" i="21" s="1"/>
  <c r="B11" i="3"/>
  <c r="B43" i="16"/>
  <c r="E22" i="1" s="1"/>
  <c r="B43" i="20"/>
  <c r="I13" i="20"/>
  <c r="D55" i="20"/>
  <c r="D55" i="16"/>
  <c r="D13" i="16"/>
  <c r="H30" i="20"/>
  <c r="H31" i="20" s="1"/>
  <c r="H19" i="1"/>
  <c r="C104" i="21"/>
  <c r="C118" i="21" s="1"/>
  <c r="F118" i="21" s="1"/>
  <c r="R47" i="1"/>
  <c r="H52" i="1"/>
  <c r="H20" i="1"/>
  <c r="C105" i="21"/>
  <c r="L30" i="16"/>
  <c r="L31" i="16" s="1"/>
  <c r="G59" i="16"/>
  <c r="E83" i="21"/>
  <c r="F84" i="21" s="1"/>
  <c r="E60" i="16"/>
  <c r="C9" i="10"/>
  <c r="G9" i="10" s="1"/>
  <c r="H13" i="20"/>
  <c r="F78" i="21"/>
  <c r="N23" i="21"/>
  <c r="H90" i="21"/>
  <c r="I89" i="21" s="1"/>
  <c r="I88" i="21" s="1"/>
  <c r="G27" i="4" s="1"/>
  <c r="G78" i="21"/>
  <c r="G84" i="21"/>
  <c r="H84" i="21"/>
  <c r="F60" i="16"/>
  <c r="D83" i="21"/>
  <c r="M13" i="20"/>
  <c r="L13" i="20"/>
  <c r="F13" i="20"/>
  <c r="F26" i="4"/>
  <c r="K60" i="16"/>
  <c r="K59" i="16"/>
  <c r="J59" i="16"/>
  <c r="J60" i="16"/>
  <c r="K30" i="20"/>
  <c r="K31" i="20" s="1"/>
  <c r="F25" i="16"/>
  <c r="K30" i="16"/>
  <c r="K31" i="16" s="1"/>
  <c r="J30" i="16"/>
  <c r="J31" i="16" s="1"/>
  <c r="J13" i="16"/>
  <c r="H25" i="20"/>
  <c r="I30" i="20"/>
  <c r="I31" i="20" s="1"/>
  <c r="E4" i="20"/>
  <c r="D80" i="20"/>
  <c r="E13" i="16"/>
  <c r="D59" i="16"/>
  <c r="D60" i="16"/>
  <c r="D44" i="4"/>
  <c r="D30" i="16"/>
  <c r="D31" i="16" s="1"/>
  <c r="C11" i="10"/>
  <c r="G11" i="10" s="1"/>
  <c r="C13" i="10"/>
  <c r="G13" i="10" s="1"/>
  <c r="C26" i="10"/>
  <c r="G26" i="10" s="1"/>
  <c r="C12" i="10"/>
  <c r="G12" i="10" s="1"/>
  <c r="C14" i="10"/>
  <c r="G14" i="10" s="1"/>
  <c r="E32" i="4"/>
  <c r="E34" i="4" s="1"/>
  <c r="H14" i="4"/>
  <c r="E59" i="21"/>
  <c r="D134" i="21" s="1"/>
  <c r="H70" i="21"/>
  <c r="I69" i="21" s="1"/>
  <c r="I68" i="21" s="1"/>
  <c r="I72" i="21" s="1"/>
  <c r="I83" i="21" s="1"/>
  <c r="F10" i="21"/>
  <c r="E52" i="21"/>
  <c r="E10" i="21"/>
  <c r="H53" i="21"/>
  <c r="P109" i="21"/>
  <c r="P104" i="21"/>
  <c r="P120" i="21"/>
  <c r="P121" i="21" s="1"/>
  <c r="H33" i="21"/>
  <c r="G127" i="21"/>
  <c r="D20" i="21"/>
  <c r="E89" i="21"/>
  <c r="D140" i="21" s="1"/>
  <c r="L104" i="21"/>
  <c r="L120" i="21"/>
  <c r="E32" i="21"/>
  <c r="C134" i="21"/>
  <c r="F59" i="16"/>
  <c r="H26" i="21"/>
  <c r="I25" i="21" s="1"/>
  <c r="L53" i="1"/>
  <c r="C29" i="10"/>
  <c r="G29" i="10" s="1"/>
  <c r="E43" i="1" a="1"/>
  <c r="G134" i="21"/>
  <c r="G140" i="21"/>
  <c r="I43" i="1" a="1"/>
  <c r="S51" i="1" s="1"/>
  <c r="F35" i="4"/>
  <c r="B13" i="20"/>
  <c r="B30" i="20"/>
  <c r="B31" i="20" s="1"/>
  <c r="C30" i="20"/>
  <c r="C31" i="20" s="1"/>
  <c r="H137" i="21"/>
  <c r="D63" i="4" s="1"/>
  <c r="C25" i="20"/>
  <c r="R51" i="1"/>
  <c r="R48" i="1"/>
  <c r="R46" i="1"/>
  <c r="H55" i="1"/>
  <c r="E25" i="16"/>
  <c r="E59" i="16"/>
  <c r="C13" i="20"/>
  <c r="M26" i="1"/>
  <c r="E44" i="4"/>
  <c r="C60" i="16"/>
  <c r="C59" i="16"/>
  <c r="D30" i="20"/>
  <c r="D31" i="20" s="1"/>
  <c r="C30" i="16"/>
  <c r="C31" i="16" s="1"/>
  <c r="B30" i="16"/>
  <c r="B31" i="16" s="1"/>
  <c r="C13" i="16"/>
  <c r="E25" i="1"/>
  <c r="R49" i="1"/>
  <c r="H43" i="1"/>
  <c r="R50" i="1"/>
  <c r="C43" i="1"/>
  <c r="N49" i="1"/>
  <c r="N48" i="1"/>
  <c r="C54" i="1"/>
  <c r="N47" i="1"/>
  <c r="C55" i="1"/>
  <c r="N51" i="1"/>
  <c r="N50" i="1"/>
  <c r="R45" i="1"/>
  <c r="F15" i="4"/>
  <c r="F12" i="4"/>
  <c r="E20" i="1"/>
  <c r="B20" i="20"/>
  <c r="D32" i="4"/>
  <c r="D35" i="4"/>
  <c r="C16" i="10"/>
  <c r="G16" i="10" s="1"/>
  <c r="H136" i="21"/>
  <c r="C25" i="16"/>
  <c r="D25" i="16"/>
  <c r="E26" i="1"/>
  <c r="C53" i="10"/>
  <c r="C20" i="10" s="1"/>
  <c r="G20" i="10" s="1"/>
  <c r="K19" i="1"/>
  <c r="K26" i="1"/>
  <c r="B20" i="16"/>
  <c r="E24" i="1" s="1"/>
  <c r="B13" i="16"/>
  <c r="D43" i="1" a="1"/>
  <c r="D52" i="1" s="1"/>
  <c r="G13" i="16"/>
  <c r="F13" i="16"/>
  <c r="F30" i="20"/>
  <c r="F31" i="20" s="1"/>
  <c r="F30" i="16"/>
  <c r="F31" i="16" s="1"/>
  <c r="E30" i="16"/>
  <c r="E31" i="16" s="1"/>
  <c r="E20" i="21"/>
  <c r="G20" i="21"/>
  <c r="F20" i="21"/>
  <c r="I6" i="4"/>
  <c r="I8" i="4" s="1"/>
  <c r="H25" i="4"/>
  <c r="I25" i="4" s="1"/>
  <c r="J25" i="4" s="1"/>
  <c r="H135" i="21"/>
  <c r="D61" i="4" s="1"/>
  <c r="G128" i="21"/>
  <c r="C140" i="21"/>
  <c r="J9" i="21"/>
  <c r="AG11" i="21"/>
  <c r="G129" i="21"/>
  <c r="H129" i="21" s="1"/>
  <c r="C18" i="10" l="1"/>
  <c r="G18" i="10" s="1"/>
  <c r="C34" i="10"/>
  <c r="G34" i="10" s="1"/>
  <c r="F34" i="4"/>
  <c r="F36" i="4" s="1"/>
  <c r="F43" i="4" s="1"/>
  <c r="E78" i="21"/>
  <c r="E36" i="4"/>
  <c r="E43" i="4" s="1"/>
  <c r="D34" i="4"/>
  <c r="E28" i="1"/>
  <c r="P112" i="21"/>
  <c r="P105" i="21"/>
  <c r="P113" i="21" s="1"/>
  <c r="E84" i="21"/>
  <c r="D78" i="21"/>
  <c r="M25" i="1"/>
  <c r="M11" i="3"/>
  <c r="N11" i="3"/>
  <c r="E43" i="1"/>
  <c r="M28" i="1"/>
  <c r="I14" i="4"/>
  <c r="J14" i="4" s="1"/>
  <c r="C53" i="1"/>
  <c r="D107" i="21"/>
  <c r="C119" i="21"/>
  <c r="F119" i="21" s="1"/>
  <c r="F121" i="21" s="1"/>
  <c r="E107" i="21"/>
  <c r="F4" i="16"/>
  <c r="E91" i="16"/>
  <c r="K31" i="4"/>
  <c r="L31" i="4" s="1"/>
  <c r="M31" i="4" s="1"/>
  <c r="O23" i="21"/>
  <c r="D84" i="21"/>
  <c r="E80" i="20"/>
  <c r="F4" i="20"/>
  <c r="G4" i="20" s="1"/>
  <c r="H4" i="20" s="1"/>
  <c r="I4" i="20" s="1"/>
  <c r="J4" i="20" s="1"/>
  <c r="K4" i="20" s="1"/>
  <c r="L4" i="20" s="1"/>
  <c r="M4" i="20" s="1"/>
  <c r="H60" i="21"/>
  <c r="I59" i="21" s="1"/>
  <c r="I58" i="21" s="1"/>
  <c r="D36" i="4"/>
  <c r="D43" i="4" s="1"/>
  <c r="C35" i="10"/>
  <c r="G35" i="10" s="1"/>
  <c r="J69" i="21"/>
  <c r="K69" i="21"/>
  <c r="Q69" i="21"/>
  <c r="N69" i="21"/>
  <c r="R69" i="21"/>
  <c r="P69" i="21"/>
  <c r="O69" i="21"/>
  <c r="M69" i="21"/>
  <c r="L69" i="21"/>
  <c r="K65" i="21"/>
  <c r="J65" i="21"/>
  <c r="J64" i="21" s="1"/>
  <c r="P65" i="21"/>
  <c r="M65" i="21"/>
  <c r="R65" i="21"/>
  <c r="L65" i="21"/>
  <c r="O65" i="21"/>
  <c r="Q65" i="21"/>
  <c r="N65" i="21"/>
  <c r="H11" i="21"/>
  <c r="H140" i="21"/>
  <c r="I140" i="21" s="1"/>
  <c r="R90" i="21" s="1"/>
  <c r="AD89" i="21" s="1"/>
  <c r="I52" i="21"/>
  <c r="I51" i="21" s="1"/>
  <c r="G23" i="4" s="1"/>
  <c r="O52" i="21"/>
  <c r="H134" i="21"/>
  <c r="D60" i="4" s="1"/>
  <c r="H20" i="21"/>
  <c r="H127" i="21" s="1"/>
  <c r="Q120" i="21"/>
  <c r="Q121" i="21" s="1"/>
  <c r="Q104" i="21"/>
  <c r="Q112" i="21" s="1"/>
  <c r="G43" i="1" a="1"/>
  <c r="G43" i="1" s="1"/>
  <c r="S50" i="1"/>
  <c r="L54" i="1"/>
  <c r="L55" i="1" s="1"/>
  <c r="M54" i="1"/>
  <c r="M55" i="1" s="1"/>
  <c r="S49" i="1"/>
  <c r="S48" i="1"/>
  <c r="I137" i="21"/>
  <c r="E63" i="4" s="1"/>
  <c r="S47" i="1"/>
  <c r="I43" i="1"/>
  <c r="S45" i="1"/>
  <c r="S46" i="1"/>
  <c r="C19" i="10"/>
  <c r="G19" i="10" s="1"/>
  <c r="L52" i="21"/>
  <c r="R52" i="21"/>
  <c r="P52" i="21"/>
  <c r="N52" i="21"/>
  <c r="K52" i="21"/>
  <c r="H133" i="21"/>
  <c r="D59" i="4" s="1"/>
  <c r="I136" i="21"/>
  <c r="D62" i="4"/>
  <c r="Q52" i="21"/>
  <c r="M52" i="21"/>
  <c r="H54" i="1"/>
  <c r="D43" i="1"/>
  <c r="D54" i="1" s="1"/>
  <c r="O45" i="1"/>
  <c r="O51" i="1"/>
  <c r="O47" i="1"/>
  <c r="O49" i="1"/>
  <c r="O50" i="1"/>
  <c r="O46" i="1"/>
  <c r="O48" i="1"/>
  <c r="D55" i="1"/>
  <c r="J52" i="21"/>
  <c r="J6" i="4"/>
  <c r="K25" i="4"/>
  <c r="L25" i="4" s="1"/>
  <c r="I135" i="21"/>
  <c r="E61" i="4" s="1"/>
  <c r="P89" i="21"/>
  <c r="Q89" i="21"/>
  <c r="N89" i="21"/>
  <c r="J89" i="21"/>
  <c r="J88" i="21" s="1"/>
  <c r="H27" i="4" s="1"/>
  <c r="R89" i="21"/>
  <c r="M89" i="21"/>
  <c r="K89" i="21"/>
  <c r="L89" i="21"/>
  <c r="O89" i="21"/>
  <c r="G24" i="4"/>
  <c r="I24" i="4"/>
  <c r="H24" i="4"/>
  <c r="H128" i="21"/>
  <c r="D54" i="4" s="1"/>
  <c r="I32" i="21"/>
  <c r="I31" i="21" s="1"/>
  <c r="AC32" i="21"/>
  <c r="AE32" i="21"/>
  <c r="V32" i="21"/>
  <c r="W32" i="21"/>
  <c r="Y32" i="21"/>
  <c r="T32" i="21"/>
  <c r="S32" i="21"/>
  <c r="Q32" i="21"/>
  <c r="Z32" i="21"/>
  <c r="J32" i="21"/>
  <c r="J31" i="21" s="1"/>
  <c r="O32" i="21"/>
  <c r="R32" i="21"/>
  <c r="AG32" i="21"/>
  <c r="AF32" i="21"/>
  <c r="N32" i="21"/>
  <c r="U32" i="21"/>
  <c r="L32" i="21"/>
  <c r="P32" i="21"/>
  <c r="AD32" i="21"/>
  <c r="M32" i="21"/>
  <c r="AB32" i="21"/>
  <c r="K32" i="21"/>
  <c r="AA32" i="21"/>
  <c r="X32" i="21"/>
  <c r="AH32" i="21"/>
  <c r="L25" i="21"/>
  <c r="J25" i="21"/>
  <c r="M25" i="21"/>
  <c r="K25" i="21"/>
  <c r="I129" i="21"/>
  <c r="E55" i="4" s="1"/>
  <c r="K9" i="21"/>
  <c r="R120" i="21" s="1"/>
  <c r="R121" i="21" s="1"/>
  <c r="M59" i="21" l="1"/>
  <c r="I18" i="21"/>
  <c r="N19" i="21" s="1"/>
  <c r="N59" i="21"/>
  <c r="P115" i="21"/>
  <c r="P117" i="21" s="1"/>
  <c r="G21" i="4" s="1"/>
  <c r="K14" i="4"/>
  <c r="L14" i="4" s="1"/>
  <c r="M14" i="4" s="1"/>
  <c r="N14" i="4" s="1"/>
  <c r="Q105" i="21"/>
  <c r="Q113" i="21" s="1"/>
  <c r="Q115" i="21" s="1"/>
  <c r="G4" i="16"/>
  <c r="H4" i="16" s="1"/>
  <c r="I4" i="16" s="1"/>
  <c r="J4" i="16" s="1"/>
  <c r="K4" i="16" s="1"/>
  <c r="L4" i="16" s="1"/>
  <c r="M4" i="16" s="1"/>
  <c r="H53" i="1"/>
  <c r="G15" i="4"/>
  <c r="G16" i="4" s="1"/>
  <c r="G17" i="4" s="1"/>
  <c r="D53" i="1"/>
  <c r="K59" i="21"/>
  <c r="K58" i="21" s="1"/>
  <c r="L59" i="21"/>
  <c r="R59" i="21"/>
  <c r="J59" i="21"/>
  <c r="J58" i="21" s="1"/>
  <c r="P59" i="21"/>
  <c r="K64" i="21"/>
  <c r="L64" i="21" s="1"/>
  <c r="O59" i="21"/>
  <c r="Q59" i="21"/>
  <c r="P23" i="21"/>
  <c r="J68" i="21"/>
  <c r="K68" i="21" s="1"/>
  <c r="L68" i="21" s="1"/>
  <c r="M68" i="21" s="1"/>
  <c r="N68" i="21" s="1"/>
  <c r="O68" i="21" s="1"/>
  <c r="P68" i="21" s="1"/>
  <c r="Q68" i="21" s="1"/>
  <c r="R68" i="21" s="1"/>
  <c r="S68" i="21" s="1"/>
  <c r="T68" i="21" s="1"/>
  <c r="U68" i="21" s="1"/>
  <c r="V68" i="21" s="1"/>
  <c r="W68" i="21" s="1"/>
  <c r="X68" i="21" s="1"/>
  <c r="Y68" i="21" s="1"/>
  <c r="Z68" i="21" s="1"/>
  <c r="AA68" i="21" s="1"/>
  <c r="AB68" i="21" s="1"/>
  <c r="AC68" i="21" s="1"/>
  <c r="AD68" i="21" s="1"/>
  <c r="AE68" i="21" s="1"/>
  <c r="AF68" i="21" s="1"/>
  <c r="AG68" i="21" s="1"/>
  <c r="AH68" i="21" s="1"/>
  <c r="G26" i="4"/>
  <c r="T89" i="21"/>
  <c r="AA89" i="21"/>
  <c r="W89" i="21"/>
  <c r="AG89" i="21"/>
  <c r="Y89" i="21"/>
  <c r="AF89" i="21"/>
  <c r="X89" i="21"/>
  <c r="AC89" i="21"/>
  <c r="Z89" i="21"/>
  <c r="U89" i="21"/>
  <c r="AE89" i="21"/>
  <c r="AH89" i="21"/>
  <c r="S89" i="21"/>
  <c r="V89" i="21"/>
  <c r="AB89" i="21"/>
  <c r="K18" i="21"/>
  <c r="J18" i="21"/>
  <c r="D53" i="4"/>
  <c r="I134" i="21"/>
  <c r="R60" i="21" s="1"/>
  <c r="M18" i="21"/>
  <c r="L18" i="21"/>
  <c r="R105" i="21"/>
  <c r="R113" i="21" s="1"/>
  <c r="R104" i="21"/>
  <c r="R112" i="21" s="1"/>
  <c r="K51" i="21"/>
  <c r="I23" i="4" s="1"/>
  <c r="I26" i="4" s="1"/>
  <c r="J51" i="21"/>
  <c r="H23" i="4" s="1"/>
  <c r="H26" i="4" s="1"/>
  <c r="G40" i="4"/>
  <c r="I128" i="21"/>
  <c r="E54" i="4" s="1"/>
  <c r="O52" i="1"/>
  <c r="O44" i="1"/>
  <c r="R53" i="21"/>
  <c r="E62" i="4"/>
  <c r="I133" i="21"/>
  <c r="E59" i="4" s="1"/>
  <c r="J8" i="4"/>
  <c r="K6" i="4"/>
  <c r="M25" i="4"/>
  <c r="N25" i="4" s="1"/>
  <c r="J24" i="4"/>
  <c r="K31" i="21"/>
  <c r="N26" i="21"/>
  <c r="L9" i="21"/>
  <c r="K88" i="21"/>
  <c r="I27" i="4" s="1"/>
  <c r="D55" i="4"/>
  <c r="G11" i="4" s="1"/>
  <c r="G20" i="4" s="1"/>
  <c r="Q117" i="21" l="1"/>
  <c r="H21" i="4" s="1"/>
  <c r="H7" i="4"/>
  <c r="H8" i="4" s="1"/>
  <c r="I18" i="4"/>
  <c r="J95" i="21"/>
  <c r="K8" i="4"/>
  <c r="K11" i="4"/>
  <c r="K20" i="4" s="1"/>
  <c r="M64" i="21"/>
  <c r="N64" i="21" s="1"/>
  <c r="O64" i="21" s="1"/>
  <c r="P64" i="21" s="1"/>
  <c r="L72" i="21"/>
  <c r="L83" i="21" s="1"/>
  <c r="J44" i="4" s="1"/>
  <c r="K13" i="4" s="1"/>
  <c r="K72" i="21"/>
  <c r="K83" i="21" s="1"/>
  <c r="I44" i="4" s="1"/>
  <c r="J13" i="4" s="1"/>
  <c r="J72" i="21"/>
  <c r="J83" i="21" s="1"/>
  <c r="H44" i="4" s="1"/>
  <c r="I13" i="4" s="1"/>
  <c r="I15" i="4" s="1"/>
  <c r="G44" i="4"/>
  <c r="I84" i="21"/>
  <c r="Q23" i="21"/>
  <c r="AB90" i="21"/>
  <c r="AG90" i="21"/>
  <c r="W90" i="21"/>
  <c r="E60" i="4"/>
  <c r="L51" i="21"/>
  <c r="J23" i="4" s="1"/>
  <c r="J26" i="4" s="1"/>
  <c r="S120" i="21"/>
  <c r="S121" i="21" s="1"/>
  <c r="S105" i="21" s="1"/>
  <c r="S113" i="21" s="1"/>
  <c r="S104" i="21"/>
  <c r="S112" i="21" s="1"/>
  <c r="R115" i="21"/>
  <c r="R117" i="21" s="1"/>
  <c r="I21" i="4" s="1"/>
  <c r="H40" i="4"/>
  <c r="I40" i="4" s="1"/>
  <c r="I24" i="21"/>
  <c r="G10" i="4" s="1"/>
  <c r="G38" i="4" s="1"/>
  <c r="I17" i="21"/>
  <c r="O14" i="4"/>
  <c r="P14" i="4" s="1"/>
  <c r="Q14" i="4" s="1"/>
  <c r="R14" i="4" s="1"/>
  <c r="AC52" i="21"/>
  <c r="V52" i="21"/>
  <c r="AF52" i="21"/>
  <c r="AD52" i="21"/>
  <c r="W52" i="21"/>
  <c r="T52" i="21"/>
  <c r="AE52" i="21"/>
  <c r="Z52" i="21"/>
  <c r="AH52" i="21"/>
  <c r="AA52" i="21"/>
  <c r="X52" i="21"/>
  <c r="S52" i="21"/>
  <c r="AB52" i="21"/>
  <c r="Y52" i="21"/>
  <c r="U52" i="21"/>
  <c r="AG52" i="21"/>
  <c r="T59" i="21"/>
  <c r="AB59" i="21"/>
  <c r="AE59" i="21"/>
  <c r="V59" i="21"/>
  <c r="AD59" i="21"/>
  <c r="W59" i="21"/>
  <c r="S59" i="21"/>
  <c r="Y59" i="21"/>
  <c r="U59" i="21"/>
  <c r="AG59" i="21"/>
  <c r="AC59" i="21"/>
  <c r="AH59" i="21"/>
  <c r="X59" i="21"/>
  <c r="AA59" i="21"/>
  <c r="AF59" i="21"/>
  <c r="Z59" i="21"/>
  <c r="L6" i="4"/>
  <c r="K24" i="4"/>
  <c r="N31" i="4"/>
  <c r="P18" i="21"/>
  <c r="Q18" i="21"/>
  <c r="N18" i="21"/>
  <c r="S19" i="21"/>
  <c r="I127" i="21" s="1"/>
  <c r="O18" i="21"/>
  <c r="R18" i="21"/>
  <c r="M9" i="21"/>
  <c r="L58" i="21"/>
  <c r="I11" i="4"/>
  <c r="I20" i="4" s="1"/>
  <c r="J11" i="4"/>
  <c r="J20" i="4" s="1"/>
  <c r="H11" i="4"/>
  <c r="H20" i="4" s="1"/>
  <c r="L31" i="21"/>
  <c r="L88" i="21"/>
  <c r="J27" i="4" s="1"/>
  <c r="Q25" i="21"/>
  <c r="O25" i="21"/>
  <c r="R25" i="21"/>
  <c r="S26" i="21"/>
  <c r="P25" i="21"/>
  <c r="N25" i="21"/>
  <c r="O25" i="4"/>
  <c r="M72" i="21" l="1"/>
  <c r="M83" i="21" s="1"/>
  <c r="M84" i="21" s="1"/>
  <c r="L84" i="21"/>
  <c r="J84" i="21"/>
  <c r="J18" i="4"/>
  <c r="G39" i="4"/>
  <c r="G28" i="4"/>
  <c r="H13" i="4"/>
  <c r="O72" i="21"/>
  <c r="O83" i="21" s="1"/>
  <c r="N72" i="21"/>
  <c r="N83" i="21" s="1"/>
  <c r="N84" i="21" s="1"/>
  <c r="G29" i="4"/>
  <c r="G30" i="4"/>
  <c r="K84" i="21"/>
  <c r="Q64" i="21"/>
  <c r="P72" i="21"/>
  <c r="P83" i="21" s="1"/>
  <c r="R23" i="21"/>
  <c r="H28" i="4"/>
  <c r="K44" i="4"/>
  <c r="L13" i="4" s="1"/>
  <c r="J17" i="21"/>
  <c r="H9" i="4" s="1"/>
  <c r="M51" i="21"/>
  <c r="K23" i="4" s="1"/>
  <c r="K26" i="4" s="1"/>
  <c r="T120" i="21"/>
  <c r="T121" i="21" s="1"/>
  <c r="T105" i="21" s="1"/>
  <c r="T113" i="21" s="1"/>
  <c r="T104" i="21"/>
  <c r="T112" i="21" s="1"/>
  <c r="S115" i="21"/>
  <c r="S117" i="21" s="1"/>
  <c r="J21" i="4" s="1"/>
  <c r="J24" i="21"/>
  <c r="H10" i="4" s="1"/>
  <c r="J40" i="4"/>
  <c r="K24" i="21"/>
  <c r="I10" i="4" s="1"/>
  <c r="K17" i="21"/>
  <c r="I9" i="4" s="1"/>
  <c r="W53" i="21"/>
  <c r="S14" i="4"/>
  <c r="T14" i="4" s="1"/>
  <c r="U14" i="4" s="1"/>
  <c r="AG53" i="21"/>
  <c r="AB53" i="21"/>
  <c r="W60" i="21"/>
  <c r="AB60" i="21"/>
  <c r="AG60" i="21"/>
  <c r="O31" i="4"/>
  <c r="P31" i="4" s="1"/>
  <c r="L8" i="4"/>
  <c r="K18" i="4" s="1"/>
  <c r="M6" i="4"/>
  <c r="M8" i="4" s="1"/>
  <c r="L24" i="4"/>
  <c r="L11" i="4"/>
  <c r="L20" i="4" s="1"/>
  <c r="E53" i="4"/>
  <c r="AB18" i="21"/>
  <c r="AH18" i="21"/>
  <c r="Z18" i="21"/>
  <c r="AE18" i="21"/>
  <c r="AC18" i="21"/>
  <c r="AA18" i="21"/>
  <c r="Y18" i="21"/>
  <c r="T18" i="21"/>
  <c r="V18" i="21"/>
  <c r="X18" i="21"/>
  <c r="S18" i="21"/>
  <c r="AG18" i="21"/>
  <c r="AD18" i="21"/>
  <c r="AF18" i="21"/>
  <c r="W18" i="21"/>
  <c r="U18" i="21"/>
  <c r="AB25" i="21"/>
  <c r="AA25" i="21"/>
  <c r="AC25" i="21"/>
  <c r="Y25" i="21"/>
  <c r="Z25" i="21"/>
  <c r="W25" i="21"/>
  <c r="AH25" i="21"/>
  <c r="X25" i="21"/>
  <c r="V25" i="21"/>
  <c r="AG25" i="21"/>
  <c r="T25" i="21"/>
  <c r="AE25" i="21"/>
  <c r="U25" i="21"/>
  <c r="AF25" i="21"/>
  <c r="AD25" i="21"/>
  <c r="S25" i="21"/>
  <c r="N9" i="21"/>
  <c r="M58" i="21"/>
  <c r="M88" i="21"/>
  <c r="K27" i="4" s="1"/>
  <c r="M31" i="21"/>
  <c r="P25" i="4"/>
  <c r="Q25" i="4" s="1"/>
  <c r="L44" i="4" l="1"/>
  <c r="M13" i="4" s="1"/>
  <c r="O84" i="21"/>
  <c r="M44" i="4"/>
  <c r="N13" i="4" s="1"/>
  <c r="P84" i="21"/>
  <c r="L18" i="4"/>
  <c r="G32" i="4"/>
  <c r="G35" i="4"/>
  <c r="N44" i="4"/>
  <c r="O13" i="4" s="1"/>
  <c r="R64" i="21"/>
  <c r="Q72" i="21"/>
  <c r="Q83" i="21" s="1"/>
  <c r="Q84" i="21" s="1"/>
  <c r="S23" i="21"/>
  <c r="H12" i="4"/>
  <c r="T115" i="21"/>
  <c r="T117" i="21" s="1"/>
  <c r="K21" i="4" s="1"/>
  <c r="H38" i="4"/>
  <c r="I38" i="4" s="1"/>
  <c r="H39" i="4"/>
  <c r="I39" i="4" s="1"/>
  <c r="N51" i="21"/>
  <c r="L23" i="4" s="1"/>
  <c r="L26" i="4" s="1"/>
  <c r="U120" i="21"/>
  <c r="U121" i="21" s="1"/>
  <c r="U105" i="21" s="1"/>
  <c r="U113" i="21" s="1"/>
  <c r="U104" i="21"/>
  <c r="U112" i="21" s="1"/>
  <c r="I12" i="4"/>
  <c r="I28" i="4" s="1"/>
  <c r="K40" i="4"/>
  <c r="M17" i="21" s="1"/>
  <c r="L17" i="21"/>
  <c r="J9" i="4" s="1"/>
  <c r="L24" i="21"/>
  <c r="J10" i="4" s="1"/>
  <c r="V14" i="4"/>
  <c r="W14" i="4" s="1"/>
  <c r="N6" i="4"/>
  <c r="M24" i="4"/>
  <c r="M11" i="4"/>
  <c r="M20" i="4" s="1"/>
  <c r="Q31" i="4"/>
  <c r="R31" i="4" s="1"/>
  <c r="O9" i="21"/>
  <c r="N58" i="21"/>
  <c r="N31" i="21"/>
  <c r="N88" i="21"/>
  <c r="L27" i="4" s="1"/>
  <c r="R25" i="4"/>
  <c r="O44" i="4" l="1"/>
  <c r="P13" i="4" s="1"/>
  <c r="S64" i="21"/>
  <c r="R72" i="21"/>
  <c r="R83" i="21" s="1"/>
  <c r="R84" i="21" s="1"/>
  <c r="T23" i="21"/>
  <c r="U115" i="21"/>
  <c r="U117" i="21" s="1"/>
  <c r="L21" i="4" s="1"/>
  <c r="J38" i="4"/>
  <c r="O51" i="21"/>
  <c r="M23" i="4" s="1"/>
  <c r="M26" i="4" s="1"/>
  <c r="V120" i="21"/>
  <c r="V121" i="21" s="1"/>
  <c r="V105" i="21" s="1"/>
  <c r="V113" i="21" s="1"/>
  <c r="V104" i="21"/>
  <c r="V112" i="21" s="1"/>
  <c r="J12" i="4"/>
  <c r="J28" i="4" s="1"/>
  <c r="L40" i="4"/>
  <c r="N17" i="21" s="1"/>
  <c r="M24" i="21"/>
  <c r="K10" i="4" s="1"/>
  <c r="K9" i="4"/>
  <c r="J39" i="4"/>
  <c r="S31" i="4"/>
  <c r="O6" i="4"/>
  <c r="N8" i="4"/>
  <c r="M18" i="4" s="1"/>
  <c r="N24" i="4"/>
  <c r="N11" i="4"/>
  <c r="N20" i="4" s="1"/>
  <c r="X14" i="4"/>
  <c r="P9" i="21"/>
  <c r="O58" i="21"/>
  <c r="O31" i="21"/>
  <c r="O88" i="21"/>
  <c r="M27" i="4" s="1"/>
  <c r="S25" i="4"/>
  <c r="T25" i="4" s="1"/>
  <c r="K12" i="4" l="1"/>
  <c r="P44" i="4"/>
  <c r="Q13" i="4" s="1"/>
  <c r="T64" i="21"/>
  <c r="S72" i="21"/>
  <c r="S83" i="21" s="1"/>
  <c r="S84" i="21" s="1"/>
  <c r="U23" i="21"/>
  <c r="K38" i="4"/>
  <c r="V115" i="21"/>
  <c r="V117" i="21" s="1"/>
  <c r="M21" i="4" s="1"/>
  <c r="P51" i="21"/>
  <c r="N23" i="4" s="1"/>
  <c r="N26" i="4" s="1"/>
  <c r="W120" i="21"/>
  <c r="W121" i="21" s="1"/>
  <c r="W105" i="21" s="1"/>
  <c r="W113" i="21" s="1"/>
  <c r="W104" i="21"/>
  <c r="W112" i="21" s="1"/>
  <c r="K39" i="4"/>
  <c r="K28" i="4"/>
  <c r="M40" i="4"/>
  <c r="O17" i="21" s="1"/>
  <c r="L9" i="4"/>
  <c r="N24" i="21"/>
  <c r="L10" i="4" s="1"/>
  <c r="P6" i="4"/>
  <c r="Q6" i="4" s="1"/>
  <c r="R6" i="4" s="1"/>
  <c r="R8" i="4" s="1"/>
  <c r="O8" i="4"/>
  <c r="N18" i="4" s="1"/>
  <c r="O24" i="4"/>
  <c r="O11" i="4"/>
  <c r="O20" i="4" s="1"/>
  <c r="Y14" i="4"/>
  <c r="Z14" i="4" s="1"/>
  <c r="T31" i="4"/>
  <c r="U31" i="4" s="1"/>
  <c r="V31" i="4" s="1"/>
  <c r="Q9" i="21"/>
  <c r="P58" i="21"/>
  <c r="P88" i="21"/>
  <c r="N27" i="4" s="1"/>
  <c r="P31" i="21"/>
  <c r="U25" i="4"/>
  <c r="Q44" i="4" l="1"/>
  <c r="R13" i="4" s="1"/>
  <c r="U64" i="21"/>
  <c r="T72" i="21"/>
  <c r="T83" i="21" s="1"/>
  <c r="T84" i="21" s="1"/>
  <c r="V23" i="21"/>
  <c r="W115" i="21"/>
  <c r="W117" i="21" s="1"/>
  <c r="N21" i="4" s="1"/>
  <c r="L39" i="4"/>
  <c r="Q51" i="21"/>
  <c r="O23" i="4" s="1"/>
  <c r="O26" i="4" s="1"/>
  <c r="X104" i="21"/>
  <c r="X112" i="21" s="1"/>
  <c r="X120" i="21"/>
  <c r="X121" i="21" s="1"/>
  <c r="X105" i="21" s="1"/>
  <c r="X113" i="21" s="1"/>
  <c r="L12" i="4"/>
  <c r="L28" i="4" s="1"/>
  <c r="N40" i="4"/>
  <c r="O24" i="21"/>
  <c r="M10" i="4" s="1"/>
  <c r="M9" i="4"/>
  <c r="L38" i="4"/>
  <c r="AA14" i="4"/>
  <c r="W31" i="4"/>
  <c r="X31" i="4" s="1"/>
  <c r="P8" i="4"/>
  <c r="O18" i="4" s="1"/>
  <c r="P24" i="4"/>
  <c r="P11" i="4"/>
  <c r="P20" i="4" s="1"/>
  <c r="R9" i="21"/>
  <c r="Q58" i="21"/>
  <c r="Q88" i="21"/>
  <c r="O27" i="4" s="1"/>
  <c r="Q31" i="21"/>
  <c r="V25" i="4"/>
  <c r="W25" i="4" s="1"/>
  <c r="V64" i="21" l="1"/>
  <c r="U72" i="21"/>
  <c r="U83" i="21" s="1"/>
  <c r="U84" i="21" s="1"/>
  <c r="R44" i="4"/>
  <c r="S13" i="4" s="1"/>
  <c r="M39" i="4"/>
  <c r="W23" i="21"/>
  <c r="X23" i="21" s="1"/>
  <c r="Y23" i="21" s="1"/>
  <c r="Z23" i="21" s="1"/>
  <c r="AA23" i="21" s="1"/>
  <c r="AB23" i="21" s="1"/>
  <c r="AC23" i="21" s="1"/>
  <c r="AD23" i="21" s="1"/>
  <c r="AE23" i="21" s="1"/>
  <c r="AF23" i="21" s="1"/>
  <c r="AG23" i="21" s="1"/>
  <c r="AH23" i="21" s="1"/>
  <c r="X115" i="21"/>
  <c r="X117" i="21" s="1"/>
  <c r="O21" i="4" s="1"/>
  <c r="R51" i="21"/>
  <c r="P23" i="4" s="1"/>
  <c r="P26" i="4" s="1"/>
  <c r="Y120" i="21"/>
  <c r="Y121" i="21" s="1"/>
  <c r="Y105" i="21" s="1"/>
  <c r="Y113" i="21" s="1"/>
  <c r="Y104" i="21"/>
  <c r="Y112" i="21" s="1"/>
  <c r="M12" i="4"/>
  <c r="M28" i="4" s="1"/>
  <c r="M38" i="4"/>
  <c r="O40" i="4"/>
  <c r="P17" i="21"/>
  <c r="N9" i="4" s="1"/>
  <c r="P24" i="21"/>
  <c r="N10" i="4" s="1"/>
  <c r="Q8" i="4"/>
  <c r="P18" i="4" s="1"/>
  <c r="Q24" i="4"/>
  <c r="Q11" i="4"/>
  <c r="Q20" i="4" s="1"/>
  <c r="Y31" i="4"/>
  <c r="Z31" i="4" s="1"/>
  <c r="AB14" i="4"/>
  <c r="AC14" i="4" s="1"/>
  <c r="S9" i="21"/>
  <c r="R58" i="21"/>
  <c r="R88" i="21"/>
  <c r="P27" i="4" s="1"/>
  <c r="R31" i="21"/>
  <c r="X25" i="4"/>
  <c r="N39" i="4" l="1"/>
  <c r="S44" i="4"/>
  <c r="T13" i="4" s="1"/>
  <c r="W64" i="21"/>
  <c r="V72" i="21"/>
  <c r="V83" i="21" s="1"/>
  <c r="V84" i="21" s="1"/>
  <c r="Y115" i="21"/>
  <c r="Y117" i="21" s="1"/>
  <c r="P21" i="4" s="1"/>
  <c r="S51" i="21"/>
  <c r="Q23" i="4" s="1"/>
  <c r="Q26" i="4" s="1"/>
  <c r="Z120" i="21"/>
  <c r="Z121" i="21" s="1"/>
  <c r="Z105" i="21" s="1"/>
  <c r="Z113" i="21" s="1"/>
  <c r="Z104" i="21"/>
  <c r="Z112" i="21" s="1"/>
  <c r="N12" i="4"/>
  <c r="N28" i="4" s="1"/>
  <c r="P40" i="4"/>
  <c r="Q24" i="21"/>
  <c r="O10" i="4" s="1"/>
  <c r="Q17" i="21"/>
  <c r="O9" i="4" s="1"/>
  <c r="N38" i="4"/>
  <c r="AD14" i="4"/>
  <c r="AE14" i="4" s="1"/>
  <c r="AF14" i="4" s="1"/>
  <c r="Q18" i="4"/>
  <c r="S6" i="4"/>
  <c r="R24" i="4"/>
  <c r="R11" i="4"/>
  <c r="R20" i="4" s="1"/>
  <c r="AA31" i="4"/>
  <c r="AB31" i="4" s="1"/>
  <c r="T9" i="21"/>
  <c r="S88" i="21"/>
  <c r="Q27" i="4" s="1"/>
  <c r="S31" i="21"/>
  <c r="S58" i="21"/>
  <c r="Y25" i="4"/>
  <c r="O39" i="4" l="1"/>
  <c r="T44" i="4"/>
  <c r="U13" i="4" s="1"/>
  <c r="X64" i="21"/>
  <c r="W72" i="21"/>
  <c r="W83" i="21" s="1"/>
  <c r="W84" i="21" s="1"/>
  <c r="Z115" i="21"/>
  <c r="Z117" i="21" s="1"/>
  <c r="Q21" i="4" s="1"/>
  <c r="T51" i="21"/>
  <c r="R23" i="4" s="1"/>
  <c r="R26" i="4" s="1"/>
  <c r="AA120" i="21"/>
  <c r="AA121" i="21" s="1"/>
  <c r="AA105" i="21" s="1"/>
  <c r="AA113" i="21" s="1"/>
  <c r="AA104" i="21"/>
  <c r="AA112" i="21" s="1"/>
  <c r="Q40" i="4"/>
  <c r="S17" i="21" s="1"/>
  <c r="Q9" i="4" s="1"/>
  <c r="O12" i="4"/>
  <c r="O28" i="4" s="1"/>
  <c r="O38" i="4"/>
  <c r="R17" i="21"/>
  <c r="P9" i="4" s="1"/>
  <c r="R24" i="21"/>
  <c r="P10" i="4" s="1"/>
  <c r="T6" i="4"/>
  <c r="S8" i="4"/>
  <c r="R18" i="4" s="1"/>
  <c r="S24" i="4"/>
  <c r="S11" i="4"/>
  <c r="S20" i="4" s="1"/>
  <c r="AC31" i="4"/>
  <c r="U9" i="21"/>
  <c r="T31" i="21"/>
  <c r="T88" i="21"/>
  <c r="T58" i="21"/>
  <c r="Z25" i="4"/>
  <c r="P39" i="4" l="1"/>
  <c r="U44" i="4"/>
  <c r="V13" i="4" s="1"/>
  <c r="Y64" i="21"/>
  <c r="X72" i="21"/>
  <c r="X83" i="21" s="1"/>
  <c r="X84" i="21" s="1"/>
  <c r="AD31" i="4"/>
  <c r="AE31" i="4" s="1"/>
  <c r="AF31" i="4" s="1"/>
  <c r="AA115" i="21"/>
  <c r="AA117" i="21" s="1"/>
  <c r="R21" i="4" s="1"/>
  <c r="S24" i="21"/>
  <c r="Q10" i="4" s="1"/>
  <c r="R27" i="4"/>
  <c r="R40" i="4" s="1"/>
  <c r="U51" i="21"/>
  <c r="S23" i="4" s="1"/>
  <c r="S26" i="4" s="1"/>
  <c r="AB120" i="21"/>
  <c r="AB121" i="21" s="1"/>
  <c r="AB105" i="21" s="1"/>
  <c r="AB113" i="21" s="1"/>
  <c r="AB104" i="21"/>
  <c r="AB112" i="21" s="1"/>
  <c r="P12" i="4"/>
  <c r="P28" i="4" s="1"/>
  <c r="P38" i="4"/>
  <c r="U6" i="4"/>
  <c r="T8" i="4"/>
  <c r="S18" i="4" s="1"/>
  <c r="T24" i="4"/>
  <c r="T11" i="4"/>
  <c r="T20" i="4" s="1"/>
  <c r="V9" i="21"/>
  <c r="U31" i="21"/>
  <c r="U88" i="21"/>
  <c r="S27" i="4" s="1"/>
  <c r="U58" i="21"/>
  <c r="AA25" i="4"/>
  <c r="AB25" i="4" s="1"/>
  <c r="Q39" i="4" l="1"/>
  <c r="V44" i="4"/>
  <c r="W13" i="4" s="1"/>
  <c r="Z64" i="21"/>
  <c r="Y72" i="21"/>
  <c r="Y83" i="21" s="1"/>
  <c r="Y84" i="21" s="1"/>
  <c r="Q12" i="4"/>
  <c r="T17" i="21"/>
  <c r="R9" i="4" s="1"/>
  <c r="T24" i="21"/>
  <c r="R10" i="4" s="1"/>
  <c r="AB115" i="21"/>
  <c r="AB117" i="21" s="1"/>
  <c r="S21" i="4" s="1"/>
  <c r="V51" i="21"/>
  <c r="T23" i="4" s="1"/>
  <c r="T26" i="4" s="1"/>
  <c r="AC120" i="21"/>
  <c r="AC121" i="21" s="1"/>
  <c r="AC105" i="21" s="1"/>
  <c r="AC113" i="21" s="1"/>
  <c r="AC104" i="21"/>
  <c r="AC112" i="21" s="1"/>
  <c r="S40" i="4"/>
  <c r="U17" i="21" s="1"/>
  <c r="S9" i="4" s="1"/>
  <c r="Q28" i="4"/>
  <c r="Q38" i="4"/>
  <c r="V6" i="4"/>
  <c r="U8" i="4"/>
  <c r="T18" i="4" s="1"/>
  <c r="U24" i="4"/>
  <c r="U11" i="4"/>
  <c r="U20" i="4" s="1"/>
  <c r="W9" i="21"/>
  <c r="V58" i="21"/>
  <c r="V31" i="21"/>
  <c r="V88" i="21"/>
  <c r="T27" i="4" s="1"/>
  <c r="AC25" i="4"/>
  <c r="R39" i="4" l="1"/>
  <c r="W44" i="4"/>
  <c r="X13" i="4" s="1"/>
  <c r="AA64" i="21"/>
  <c r="Z72" i="21"/>
  <c r="Z83" i="21" s="1"/>
  <c r="Z84" i="21" s="1"/>
  <c r="R38" i="4"/>
  <c r="R12" i="4"/>
  <c r="R28" i="4" s="1"/>
  <c r="U24" i="21"/>
  <c r="S10" i="4" s="1"/>
  <c r="AC115" i="21"/>
  <c r="AC117" i="21" s="1"/>
  <c r="T21" i="4" s="1"/>
  <c r="W51" i="21"/>
  <c r="U23" i="4" s="1"/>
  <c r="U26" i="4" s="1"/>
  <c r="AD104" i="21"/>
  <c r="AD112" i="21" s="1"/>
  <c r="AD120" i="21"/>
  <c r="AD121" i="21" s="1"/>
  <c r="AD105" i="21" s="1"/>
  <c r="AD113" i="21" s="1"/>
  <c r="T40" i="4"/>
  <c r="V24" i="21" s="1"/>
  <c r="T10" i="4" s="1"/>
  <c r="W6" i="4"/>
  <c r="V8" i="4"/>
  <c r="U18" i="4" s="1"/>
  <c r="V24" i="4"/>
  <c r="V11" i="4"/>
  <c r="V20" i="4" s="1"/>
  <c r="X9" i="21"/>
  <c r="W31" i="21"/>
  <c r="W58" i="21"/>
  <c r="W88" i="21"/>
  <c r="U27" i="4" s="1"/>
  <c r="AD25" i="4"/>
  <c r="S38" i="4" l="1"/>
  <c r="T38" i="4" s="1"/>
  <c r="X44" i="4"/>
  <c r="Y13" i="4" s="1"/>
  <c r="AB64" i="21"/>
  <c r="AA72" i="21"/>
  <c r="AA83" i="21" s="1"/>
  <c r="AA84" i="21" s="1"/>
  <c r="AD115" i="21"/>
  <c r="AD117" i="21" s="1"/>
  <c r="U21" i="4" s="1"/>
  <c r="S12" i="4"/>
  <c r="S28" i="4" s="1"/>
  <c r="V17" i="21"/>
  <c r="T9" i="4" s="1"/>
  <c r="T12" i="4" s="1"/>
  <c r="T28" i="4" s="1"/>
  <c r="S39" i="4"/>
  <c r="T39" i="4" s="1"/>
  <c r="X51" i="21"/>
  <c r="V23" i="4" s="1"/>
  <c r="V26" i="4" s="1"/>
  <c r="AE120" i="21"/>
  <c r="AE121" i="21" s="1"/>
  <c r="AE105" i="21" s="1"/>
  <c r="AE113" i="21" s="1"/>
  <c r="AE104" i="21"/>
  <c r="AE112" i="21" s="1"/>
  <c r="U40" i="4"/>
  <c r="W24" i="21" s="1"/>
  <c r="U10" i="4" s="1"/>
  <c r="AE25" i="4"/>
  <c r="AF25" i="4" s="1"/>
  <c r="W8" i="4"/>
  <c r="V18" i="4" s="1"/>
  <c r="X6" i="4"/>
  <c r="W24" i="4"/>
  <c r="W11" i="4"/>
  <c r="W20" i="4" s="1"/>
  <c r="Y9" i="21"/>
  <c r="X88" i="21"/>
  <c r="V27" i="4" s="1"/>
  <c r="X31" i="21"/>
  <c r="X58" i="21"/>
  <c r="Y44" i="4" l="1"/>
  <c r="Z13" i="4" s="1"/>
  <c r="AC64" i="21"/>
  <c r="AB72" i="21"/>
  <c r="AB83" i="21" s="1"/>
  <c r="AB84" i="21" s="1"/>
  <c r="U39" i="4"/>
  <c r="AE115" i="21"/>
  <c r="AE117" i="21" s="1"/>
  <c r="V21" i="4" s="1"/>
  <c r="Y51" i="21"/>
  <c r="W23" i="4" s="1"/>
  <c r="W26" i="4" s="1"/>
  <c r="AF120" i="21"/>
  <c r="AF121" i="21" s="1"/>
  <c r="AF105" i="21" s="1"/>
  <c r="AF113" i="21" s="1"/>
  <c r="AF104" i="21"/>
  <c r="AF112" i="21" s="1"/>
  <c r="W17" i="21"/>
  <c r="U9" i="4" s="1"/>
  <c r="U12" i="4" s="1"/>
  <c r="U28" i="4" s="1"/>
  <c r="V40" i="4"/>
  <c r="X24" i="21" s="1"/>
  <c r="V10" i="4" s="1"/>
  <c r="U38" i="4"/>
  <c r="X8" i="4"/>
  <c r="W18" i="4" s="1"/>
  <c r="Y6" i="4"/>
  <c r="X24" i="4"/>
  <c r="X11" i="4"/>
  <c r="X20" i="4" s="1"/>
  <c r="Z9" i="21"/>
  <c r="Y31" i="21"/>
  <c r="Y58" i="21"/>
  <c r="Y88" i="21"/>
  <c r="W27" i="4" s="1"/>
  <c r="Z44" i="4" l="1"/>
  <c r="AA13" i="4" s="1"/>
  <c r="AD64" i="21"/>
  <c r="AC72" i="21"/>
  <c r="AC83" i="21" s="1"/>
  <c r="AC84" i="21" s="1"/>
  <c r="V38" i="4"/>
  <c r="X17" i="21"/>
  <c r="V9" i="4" s="1"/>
  <c r="V12" i="4" s="1"/>
  <c r="V28" i="4" s="1"/>
  <c r="W40" i="4"/>
  <c r="Y24" i="21" s="1"/>
  <c r="W10" i="4" s="1"/>
  <c r="AF115" i="21"/>
  <c r="AF117" i="21" s="1"/>
  <c r="W21" i="4" s="1"/>
  <c r="Z51" i="21"/>
  <c r="X23" i="4" s="1"/>
  <c r="X26" i="4" s="1"/>
  <c r="AG120" i="21"/>
  <c r="AG121" i="21" s="1"/>
  <c r="AG105" i="21" s="1"/>
  <c r="AG113" i="21" s="1"/>
  <c r="AG104" i="21"/>
  <c r="AG112" i="21" s="1"/>
  <c r="V39" i="4"/>
  <c r="Z6" i="4"/>
  <c r="Y8" i="4"/>
  <c r="X18" i="4" s="1"/>
  <c r="Y24" i="4"/>
  <c r="Y11" i="4"/>
  <c r="Y20" i="4" s="1"/>
  <c r="AA9" i="21"/>
  <c r="Z58" i="21"/>
  <c r="Z88" i="21"/>
  <c r="X27" i="4" s="1"/>
  <c r="Z31" i="21"/>
  <c r="AA44" i="4" l="1"/>
  <c r="AB13" i="4" s="1"/>
  <c r="AE64" i="21"/>
  <c r="AD72" i="21"/>
  <c r="AD83" i="21" s="1"/>
  <c r="AD84" i="21" s="1"/>
  <c r="W38" i="4"/>
  <c r="Y17" i="21"/>
  <c r="W9" i="4" s="1"/>
  <c r="W12" i="4" s="1"/>
  <c r="W28" i="4" s="1"/>
  <c r="AG115" i="21"/>
  <c r="AG117" i="21" s="1"/>
  <c r="X21" i="4" s="1"/>
  <c r="X40" i="4"/>
  <c r="Z17" i="21" s="1"/>
  <c r="X9" i="4" s="1"/>
  <c r="AA51" i="21"/>
  <c r="Y23" i="4" s="1"/>
  <c r="Y26" i="4" s="1"/>
  <c r="AH120" i="21"/>
  <c r="AH121" i="21" s="1"/>
  <c r="AH105" i="21" s="1"/>
  <c r="AH113" i="21" s="1"/>
  <c r="AH104" i="21"/>
  <c r="AH112" i="21" s="1"/>
  <c r="W39" i="4"/>
  <c r="AA6" i="4"/>
  <c r="Z8" i="4"/>
  <c r="Y18" i="4" s="1"/>
  <c r="Z24" i="4"/>
  <c r="Z11" i="4"/>
  <c r="Z20" i="4" s="1"/>
  <c r="AB9" i="21"/>
  <c r="AA58" i="21"/>
  <c r="AA88" i="21"/>
  <c r="Y27" i="4" s="1"/>
  <c r="AA31" i="21"/>
  <c r="AB44" i="4" l="1"/>
  <c r="AC13" i="4" s="1"/>
  <c r="AF64" i="21"/>
  <c r="AE72" i="21"/>
  <c r="AE83" i="21" s="1"/>
  <c r="AE84" i="21" s="1"/>
  <c r="Z24" i="21"/>
  <c r="X10" i="4" s="1"/>
  <c r="X38" i="4" s="1"/>
  <c r="Y40" i="4"/>
  <c r="AA17" i="21" s="1"/>
  <c r="Y9" i="4" s="1"/>
  <c r="AB51" i="21"/>
  <c r="Z23" i="4" s="1"/>
  <c r="Z26" i="4" s="1"/>
  <c r="AI120" i="21"/>
  <c r="AI121" i="21" s="1"/>
  <c r="AI105" i="21" s="1"/>
  <c r="AI113" i="21" s="1"/>
  <c r="AI104" i="21"/>
  <c r="AI112" i="21" s="1"/>
  <c r="AH115" i="21"/>
  <c r="AH117" i="21" s="1"/>
  <c r="Y21" i="4" s="1"/>
  <c r="AB6" i="4"/>
  <c r="AA8" i="4"/>
  <c r="Z18" i="4" s="1"/>
  <c r="AA24" i="4"/>
  <c r="AA11" i="4"/>
  <c r="AA20" i="4" s="1"/>
  <c r="AC9" i="21"/>
  <c r="AB88" i="21"/>
  <c r="Z27" i="4" s="1"/>
  <c r="AB58" i="21"/>
  <c r="AB31" i="21"/>
  <c r="X12" i="4" l="1"/>
  <c r="X28" i="4" s="1"/>
  <c r="AC44" i="4"/>
  <c r="AD13" i="4" s="1"/>
  <c r="AG64" i="21"/>
  <c r="AF72" i="21"/>
  <c r="AF83" i="21" s="1"/>
  <c r="AF84" i="21" s="1"/>
  <c r="X39" i="4"/>
  <c r="AA24" i="21"/>
  <c r="Y10" i="4" s="1"/>
  <c r="Y38" i="4" s="1"/>
  <c r="Z40" i="4"/>
  <c r="AB17" i="21" s="1"/>
  <c r="Z9" i="4" s="1"/>
  <c r="AI115" i="21"/>
  <c r="AI117" i="21" s="1"/>
  <c r="Z21" i="4" s="1"/>
  <c r="AC51" i="21"/>
  <c r="AA23" i="4" s="1"/>
  <c r="AA26" i="4" s="1"/>
  <c r="AJ120" i="21"/>
  <c r="AJ121" i="21" s="1"/>
  <c r="AJ105" i="21" s="1"/>
  <c r="AJ113" i="21" s="1"/>
  <c r="AJ104" i="21"/>
  <c r="AJ112" i="21" s="1"/>
  <c r="AC6" i="4"/>
  <c r="AB8" i="4"/>
  <c r="AA18" i="4" s="1"/>
  <c r="AB24" i="4"/>
  <c r="AB11" i="4"/>
  <c r="AB20" i="4" s="1"/>
  <c r="AD9" i="21"/>
  <c r="AC88" i="21"/>
  <c r="AA27" i="4" s="1"/>
  <c r="AC58" i="21"/>
  <c r="AC31" i="21"/>
  <c r="AH64" i="21" l="1"/>
  <c r="AH72" i="21" s="1"/>
  <c r="AH83" i="21" s="1"/>
  <c r="AG72" i="21"/>
  <c r="AG83" i="21" s="1"/>
  <c r="AG84" i="21" s="1"/>
  <c r="AD44" i="4"/>
  <c r="AE13" i="4" s="1"/>
  <c r="Y12" i="4"/>
  <c r="Y28" i="4" s="1"/>
  <c r="Y39" i="4"/>
  <c r="AB24" i="21"/>
  <c r="Z10" i="4" s="1"/>
  <c r="AA40" i="4"/>
  <c r="AC24" i="21" s="1"/>
  <c r="AA10" i="4" s="1"/>
  <c r="AJ115" i="21"/>
  <c r="AJ117" i="21" s="1"/>
  <c r="AA21" i="4" s="1"/>
  <c r="AD51" i="21"/>
  <c r="AB23" i="4" s="1"/>
  <c r="AB26" i="4" s="1"/>
  <c r="AK120" i="21"/>
  <c r="AK121" i="21" s="1"/>
  <c r="AK105" i="21" s="1"/>
  <c r="AK113" i="21" s="1"/>
  <c r="AK104" i="21"/>
  <c r="AK112" i="21" s="1"/>
  <c r="AD6" i="4"/>
  <c r="AC8" i="4"/>
  <c r="AB18" i="4" s="1"/>
  <c r="AC24" i="4"/>
  <c r="AC11" i="4"/>
  <c r="AC20" i="4" s="1"/>
  <c r="AE9" i="21"/>
  <c r="AD88" i="21"/>
  <c r="AB27" i="4" s="1"/>
  <c r="AD58" i="21"/>
  <c r="AD31" i="21"/>
  <c r="AH84" i="21" l="1"/>
  <c r="Z39" i="4"/>
  <c r="AA39" i="4" s="1"/>
  <c r="AE44" i="4"/>
  <c r="AF13" i="4" s="1"/>
  <c r="AF44" i="4"/>
  <c r="Z12" i="4"/>
  <c r="Z28" i="4" s="1"/>
  <c r="Z38" i="4"/>
  <c r="AA38" i="4" s="1"/>
  <c r="AC17" i="21"/>
  <c r="AA9" i="4" s="1"/>
  <c r="AA12" i="4" s="1"/>
  <c r="AA28" i="4" s="1"/>
  <c r="AB40" i="4"/>
  <c r="AD24" i="21" s="1"/>
  <c r="AB10" i="4" s="1"/>
  <c r="AK115" i="21"/>
  <c r="AK117" i="21" s="1"/>
  <c r="AB21" i="4" s="1"/>
  <c r="AE51" i="21"/>
  <c r="AC23" i="4" s="1"/>
  <c r="AC26" i="4" s="1"/>
  <c r="AL120" i="21"/>
  <c r="AL121" i="21" s="1"/>
  <c r="AL105" i="21" s="1"/>
  <c r="AL113" i="21" s="1"/>
  <c r="AL104" i="21"/>
  <c r="AL112" i="21" s="1"/>
  <c r="AE6" i="4"/>
  <c r="AD8" i="4"/>
  <c r="AC18" i="4" s="1"/>
  <c r="AD24" i="4"/>
  <c r="AD11" i="4"/>
  <c r="AD20" i="4" s="1"/>
  <c r="AF9" i="21"/>
  <c r="AE58" i="21"/>
  <c r="AE88" i="21"/>
  <c r="AC27" i="4" s="1"/>
  <c r="AE31" i="21"/>
  <c r="AB39" i="4" l="1"/>
  <c r="AD17" i="21"/>
  <c r="AB9" i="4" s="1"/>
  <c r="AB12" i="4" s="1"/>
  <c r="AB28" i="4" s="1"/>
  <c r="AC40" i="4"/>
  <c r="AE24" i="21" s="1"/>
  <c r="AC10" i="4" s="1"/>
  <c r="AL115" i="21"/>
  <c r="AL117" i="21" s="1"/>
  <c r="AC21" i="4" s="1"/>
  <c r="AF51" i="21"/>
  <c r="AD23" i="4" s="1"/>
  <c r="AD26" i="4" s="1"/>
  <c r="AM104" i="21"/>
  <c r="AM112" i="21" s="1"/>
  <c r="AM120" i="21"/>
  <c r="AM121" i="21" s="1"/>
  <c r="AM105" i="21" s="1"/>
  <c r="AM113" i="21" s="1"/>
  <c r="AB38" i="4"/>
  <c r="AF6" i="4"/>
  <c r="AE8" i="4"/>
  <c r="AD18" i="4" s="1"/>
  <c r="AE24" i="4"/>
  <c r="AE11" i="4"/>
  <c r="AE20" i="4" s="1"/>
  <c r="AG9" i="21"/>
  <c r="AF31" i="21"/>
  <c r="AF58" i="21"/>
  <c r="AF88" i="21"/>
  <c r="AD27" i="4" s="1"/>
  <c r="AE17" i="21" l="1"/>
  <c r="AC9" i="4" s="1"/>
  <c r="AC12" i="4" s="1"/>
  <c r="AC28" i="4" s="1"/>
  <c r="AC39" i="4"/>
  <c r="AD40" i="4"/>
  <c r="AF24" i="21" s="1"/>
  <c r="AD10" i="4" s="1"/>
  <c r="AM115" i="21"/>
  <c r="AM117" i="21" s="1"/>
  <c r="AD21" i="4" s="1"/>
  <c r="AG51" i="21"/>
  <c r="AE23" i="4" s="1"/>
  <c r="AE26" i="4" s="1"/>
  <c r="AN104" i="21"/>
  <c r="AN112" i="21" s="1"/>
  <c r="AN120" i="21"/>
  <c r="AN121" i="21" s="1"/>
  <c r="AN105" i="21" s="1"/>
  <c r="AN113" i="21" s="1"/>
  <c r="AC38" i="4"/>
  <c r="AF8" i="4"/>
  <c r="AF24" i="4"/>
  <c r="AF11" i="4"/>
  <c r="AF20" i="4" s="1"/>
  <c r="AH9" i="21"/>
  <c r="AG31" i="21"/>
  <c r="AG58" i="21"/>
  <c r="AG88" i="21"/>
  <c r="AE27" i="4" s="1"/>
  <c r="AD39" i="4" l="1"/>
  <c r="AE18" i="4"/>
  <c r="AF18" i="4"/>
  <c r="AF17" i="21"/>
  <c r="AD9" i="4" s="1"/>
  <c r="AD12" i="4" s="1"/>
  <c r="AD28" i="4" s="1"/>
  <c r="AE40" i="4"/>
  <c r="AG17" i="21" s="1"/>
  <c r="AE9" i="4" s="1"/>
  <c r="AH51" i="21"/>
  <c r="AF23" i="4" s="1"/>
  <c r="AG23" i="4" s="1"/>
  <c r="AO120" i="21"/>
  <c r="AO121" i="21" s="1"/>
  <c r="AO105" i="21" s="1"/>
  <c r="AO113" i="21" s="1"/>
  <c r="AO104" i="21"/>
  <c r="AO112" i="21" s="1"/>
  <c r="AN115" i="21"/>
  <c r="AN117" i="21" s="1"/>
  <c r="AE21" i="4" s="1"/>
  <c r="AD38" i="4"/>
  <c r="AH31" i="21"/>
  <c r="AH58" i="21"/>
  <c r="AH88" i="21"/>
  <c r="AF27" i="4" s="1"/>
  <c r="G9" i="4"/>
  <c r="G19" i="4" s="1"/>
  <c r="G22" i="4" s="1"/>
  <c r="AG24" i="21" l="1"/>
  <c r="AE10" i="4" s="1"/>
  <c r="AE38" i="4" s="1"/>
  <c r="G41" i="4"/>
  <c r="H41" i="4" s="1"/>
  <c r="G34" i="4"/>
  <c r="G36" i="4" s="1"/>
  <c r="G43" i="4" s="1"/>
  <c r="AO115" i="21"/>
  <c r="AO117" i="21" s="1"/>
  <c r="AF21" i="4" s="1"/>
  <c r="AF40" i="4"/>
  <c r="AG40" i="4" s="1"/>
  <c r="AF26" i="4"/>
  <c r="G12" i="4"/>
  <c r="AE12" i="4" l="1"/>
  <c r="AE28" i="4" s="1"/>
  <c r="AE39" i="4"/>
  <c r="AH24" i="21"/>
  <c r="AF10" i="4" s="1"/>
  <c r="AF38" i="4" s="1"/>
  <c r="AG38" i="4" s="1"/>
  <c r="AH17" i="21"/>
  <c r="AF9" i="4" s="1"/>
  <c r="AG9" i="4" s="1"/>
  <c r="AH24" i="4" s="1"/>
  <c r="I41" i="4"/>
  <c r="J41" i="4" s="1"/>
  <c r="K41" i="4" s="1"/>
  <c r="L41" i="4" s="1"/>
  <c r="M41" i="4" s="1"/>
  <c r="N41" i="4" s="1"/>
  <c r="O41" i="4" s="1"/>
  <c r="P41" i="4" s="1"/>
  <c r="Q41" i="4" s="1"/>
  <c r="R41" i="4" s="1"/>
  <c r="S41" i="4" s="1"/>
  <c r="T41" i="4" s="1"/>
  <c r="U41" i="4" s="1"/>
  <c r="V41" i="4" s="1"/>
  <c r="W41" i="4" s="1"/>
  <c r="X41" i="4" s="1"/>
  <c r="Y41" i="4" s="1"/>
  <c r="Z41" i="4" s="1"/>
  <c r="AA41" i="4" s="1"/>
  <c r="AB41" i="4" s="1"/>
  <c r="AC41" i="4" s="1"/>
  <c r="AD41" i="4" s="1"/>
  <c r="AE41" i="4" s="1"/>
  <c r="AF39" i="4" l="1"/>
  <c r="AG39" i="4" s="1"/>
  <c r="AF41" i="4"/>
  <c r="AG41" i="4" s="1"/>
  <c r="AF12" i="4"/>
  <c r="AF28" i="4" s="1"/>
  <c r="H15" i="4"/>
  <c r="H16" i="4" s="1"/>
  <c r="H17" i="4" s="1"/>
  <c r="K95" i="21" s="1"/>
  <c r="H19" i="4" l="1"/>
  <c r="H22" i="4" s="1"/>
  <c r="H29" i="4"/>
  <c r="H30" i="4"/>
  <c r="H32" i="4" l="1"/>
  <c r="H34" i="4" s="1"/>
  <c r="H35" i="4"/>
  <c r="H36" i="4" l="1"/>
  <c r="H43" i="4" s="1"/>
  <c r="I16" i="4"/>
  <c r="I17" i="4" s="1"/>
  <c r="L95" i="21" s="1"/>
  <c r="I30" i="4" l="1"/>
  <c r="I29" i="4"/>
  <c r="I19" i="4"/>
  <c r="I22" i="4" s="1"/>
  <c r="I32" i="4" l="1"/>
  <c r="I34" i="4" s="1"/>
  <c r="I35" i="4"/>
  <c r="I36" i="4" l="1"/>
  <c r="J15" i="4" l="1"/>
  <c r="J16" i="4" s="1"/>
  <c r="J17" i="4" s="1"/>
  <c r="J19" i="4" s="1"/>
  <c r="J22" i="4" s="1"/>
  <c r="I43" i="4"/>
  <c r="M95" i="21" l="1"/>
  <c r="J30" i="4"/>
  <c r="J29" i="4"/>
  <c r="J32" i="4" l="1"/>
  <c r="J34" i="4" s="1"/>
  <c r="J35" i="4"/>
  <c r="J36" i="4" l="1"/>
  <c r="J43" i="4" s="1"/>
  <c r="K15" i="4"/>
  <c r="K16" i="4" s="1"/>
  <c r="K17" i="4" s="1"/>
  <c r="N95" i="21" s="1"/>
  <c r="N96" i="21" s="1"/>
  <c r="K29" i="4" s="1"/>
  <c r="K19" i="4" l="1"/>
  <c r="K22" i="4" s="1"/>
  <c r="K30" i="4"/>
  <c r="K35" i="4" s="1"/>
  <c r="K32" i="4" l="1"/>
  <c r="K34" i="4" s="1"/>
  <c r="K36" i="4" s="1"/>
  <c r="K43" i="4" s="1"/>
  <c r="L15" i="4" s="1"/>
  <c r="L16" i="4" s="1"/>
  <c r="L17" i="4" s="1"/>
  <c r="O95" i="21" s="1"/>
  <c r="O96" i="21" s="1"/>
  <c r="L29" i="4" s="1"/>
  <c r="L19" i="4" l="1"/>
  <c r="L22" i="4" s="1"/>
  <c r="L35" i="4"/>
  <c r="L32" i="4"/>
  <c r="L34" i="4" l="1"/>
  <c r="L36" i="4" s="1"/>
  <c r="L43" i="4" s="1"/>
  <c r="M15" i="4" l="1"/>
  <c r="M16" i="4" s="1"/>
  <c r="M17" i="4" s="1"/>
  <c r="M19" i="4" l="1"/>
  <c r="M22" i="4" s="1"/>
  <c r="P95" i="21"/>
  <c r="P96" i="21" s="1"/>
  <c r="M29" i="4" s="1"/>
  <c r="M32" i="4" l="1"/>
  <c r="M34" i="4" s="1"/>
  <c r="M35" i="4"/>
  <c r="M36" i="4" l="1"/>
  <c r="M43" i="4" s="1"/>
  <c r="N15" i="4" s="1"/>
  <c r="N16" i="4" s="1"/>
  <c r="N17" i="4" s="1"/>
  <c r="Q95" i="21" l="1"/>
  <c r="N19" i="4"/>
  <c r="N22" i="4" s="1"/>
  <c r="Q98" i="21" l="1"/>
  <c r="N30" i="4" s="1"/>
  <c r="Q96" i="21"/>
  <c r="N29" i="4" s="1"/>
  <c r="N35" i="4" l="1"/>
  <c r="N32" i="4"/>
  <c r="N34" i="4" s="1"/>
  <c r="N36" i="4" l="1"/>
  <c r="N43" i="4" s="1"/>
  <c r="O15" i="4" s="1"/>
  <c r="O16" i="4" s="1"/>
  <c r="O17" i="4" s="1"/>
  <c r="O19" i="4" s="1"/>
  <c r="O22" i="4" s="1"/>
  <c r="R95" i="21" l="1"/>
  <c r="R98" i="21" s="1"/>
  <c r="O30" i="4" s="1"/>
  <c r="R96" i="21" l="1"/>
  <c r="O29" i="4" s="1"/>
  <c r="O32" i="4" s="1"/>
  <c r="O34" i="4" s="1"/>
  <c r="O35" i="4" l="1"/>
  <c r="O36" i="4" s="1"/>
  <c r="O43" i="4" s="1"/>
  <c r="P15" i="4" l="1"/>
  <c r="P16" i="4" s="1"/>
  <c r="P17" i="4" s="1"/>
  <c r="S95" i="21" l="1"/>
  <c r="P19" i="4"/>
  <c r="P22" i="4" s="1"/>
  <c r="S98" i="21" l="1"/>
  <c r="P30" i="4" s="1"/>
  <c r="S96" i="21"/>
  <c r="P29" i="4" l="1"/>
  <c r="P35" i="4" s="1"/>
  <c r="P32" i="4" l="1"/>
  <c r="P34" i="4" s="1"/>
  <c r="P36" i="4" s="1"/>
  <c r="P43" i="4" s="1"/>
  <c r="Q15" i="4" l="1"/>
  <c r="Q16" i="4" s="1"/>
  <c r="Q17" i="4" s="1"/>
  <c r="T95" i="21" l="1"/>
  <c r="T96" i="21" s="1"/>
  <c r="Q19" i="4"/>
  <c r="Q22" i="4" s="1"/>
  <c r="R15" i="4"/>
  <c r="R16" i="4" s="1"/>
  <c r="R17" i="4" s="1"/>
  <c r="U95" i="21" l="1"/>
  <c r="U98" i="21" s="1"/>
  <c r="R19" i="4"/>
  <c r="R22" i="4" s="1"/>
  <c r="Q29" i="4"/>
  <c r="T98" i="21"/>
  <c r="Q30" i="4" s="1"/>
  <c r="R30" i="4" l="1"/>
  <c r="U96" i="21"/>
  <c r="R29" i="4" s="1"/>
  <c r="Q35" i="4"/>
  <c r="Q32" i="4"/>
  <c r="Q34" i="4" s="1"/>
  <c r="Q36" i="4" l="1"/>
  <c r="Q43" i="4" s="1"/>
  <c r="R35" i="4"/>
  <c r="R32" i="4"/>
  <c r="R34" i="4" s="1"/>
  <c r="S15" i="4"/>
  <c r="S16" i="4" s="1"/>
  <c r="S17" i="4" s="1"/>
  <c r="R36" i="4" l="1"/>
  <c r="R43" i="4" s="1"/>
  <c r="V95" i="21"/>
  <c r="S19" i="4"/>
  <c r="S22" i="4" s="1"/>
  <c r="V96" i="21" l="1"/>
  <c r="S29" i="4" s="1"/>
  <c r="V98" i="21"/>
  <c r="S30" i="4" s="1"/>
  <c r="S32" i="4" l="1"/>
  <c r="S34" i="4" s="1"/>
  <c r="S35" i="4"/>
  <c r="S36" i="4" l="1"/>
  <c r="S43" i="4" s="1"/>
  <c r="T15" i="4" s="1"/>
  <c r="T16" i="4" s="1"/>
  <c r="T17" i="4" s="1"/>
  <c r="W95" i="21" l="1"/>
  <c r="W98" i="21" s="1"/>
  <c r="T19" i="4"/>
  <c r="T22" i="4" s="1"/>
  <c r="T30" i="4" l="1"/>
  <c r="W96" i="21"/>
  <c r="T29" i="4" s="1"/>
  <c r="T32" i="4" l="1"/>
  <c r="T34" i="4" s="1"/>
  <c r="T35" i="4"/>
  <c r="T36" i="4" l="1"/>
  <c r="T43" i="4" s="1"/>
  <c r="U15" i="4" s="1"/>
  <c r="U16" i="4" s="1"/>
  <c r="U17" i="4" s="1"/>
  <c r="U19" i="4" s="1"/>
  <c r="U22" i="4" s="1"/>
  <c r="X95" i="21" l="1"/>
  <c r="X98" i="21" s="1"/>
  <c r="U30" i="4" s="1"/>
  <c r="X96" i="21" l="1"/>
  <c r="U29" i="4" s="1"/>
  <c r="U32" i="4" s="1"/>
  <c r="U34" i="4" s="1"/>
  <c r="U35" i="4" l="1"/>
  <c r="U36" i="4" s="1"/>
  <c r="U43" i="4" s="1"/>
  <c r="V15" i="4" s="1"/>
  <c r="V16" i="4" s="1"/>
  <c r="V17" i="4" s="1"/>
  <c r="Y95" i="21" l="1"/>
  <c r="V19" i="4"/>
  <c r="V22" i="4" s="1"/>
  <c r="Y98" i="21" l="1"/>
  <c r="V30" i="4" s="1"/>
  <c r="Y96" i="21"/>
  <c r="V29" i="4" s="1"/>
  <c r="V32" i="4" l="1"/>
  <c r="V34" i="4" s="1"/>
  <c r="V35" i="4"/>
  <c r="V36" i="4" l="1"/>
  <c r="V43" i="4" s="1"/>
  <c r="W15" i="4" s="1"/>
  <c r="W16" i="4" s="1"/>
  <c r="W17" i="4" s="1"/>
  <c r="W19" i="4" s="1"/>
  <c r="W22" i="4" s="1"/>
  <c r="Z95" i="21" l="1"/>
  <c r="Z96" i="21" s="1"/>
  <c r="W29" i="4" s="1"/>
  <c r="Z98" i="21" l="1"/>
  <c r="W30" i="4" s="1"/>
  <c r="W32" i="4" s="1"/>
  <c r="W34" i="4" s="1"/>
  <c r="W35" i="4" l="1"/>
  <c r="W36" i="4" s="1"/>
  <c r="W43" i="4" s="1"/>
  <c r="X15" i="4" s="1"/>
  <c r="X16" i="4" s="1"/>
  <c r="X17" i="4" s="1"/>
  <c r="X19" i="4" l="1"/>
  <c r="X22" i="4" s="1"/>
  <c r="AA95" i="21"/>
  <c r="AA96" i="21" s="1"/>
  <c r="X29" i="4" s="1"/>
  <c r="AA98" i="21" l="1"/>
  <c r="X30" i="4" s="1"/>
  <c r="X32" i="4" s="1"/>
  <c r="X34" i="4" s="1"/>
  <c r="X35" i="4" l="1"/>
  <c r="X36" i="4" s="1"/>
  <c r="X43" i="4" s="1"/>
  <c r="Y15" i="4" s="1"/>
  <c r="Y16" i="4" s="1"/>
  <c r="Y17" i="4" s="1"/>
  <c r="AB95" i="21" l="1"/>
  <c r="Y19" i="4"/>
  <c r="Y22" i="4" s="1"/>
  <c r="AB96" i="21" l="1"/>
  <c r="Y29" i="4" s="1"/>
  <c r="AB98" i="21"/>
  <c r="Y30" i="4" s="1"/>
  <c r="Y35" i="4" l="1"/>
  <c r="Y32" i="4"/>
  <c r="Y34" i="4" s="1"/>
  <c r="Y36" i="4" l="1"/>
  <c r="Y43" i="4" s="1"/>
  <c r="Z15" i="4" s="1"/>
  <c r="Z16" i="4" s="1"/>
  <c r="Z17" i="4" s="1"/>
  <c r="AC95" i="21" s="1"/>
  <c r="Z19" i="4" l="1"/>
  <c r="Z22" i="4" s="1"/>
  <c r="AC96" i="21"/>
  <c r="Z29" i="4" s="1"/>
  <c r="AC98" i="21"/>
  <c r="Z30" i="4" s="1"/>
  <c r="Z32" i="4" l="1"/>
  <c r="Z34" i="4" s="1"/>
  <c r="Z35" i="4"/>
  <c r="Z36" i="4" l="1"/>
  <c r="Z43" i="4" s="1"/>
  <c r="AA15" i="4" s="1"/>
  <c r="AA16" i="4" s="1"/>
  <c r="AA17" i="4" s="1"/>
  <c r="AD95" i="21" l="1"/>
  <c r="AA19" i="4"/>
  <c r="AA22" i="4" s="1"/>
  <c r="AD98" i="21" l="1"/>
  <c r="AA30" i="4" s="1"/>
  <c r="AD96" i="21"/>
  <c r="AA29" i="4" s="1"/>
  <c r="AA35" i="4" l="1"/>
  <c r="AA32" i="4"/>
  <c r="AA34" i="4" s="1"/>
  <c r="AA36" i="4" l="1"/>
  <c r="AA43" i="4" s="1"/>
  <c r="AB15" i="4" s="1"/>
  <c r="AB16" i="4" s="1"/>
  <c r="AB17" i="4" s="1"/>
  <c r="AE95" i="21" s="1"/>
  <c r="AB19" i="4" l="1"/>
  <c r="AB22" i="4" s="1"/>
  <c r="AE98" i="21"/>
  <c r="AB30" i="4" s="1"/>
  <c r="AE96" i="21"/>
  <c r="AB29" i="4" s="1"/>
  <c r="AB35" i="4" l="1"/>
  <c r="AB32" i="4"/>
  <c r="AB34" i="4" s="1"/>
  <c r="AB36" i="4" l="1"/>
  <c r="AB43" i="4" s="1"/>
  <c r="AC15" i="4" s="1"/>
  <c r="AC16" i="4" s="1"/>
  <c r="AC17" i="4" s="1"/>
  <c r="AF95" i="21" s="1"/>
  <c r="AC19" i="4" l="1"/>
  <c r="AC22" i="4" s="1"/>
  <c r="AF98" i="21"/>
  <c r="AC30" i="4" s="1"/>
  <c r="AF96" i="21"/>
  <c r="AC29" i="4" s="1"/>
  <c r="AC32" i="4" l="1"/>
  <c r="AC34" i="4" s="1"/>
  <c r="AC35" i="4"/>
  <c r="AC36" i="4" l="1"/>
  <c r="AC43" i="4" s="1"/>
  <c r="AD15" i="4" s="1"/>
  <c r="AD16" i="4" s="1"/>
  <c r="AD17" i="4" s="1"/>
  <c r="AG95" i="21" l="1"/>
  <c r="AD19" i="4"/>
  <c r="AD22" i="4" s="1"/>
  <c r="AG96" i="21" l="1"/>
  <c r="AD29" i="4" s="1"/>
  <c r="AG98" i="21"/>
  <c r="AD30" i="4" s="1"/>
  <c r="AD32" i="4" l="1"/>
  <c r="AD34" i="4" s="1"/>
  <c r="AD35" i="4"/>
  <c r="AD36" i="4" l="1"/>
  <c r="AD43" i="4" s="1"/>
  <c r="AE15" i="4" s="1"/>
  <c r="AE16" i="4" s="1"/>
  <c r="AE17" i="4" s="1"/>
  <c r="AH95" i="21" l="1"/>
  <c r="AE19" i="4"/>
  <c r="AE22" i="4" s="1"/>
  <c r="AH98" i="21" l="1"/>
  <c r="AE30" i="4" s="1"/>
  <c r="AH96" i="21"/>
  <c r="AE29" i="4" s="1"/>
  <c r="AE32" i="4" l="1"/>
  <c r="AE34" i="4" s="1"/>
  <c r="AE35" i="4"/>
  <c r="AE36" i="4" l="1"/>
  <c r="AE43" i="4" s="1"/>
  <c r="AF15" i="4" s="1"/>
  <c r="AF16" i="4" s="1"/>
  <c r="AF17" i="4" s="1"/>
  <c r="AI95" i="21" l="1"/>
  <c r="AF19" i="4"/>
  <c r="AF22" i="4" s="1"/>
  <c r="AI98" i="21" l="1"/>
  <c r="AF30" i="4" s="1"/>
  <c r="AI96" i="21"/>
  <c r="AF29" i="4" s="1"/>
  <c r="AF35" i="4" l="1"/>
  <c r="AF32" i="4"/>
  <c r="AF34" i="4" s="1"/>
  <c r="D71" i="4" l="1"/>
  <c r="AF36" i="4"/>
  <c r="AF43" i="4" s="1"/>
  <c r="D70" i="4" s="1"/>
  <c r="D77" i="4" l="1"/>
  <c r="D78" i="4"/>
  <c r="D72" i="4"/>
  <c r="D75" i="4" s="1"/>
  <c r="E77" i="4" l="1"/>
  <c r="E71" i="4"/>
  <c r="E70" i="4"/>
  <c r="E78" i="4"/>
  <c r="D74" i="4"/>
  <c r="M37" i="1" s="1"/>
  <c r="H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2"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Gabriel Gonçalves</author>
  </authors>
  <commentList>
    <comment ref="D42" authorId="0" shapeId="0" xr:uid="{963C120F-11A6-4FE4-A900-C325EE88F387}">
      <text>
        <r>
          <rPr>
            <b/>
            <sz val="9"/>
            <color indexed="81"/>
            <rFont val="Tahoma"/>
            <family val="2"/>
          </rPr>
          <t>Gabriel Gonçalves:</t>
        </r>
        <r>
          <rPr>
            <sz val="9"/>
            <color indexed="81"/>
            <rFont val="Tahoma"/>
            <family val="2"/>
          </rPr>
          <t xml:space="preserve">
Was not publicly traded 3 years ago
</t>
        </r>
      </text>
    </comment>
    <comment ref="F42" authorId="0" shapeId="0" xr:uid="{8ABE8C1D-26AC-4559-BC66-B826CC53916B}">
      <text>
        <r>
          <rPr>
            <b/>
            <sz val="9"/>
            <color indexed="81"/>
            <rFont val="Tahoma"/>
            <family val="2"/>
          </rPr>
          <t>Gabriel Gonçalves:</t>
        </r>
        <r>
          <rPr>
            <sz val="9"/>
            <color indexed="81"/>
            <rFont val="Tahoma"/>
            <family val="2"/>
          </rPr>
          <t xml:space="preserve">
Was not publicly traded 3 years ago
</t>
        </r>
      </text>
    </comment>
    <comment ref="B44" authorId="0" shapeId="0" xr:uid="{CE4430C6-7117-4939-A5DA-3FFD95C3CCD6}">
      <text>
        <r>
          <rPr>
            <b/>
            <sz val="9"/>
            <color indexed="81"/>
            <rFont val="Tahoma"/>
            <family val="2"/>
          </rPr>
          <t>Gabriel Gonçalves:</t>
        </r>
        <r>
          <rPr>
            <sz val="9"/>
            <color indexed="81"/>
            <rFont val="Tahoma"/>
            <family val="2"/>
          </rPr>
          <t xml:space="preserve">
Yahoo Finance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tc={0A58B102-058A-6540-A9B4-386407E8B307}</author>
    <author>Vasco Botelho Afonso</author>
  </authors>
  <commentList>
    <comment ref="G22" authorId="0" shapeId="0" xr:uid="{0A58B102-058A-6540-A9B4-386407E8B307}">
      <text>
        <t xml:space="preserve">[Threaded comment]
Your version of Excel allows you to read this threaded comment; however, any edits to it will get removed if the file is opened in a newer version of Excel. Learn more: https://go.microsoft.com/fwlink/?linkid=870924
Comment:
    Este valor ta a causar o problema rever
</t>
      </text>
    </comment>
    <comment ref="D58" authorId="1" shapeId="0" xr:uid="{AAB595D9-B241-5C48-AEA4-291650A82E9D}">
      <text>
        <r>
          <rPr>
            <b/>
            <sz val="10"/>
            <color rgb="FF000000"/>
            <rFont val="Tahoma"/>
            <family val="2"/>
          </rPr>
          <t>Vasco Botelho Afonso:</t>
        </r>
        <r>
          <rPr>
            <sz val="10"/>
            <color rgb="FF000000"/>
            <rFont val="Tahoma"/>
            <family val="2"/>
          </rPr>
          <t xml:space="preserve">
</t>
        </r>
        <r>
          <rPr>
            <sz val="10"/>
            <color rgb="FF000000"/>
            <rFont val="Tahoma"/>
            <family val="2"/>
          </rPr>
          <t xml:space="preserve">US 5Y TY
</t>
        </r>
      </text>
    </comment>
    <comment ref="E58" authorId="1" shapeId="0" xr:uid="{C07535C9-932A-ED4F-BD9C-0A6AF883C979}">
      <text>
        <r>
          <rPr>
            <b/>
            <sz val="10"/>
            <color rgb="FF000000"/>
            <rFont val="Tahoma"/>
            <family val="2"/>
          </rPr>
          <t>Vasco Botelho Afonso:</t>
        </r>
        <r>
          <rPr>
            <sz val="10"/>
            <color rgb="FF000000"/>
            <rFont val="Tahoma"/>
            <family val="2"/>
          </rPr>
          <t xml:space="preserve">
</t>
        </r>
        <r>
          <rPr>
            <sz val="10"/>
            <color rgb="FF000000"/>
            <rFont val="Tahoma"/>
            <family val="2"/>
          </rPr>
          <t xml:space="preserve">US 30Y TY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Miguel Alcobia</author>
    <author>Vasco Botelho Afonso</author>
  </authors>
  <commentList>
    <comment ref="B10" authorId="0" shapeId="0" xr:uid="{F6D23F44-2008-F74A-A9CF-6ACB6E6EE31F}">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Using the Base Scenario</t>
        </r>
      </text>
    </comment>
    <comment ref="B35" authorId="1" shapeId="0" xr:uid="{3C8A1F11-5AF6-B048-B136-CF22F0D85019}">
      <text>
        <r>
          <rPr>
            <b/>
            <sz val="10"/>
            <color rgb="FF000000"/>
            <rFont val="Tahoma"/>
            <family val="2"/>
          </rPr>
          <t>Vasco Botelho Afonso:</t>
        </r>
        <r>
          <rPr>
            <sz val="10"/>
            <color rgb="FF000000"/>
            <rFont val="Tahoma"/>
            <family val="2"/>
          </rPr>
          <t xml:space="preserve">
</t>
        </r>
        <r>
          <rPr>
            <sz val="10"/>
            <color rgb="FF000000"/>
            <rFont val="Tahoma"/>
            <family val="2"/>
          </rPr>
          <t xml:space="preserve">Annual Report Pg 107
</t>
        </r>
      </text>
    </comment>
    <comment ref="B135" authorId="0" shapeId="0" xr:uid="{CADFFD67-A0CA-1140-B4E1-6D4D9F1D4061}">
      <text>
        <r>
          <rPr>
            <b/>
            <sz val="10"/>
            <color rgb="FF000000"/>
            <rFont val="Tahoma"/>
            <family val="2"/>
          </rPr>
          <t>Miguel Alcobia:</t>
        </r>
        <r>
          <rPr>
            <sz val="10"/>
            <color rgb="FF000000"/>
            <rFont val="Tahoma"/>
            <family val="2"/>
          </rPr>
          <t xml:space="preserve">
</t>
        </r>
        <r>
          <rPr>
            <sz val="10"/>
            <color rgb="FF000000"/>
            <rFont val="Tahoma"/>
            <family val="2"/>
          </rPr>
          <t xml:space="preserve">Goodwill / Net Sales
</t>
        </r>
        <r>
          <rPr>
            <sz val="10"/>
            <color rgb="FF000000"/>
            <rFont val="Tahoma"/>
            <family val="2"/>
          </rPr>
          <t xml:space="preserve">
</t>
        </r>
        <r>
          <rPr>
            <sz val="10"/>
            <color rgb="FF000000"/>
            <rFont val="Tahoma"/>
            <family val="2"/>
          </rPr>
          <t>Source: Seeking Alpha</t>
        </r>
      </text>
    </comment>
    <comment ref="B140" authorId="0" shapeId="0" xr:uid="{04846C3E-19FD-3142-AC24-6CA8F5230601}">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Source: 10-K Forms
</t>
        </r>
        <r>
          <rPr>
            <sz val="10"/>
            <color rgb="FF000000"/>
            <rFont val="Tahoma"/>
            <family val="2"/>
          </rPr>
          <t xml:space="preserve">
</t>
        </r>
        <r>
          <rPr>
            <sz val="10"/>
            <color rgb="FF000000"/>
            <rFont val="Tahoma"/>
            <family val="2"/>
          </rPr>
          <t>Operating Lease Rates (page 53)</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6"/>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<sst xmlns="http://schemas.openxmlformats.org/spreadsheetml/2006/main" count="2011" uniqueCount="945">
  <si>
    <t>Team 1</t>
  </si>
  <si>
    <t>NYSE</t>
  </si>
  <si>
    <t xml:space="preserve">SIC: </t>
  </si>
  <si>
    <t>COMPANY DESCRIPTION</t>
  </si>
  <si>
    <t>CEO &amp; BOARD OF DIRECTORS</t>
  </si>
  <si>
    <t>Uber Technologies, Inc. is a technology platform that uses a massive network, leading technology, operational excellence and product expertise to power movement from point A to point B. They develop and operate proprietary technology applications supporting a variety of offerings on their platform. Uber connects consumers with independent providers of ride services for ride sharing services, and connects riders and other consumers with restaurants, grocers and other stores with delivery service providers. Uber uses the same network technology, operational excellence and product expertise to connect shippers with carriers in the freight industry.</t>
  </si>
  <si>
    <t>Name</t>
  </si>
  <si>
    <t>Gender</t>
  </si>
  <si>
    <t>Age</t>
  </si>
  <si>
    <t>Tenure</t>
  </si>
  <si>
    <t>Executive?</t>
  </si>
  <si>
    <t>Other roles</t>
  </si>
  <si>
    <t xml:space="preserve">Ronald Sugar </t>
  </si>
  <si>
    <t>Male</t>
  </si>
  <si>
    <t>No</t>
  </si>
  <si>
    <t>(Chair)Former Chairperson and CEO, Northrop Grumman</t>
  </si>
  <si>
    <t>Ursula Burns</t>
  </si>
  <si>
    <t>Female</t>
  </si>
  <si>
    <t>Chairman and Former CEO, VEON</t>
  </si>
  <si>
    <t>Dara Khosrowshahi</t>
  </si>
  <si>
    <t>Yes</t>
  </si>
  <si>
    <t>CEO, Uber</t>
  </si>
  <si>
    <t>Wan Ling Martello</t>
  </si>
  <si>
    <t>Co-founder and Partner, BayPine; Former Executive Vice President, Nestle</t>
  </si>
  <si>
    <t xml:space="preserve">John ThainFormer </t>
  </si>
  <si>
    <t>Chairman and CEO, CIT Group</t>
  </si>
  <si>
    <t xml:space="preserve">David TrujilloPartner, </t>
  </si>
  <si>
    <t>TPG</t>
  </si>
  <si>
    <t xml:space="preserve">Amanda GinsbergFormer </t>
  </si>
  <si>
    <t>CEO, Match Group</t>
  </si>
  <si>
    <t>Robert EckertPartner</t>
  </si>
  <si>
    <t>FFL Partners; Former CEO, Mattel</t>
  </si>
  <si>
    <t>Revathi Advaithi</t>
  </si>
  <si>
    <t>CEO, Flex Ltd.</t>
  </si>
  <si>
    <t>USD MILLIONS</t>
  </si>
  <si>
    <t>Alexander Wynaendts</t>
  </si>
  <si>
    <t>Former CEO and Chairman of Aegon</t>
  </si>
  <si>
    <t>COMPANY OVERVIEW</t>
  </si>
  <si>
    <t>Stock</t>
  </si>
  <si>
    <t>Liquidity and Solvency</t>
  </si>
  <si>
    <t>Segments</t>
  </si>
  <si>
    <t>Profitability (2022)</t>
  </si>
  <si>
    <t>Multiples</t>
  </si>
  <si>
    <t>Last Price</t>
  </si>
  <si>
    <t>Total Assets</t>
  </si>
  <si>
    <t>Regions</t>
  </si>
  <si>
    <t>% Sales</t>
  </si>
  <si>
    <t>Reporting Year</t>
  </si>
  <si>
    <t>Float</t>
  </si>
  <si>
    <t>Outstanding Shares</t>
  </si>
  <si>
    <t>Total Liabilities</t>
  </si>
  <si>
    <t>End of Year</t>
  </si>
  <si>
    <t>1 October 2022</t>
  </si>
  <si>
    <t>Insiders Own</t>
  </si>
  <si>
    <t>Market Cap.</t>
  </si>
  <si>
    <t>Cash/Share</t>
  </si>
  <si>
    <t>EBITDA</t>
  </si>
  <si>
    <t>b (Yahoo)</t>
  </si>
  <si>
    <t>+Total Debt</t>
  </si>
  <si>
    <t>EBIDTA/Net Financial Cost (NFC)</t>
  </si>
  <si>
    <t>Depreciation &amp; Amortization</t>
  </si>
  <si>
    <t>Score (S&amp;P)</t>
  </si>
  <si>
    <t>-</t>
  </si>
  <si>
    <t>-Cash</t>
  </si>
  <si>
    <t>Debt/EBITDA</t>
  </si>
  <si>
    <t>EBIT</t>
  </si>
  <si>
    <t>Price/Book Value</t>
  </si>
  <si>
    <t>=Enterprise Value</t>
  </si>
  <si>
    <t>"Others Assets"/Asset</t>
  </si>
  <si>
    <t>Net Income</t>
  </si>
  <si>
    <t>NCF(3y avg)/Asset</t>
  </si>
  <si>
    <t>Holdings (nac/int'l)</t>
  </si>
  <si>
    <t>Debt/Assets</t>
  </si>
  <si>
    <t>Categories</t>
  </si>
  <si>
    <t>EPS</t>
  </si>
  <si>
    <t>Price/Net Inc. (3y avg)</t>
  </si>
  <si>
    <t>t liq. (Holdings/Vol.)</t>
  </si>
  <si>
    <t>EBITDA Margin (average)</t>
  </si>
  <si>
    <t>ROA</t>
  </si>
  <si>
    <t>EV/Asset</t>
  </si>
  <si>
    <t>% Short</t>
  </si>
  <si>
    <t>Operating Margin (average)</t>
  </si>
  <si>
    <t>ROIC</t>
  </si>
  <si>
    <t>EV/Ebidta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</si>
  <si>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</si>
  <si>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</si>
  <si>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</si>
  <si>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</si>
  <si>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</si>
  <si>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</si>
  <si>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</si>
  <si>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</si>
  <si>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</si>
  <si>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</si>
  <si>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</si>
  <si>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</si>
  <si>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</si>
  <si>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</si>
  <si>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</si>
  <si>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</si>
  <si>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Pillar</t>
  </si>
  <si>
    <t>Explanation</t>
  </si>
  <si>
    <t>SELL</t>
  </si>
  <si>
    <t>CHECK DCF</t>
  </si>
  <si>
    <t>Competitive Position</t>
  </si>
  <si>
    <t>It is a market leader in the ride-sharing industry, with a significant share of the global market.</t>
  </si>
  <si>
    <t>Technological Innovation</t>
  </si>
  <si>
    <t>Investments in emerging technologies, such as autonomous vehicles and electric scooters</t>
  </si>
  <si>
    <t>Network Effects</t>
  </si>
  <si>
    <t>Uber's platform benefits from network effects, as more drivers and riders join, making it more attractive to both parties.</t>
  </si>
  <si>
    <t>Risks of Investment</t>
  </si>
  <si>
    <t>Price Target</t>
  </si>
  <si>
    <t>Valuation</t>
  </si>
  <si>
    <t>Risk</t>
  </si>
  <si>
    <t>Discount Rate</t>
  </si>
  <si>
    <t>Downside</t>
  </si>
  <si>
    <t>Regulatory Environment</t>
  </si>
  <si>
    <t>Changes in regulations can significantly impact Uber's operations.</t>
  </si>
  <si>
    <t>Dependence on Gig Workers</t>
  </si>
  <si>
    <t>The model of relying on gig workers can lead to labor disputes and potential increased costs.</t>
  </si>
  <si>
    <t>Competition</t>
  </si>
  <si>
    <t>Uber faces strong competition from other ride-sharing and food delivery companies, both domestically and internationally.</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</si>
  <si>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</si>
  <si>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</si>
  <si>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</si>
  <si>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</si>
  <si>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</si>
  <si>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</si>
  <si>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</si>
  <si>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</si>
  <si>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</si>
  <si>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</si>
  <si>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</si>
  <si>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</si>
  <si>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</si>
  <si>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</si>
  <si>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</si>
  <si>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</si>
  <si>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</si>
  <si>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</si>
  <si>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</si>
  <si>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</si>
  <si>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</si>
  <si>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</si>
  <si>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</si>
  <si>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</si>
  <si>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</si>
  <si>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</si>
  <si>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</si>
  <si>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</si>
  <si>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Well-recognized brand, high standard of service, verified drivers and cars, operational cost  are quite low as it relies on customer-to-driver interaction, very little competition. A major competitor is Lyft</t>
  </si>
  <si>
    <t>Drivers Dependence, meaning that the company´s reputation is dependent on their representatives on the ground. Drivers Unhapiness, Uber does not regulate their prices with economic changes. Increased Competition.</t>
  </si>
  <si>
    <t>Opportunities</t>
  </si>
  <si>
    <t>Risks</t>
  </si>
  <si>
    <t>Exploit new and big markets in countries like India where taxi services are inconvenient and expensive, tap growing markets in suburban areas where taxi services are not available.</t>
  </si>
  <si>
    <t>Lawsuits and Regulations, the company struggles to comply with the regulations of different countries. Employee Retention, employees can easily leave if they are unhappy with the company. High Competition, passengers have got a lot of options available to them, and they choose the cheapest ride available.</t>
  </si>
  <si>
    <t>NOTES</t>
  </si>
  <si>
    <t>STOCK PERFORMANCE (5 years)</t>
  </si>
  <si>
    <t>Nasdaq</t>
  </si>
  <si>
    <t>Products</t>
  </si>
  <si>
    <t>Nominal value</t>
  </si>
  <si>
    <t>YoY Growth</t>
  </si>
  <si>
    <t>Weight</t>
  </si>
  <si>
    <t>Region</t>
  </si>
  <si>
    <t>North America (US &amp; Canada)</t>
  </si>
  <si>
    <t>EMEA (Europe Middle East and Africa)</t>
  </si>
  <si>
    <t>APAC (Asia Pacific)</t>
  </si>
  <si>
    <t>Latin America</t>
  </si>
  <si>
    <t>TOTAL</t>
  </si>
  <si>
    <t>Category</t>
  </si>
  <si>
    <t>Mobility</t>
  </si>
  <si>
    <t>Delivery</t>
  </si>
  <si>
    <t>Freight</t>
  </si>
  <si>
    <t xml:space="preserve">All other </t>
  </si>
  <si>
    <t>Description</t>
  </si>
  <si>
    <t>Graphs</t>
  </si>
  <si>
    <t>Mobility products Connect consumers with Drivers who provide rides in a variety of vehicles, such as cars, auto rickshaws, motorbikes, minibuses, or taxis. Mobility also includes activity related to our Financial Partnerships and Transit offerings.</t>
  </si>
  <si>
    <t>Delivery offerings allow consumers to search for and discover local restaurants, order a meal, and either pickup at the restaurant or have the meal delivered. In certain markets, Delivery also includes offerings for grocery, alcohol and convenience store delivery as well as select other goods</t>
  </si>
  <si>
    <t>Freight connects carriers with shippers on our platform, and gives carriers upfront, transparent pricing and the ability to book a shipment. Freight also includes transportation management and other logistics services offerings.</t>
  </si>
  <si>
    <t>All other</t>
  </si>
  <si>
    <t>This segment includes revenue from other businesses and operations, such as sales of ecosystem products, licensing, and other miscellaneous items.</t>
  </si>
  <si>
    <t>Industry</t>
  </si>
  <si>
    <t>Graphs (Industry Forecasts)</t>
  </si>
  <si>
    <t>Drivers</t>
  </si>
  <si>
    <t>&lt;</t>
  </si>
  <si>
    <t>Network effect</t>
  </si>
  <si>
    <t>One of the most important comparative advantages is the network effect that the platform has. Uber essentially benefits from what can be called hyperlocal network effects. The introduction of a new driver only improves the service for those who live in the same locality. An additional supply unit (i.e. driver) in Lisbon does not necessarily affect someone's experience in Porto. In sum, Uber's strategy is to create such an extensive network that leads to a liquidity network effect. A large driver supply leads to lower wait times and fares, which attracts more riders. Therefore Uber is clearly cheaper than a taxi and on average cheaper than other platforms according to investopedia.</t>
  </si>
  <si>
    <t xml:space="preserve">Uber Eats stands out from other food applications in its unparalleled understanding of "you." Through meticulous customer order recording and analysis, it accurately discerns individual preferences. By intuitively offering precisely what users desire, the app effortlessly tempts customers, making the ordering process a breeze. Furthermore, UberEats competitors are ignoring a very important perspective of the user ratings and feedback for the creation of a best customer experience. It offers two opinions to customer whether the service and food delivered is good or bad. This customer rating is giving a leverage to UberEATs according to CAA. </t>
  </si>
  <si>
    <t>Sales forecast</t>
  </si>
  <si>
    <t>Source</t>
  </si>
  <si>
    <t>Market Growth CGAR</t>
  </si>
  <si>
    <t>Period</t>
  </si>
  <si>
    <r>
      <rPr>
        <b/>
        <sz val="10"/>
        <color theme="1"/>
        <rFont val="Arial"/>
        <family val="2"/>
      </rPr>
      <t>Grandviewresearch for Mobility</t>
    </r>
  </si>
  <si>
    <t>2023-2030</t>
  </si>
  <si>
    <r>
      <rPr>
        <b/>
        <sz val="10"/>
        <color theme="1"/>
        <rFont val="Arial"/>
        <family val="2"/>
      </rPr>
      <t>Grandviewresearch for Delivery</t>
    </r>
  </si>
  <si>
    <t>Coherentmarketinsights for Mobility</t>
  </si>
  <si>
    <t>2022-2030</t>
  </si>
  <si>
    <t>Brandessenceresearch for Mobility</t>
  </si>
  <si>
    <t>2018-2025</t>
  </si>
  <si>
    <t>Average</t>
  </si>
  <si>
    <t>2023-2028</t>
  </si>
  <si>
    <t>Company's Strategy / Extra Notes</t>
  </si>
  <si>
    <t>In view of the need for innovation Uber has launched several iniciatives such as:</t>
  </si>
  <si>
    <t>1. "Go-Get" where families can now set up profiles that link multiple Uber accounts together so that customers can pay for rides and deliveries from a centralized account. That centralized account will also be home to real-time location and order updates. This feature is aimes to attract a new set of customers from teens as young as 13 and families who want to link accounts to even those who might feel more comfortable calling for a ride instead of using the app at all.</t>
  </si>
  <si>
    <t>2. "Uber Business Comfort" which is a ride type exclusive to business travelers. The offering includes priority pickup, newer cars, more legroom, highly rated drivers, and custom preferences. Travelers using Uber Business Comfort will also have access to a designated, 24/7 personalized support service. Within the Uber and Uber Eats app is a business hub to manage their travel needs, view their employee perks and travel policies, and travel and meal programs. Uber is also experimenting with additional benefits for business travelers, including exclusive Uber One membership promotions and the ability to earn personal perks like Uber Cash.</t>
  </si>
  <si>
    <t>3. "Uber Travel", which imports flights, hotel and restaurant reservations into the Uber app to simplify the process of requesting rides related to those bookings. In this app the user will be abel to use Uber Explore, which enables users to book activities from companies including Viator and then reserve a ride to the location as well.</t>
  </si>
  <si>
    <t>As evident from its track record, Uber exemplifies a proactive and forward-thinking corporate entity that is bound to not only survive but also flourish in the coming years, thanks to its relentless pursuit of innovation and entrepreneurial spirit. The company's unwavering commitment to staying ahead of the curve and anticipating market trends positions it as a potential trailblazer in the ever-evolving business landscape. With its innovative ethos deeply ingrained in its culture, Uber is poised to leverage cutting-edge technologies and novel business models, setting new benchmarks and conquering challenges in the dynamic future ahead.</t>
  </si>
  <si>
    <t>Some extra notes that should be mentioned, in terms of:</t>
  </si>
  <si>
    <r>
      <rPr>
        <b/>
        <sz val="10"/>
        <color rgb="FF000000"/>
        <rFont val="Arial"/>
        <family val="2"/>
      </rPr>
      <t>Mobility:</t>
    </r>
    <r>
      <rPr>
        <sz val="10"/>
        <color rgb="FF000000"/>
        <rFont val="Arial"/>
        <family val="2"/>
      </rPr>
      <t xml:space="preserve"> Uber's strategy is to create such an extensive network that leads to a </t>
    </r>
    <r>
      <rPr>
        <b/>
        <sz val="10"/>
        <color rgb="FF000000"/>
        <rFont val="Arial"/>
        <family val="2"/>
      </rPr>
      <t>liquidity network effect:</t>
    </r>
    <r>
      <rPr>
        <sz val="10"/>
        <color rgb="FF000000"/>
        <rFont val="Arial"/>
        <family val="2"/>
      </rPr>
      <t xml:space="preserve"> a large driver supply leads to lower wait times and fares, which attracts more riders. This, in turn, increases the earning potential for drivers, leading to more drivers joining the platform. Therefore, Uber rides will continue to grow, especially since Uber is expanding to other countries </t>
    </r>
    <r>
      <rPr>
        <sz val="10"/>
        <color rgb="FFFF0000"/>
        <rFont val="Arial"/>
        <family val="2"/>
      </rPr>
      <t>(which ones? how many countries are they in already?)</t>
    </r>
    <r>
      <rPr>
        <sz val="10"/>
        <color rgb="FF000000"/>
        <rFont val="Arial"/>
        <family val="2"/>
      </rPr>
      <t>. Furthermore, the CFO stated, 'Looking ahead, we are focused on extending our product, scale, and platform advantages to sustain market-leading top and bottom-line growth beyond 2023.' They are interested in achieving lower costs and high returns. In the long term, they need to be aware of competitors such as Bolt, Cabify, and Lyft and must innovate to stay competitive.</t>
    </r>
  </si>
  <si>
    <r>
      <rPr>
        <b/>
        <sz val="10"/>
        <rFont val="Arial"/>
        <family val="2"/>
      </rPr>
      <t>Delivery</t>
    </r>
    <r>
      <rPr>
        <sz val="10"/>
        <rFont val="Arial"/>
        <family val="2"/>
      </rPr>
      <t>: The Uber Eats service is expected to grow not only because of the same motives as the Mobility service but also because it's becoming a useful tool for the younger generations. However, I do not see older generations changing their behavior that much since they are accustomed to other customs. In the long term, I could not find recent innovations to the platform, which leads me to believe that Uber Eats needs to come up with transformations in some way to have an absolute advantage over its competitors such as Glove, DoorDash, Swiggy, and GrubHub.</t>
    </r>
  </si>
  <si>
    <r>
      <rPr>
        <b/>
        <sz val="10"/>
        <rFont val="Arial"/>
        <family val="2"/>
      </rPr>
      <t>Freight</t>
    </r>
    <r>
      <rPr>
        <sz val="10"/>
        <rFont val="Arial"/>
        <family val="2"/>
      </rPr>
      <t>: The Uber Freight platform is still a young and recent service from Uber. However, it has been growing at tremendous rates. As it is an infant service, the main operations are still centered in the US. However, in other continents such as the EU, Asia, and Africa, the market is still unexplored. Although it's not a new innovation, I believe that because of Uber's well-established brand, it will lead to major growth for the sector and the company.</t>
    </r>
  </si>
  <si>
    <r>
      <rPr>
        <b/>
        <sz val="10"/>
        <color rgb="FF000000"/>
        <rFont val="Arial"/>
        <family val="2"/>
      </rPr>
      <t>Remaining</t>
    </r>
    <r>
      <rPr>
        <sz val="10"/>
        <color rgb="FF000000"/>
        <rFont val="Arial"/>
        <family val="2"/>
      </rPr>
      <t xml:space="preserve"> </t>
    </r>
    <r>
      <rPr>
        <b/>
        <sz val="10"/>
        <color rgb="FF000000"/>
        <rFont val="Arial"/>
        <family val="2"/>
      </rPr>
      <t>Segments</t>
    </r>
    <r>
      <rPr>
        <sz val="10"/>
        <color rgb="FF000000"/>
        <rFont val="Arial"/>
        <family val="2"/>
      </rPr>
      <t xml:space="preserve">: as showed on the data previously described, other segments are beoming increasily irrelevant, therefore I would suggest that innovation will be essential for uber to come up with additional segments of activity.	</t>
    </r>
  </si>
  <si>
    <t>Invertir</t>
  </si>
  <si>
    <t>NO invertir</t>
  </si>
  <si>
    <t>Mantener sin elevar posición</t>
  </si>
  <si>
    <t>Mantener (y seguir comprando)</t>
  </si>
  <si>
    <t>Liquidar</t>
  </si>
  <si>
    <t>PENDIENTE</t>
  </si>
  <si>
    <t>Peer Logo</t>
  </si>
  <si>
    <t>Peer Name</t>
  </si>
  <si>
    <t>Didi Global is a leading Chinese transportation technology company founded in 2012. It has grown into one of the world's largest ride-hailing platforms, operating in over 15 countries and 400 cities globally. Didi connects millions of riders with a vast network of drivers, offering a range of transportation options from standard cars to premium vehicles. The company places a strong emphasis on safety, employing advanced technology and comprehensive screening processes. Didi's services extend beyond ride-hailing, encompassing solutions like bike-sharing, food delivery, and more. With a commitment to innovation and accessibility, Didi Global continues to shape the landscape of urban mobility worldwide.</t>
  </si>
  <si>
    <t>Lyft is a prominent transportation network company founded in 2012, based in San Francisco, California. It operates a user-friendly mobile app that connects riders with drivers for convenient and reliable ridesharing services. Lyft offers various ride options, including standard vehicles, shared rides, and luxury cars, catering to diverse transportation needs. Committed to safety, Lyft implements stringent driver screening and provides real-time tracking for secure journeys. The company has expanded its services to include bike and scooter rentals, and it actively promotes sustainable transportation solutions. Lyft's dedication to accessibility and innovation has solidified its position as a major player in the global ride-hailing industry.</t>
  </si>
  <si>
    <t xml:space="preserve"> Grab is a Southeast Asian super app founded in 2012, headquartered in Singapore. It began as a ride-hailing platform but swiftly evolved into a multi-service platform offering services like food delivery, digital payments, and more. Grab operates in over 400 cities across 8 countries, providing a wide range of services to millions of users. The company emphasizes safety, convenience, and accessibility, and aims to address various everyday needs of its diverse user base, making it a dominant player in the Southeast Asian technology and transportation ecosystem.</t>
  </si>
  <si>
    <t>In Millions USD (exc Market Cap)</t>
  </si>
  <si>
    <t>AVERAGE</t>
  </si>
  <si>
    <t>Company Info</t>
  </si>
  <si>
    <t>Market Cap</t>
  </si>
  <si>
    <t>Net Sales (current)</t>
  </si>
  <si>
    <t>Profitability</t>
  </si>
  <si>
    <t>Sales Growth (ttm)</t>
  </si>
  <si>
    <t>Sales Growth (36m)</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</si>
  <si>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</si>
  <si>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</si>
  <si>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</si>
  <si>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</si>
  <si>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</si>
  <si>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</si>
  <si>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</si>
  <si>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</si>
  <si>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</si>
  <si>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</si>
  <si>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</si>
  <si>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</si>
  <si>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</si>
  <si>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</si>
  <si>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</si>
  <si>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</si>
  <si>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</si>
  <si>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</si>
  <si>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</si>
  <si>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</si>
  <si>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</si>
  <si>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</si>
  <si>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</si>
  <si>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</si>
  <si>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</si>
  <si>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</si>
  <si>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</si>
  <si>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</si>
  <si>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</si>
  <si>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Financial Data</t>
  </si>
  <si>
    <t>IS</t>
  </si>
  <si>
    <t>Net Sales (36m ago)</t>
  </si>
  <si>
    <t>Net Sales (12m ago)</t>
  </si>
  <si>
    <t>COGS</t>
  </si>
  <si>
    <t>Operating Income</t>
  </si>
  <si>
    <t>Net Financial Cost</t>
  </si>
  <si>
    <t>Taxes</t>
  </si>
  <si>
    <t>BS</t>
  </si>
  <si>
    <t>Cash &amp; Eq.</t>
  </si>
  <si>
    <t>Acc. Receivables</t>
  </si>
  <si>
    <t>Inventory</t>
  </si>
  <si>
    <t>Current Assets</t>
  </si>
  <si>
    <t>Fixed Assets</t>
  </si>
  <si>
    <t>Acc. Payable</t>
  </si>
  <si>
    <t>Current Liabilities</t>
  </si>
  <si>
    <t>Total Debt</t>
  </si>
  <si>
    <t>Total Equity</t>
  </si>
  <si>
    <t>Company GICS Sector:</t>
  </si>
  <si>
    <t>Information Technology</t>
  </si>
  <si>
    <t>&lt;- Select Industry</t>
  </si>
  <si>
    <t>ESG Analysis</t>
  </si>
  <si>
    <t>Relative ESG Analysis</t>
  </si>
  <si>
    <t>Parameters</t>
  </si>
  <si>
    <t>Impact</t>
  </si>
  <si>
    <t>Do they report?</t>
  </si>
  <si>
    <t>Ranking</t>
  </si>
  <si>
    <t>Mitigation Plan</t>
  </si>
  <si>
    <t>Traffic Lights</t>
  </si>
  <si>
    <t>Improvement over time?</t>
  </si>
  <si>
    <t>Targets / Goals?</t>
  </si>
  <si>
    <t>Comments</t>
  </si>
  <si>
    <t>UBER TECHNOLOGIES, INC. (XNYS:UBER)</t>
  </si>
  <si>
    <t>Environmental</t>
  </si>
  <si>
    <t>Ratios</t>
  </si>
  <si>
    <t>CO2 Direct Emissions</t>
  </si>
  <si>
    <t>Medium</t>
  </si>
  <si>
    <t>• Targets
• 2030: 100% of rides in Canada, Europe, and the 
US are zero-emission
• 2030: Net-zero climate emissions from all 
corporate operations (such as offices and data 
centers)
• 2040: 100% of rides globally are in zero-emission 
vehicles (ZEVs), on micromobility, and/or on 
public transit
• 2040: Net-zero climate emissions across all lines 
of business (mobility, delivery, and freight) and 
operations</t>
  </si>
  <si>
    <t>CO2 Emissions/$M Sales</t>
  </si>
  <si>
    <t>Total Water Consumption</t>
  </si>
  <si>
    <t>Water Consumption/$M Sales</t>
  </si>
  <si>
    <t>Total Energy Consumption</t>
  </si>
  <si>
    <t>"Villain"</t>
  </si>
  <si>
    <t>Uber is committed to matching 100% of energy use in our US workplaces with renewable energy by 2025</t>
  </si>
  <si>
    <t>Energy Consumption/$M Sales</t>
  </si>
  <si>
    <t>Waste Management</t>
  </si>
  <si>
    <t>Waste Production/$M Sales</t>
  </si>
  <si>
    <t>Land Degradation/Deforestation/Biodiversity loss/Animal sufering/…</t>
  </si>
  <si>
    <t>Inputs</t>
  </si>
  <si>
    <t>DiDi Global Inc. (OTCM:DIDIY)</t>
  </si>
  <si>
    <t>LYFT, INC. (XNAS:LYFT)</t>
  </si>
  <si>
    <t>Social</t>
  </si>
  <si>
    <t>Net Sales ($M)</t>
  </si>
  <si>
    <t>Employee Turnover %</t>
  </si>
  <si>
    <t>CO2 Emissions Total (Tonnes)/Scope 3</t>
  </si>
  <si>
    <t>Salaries &amp; Compensation</t>
  </si>
  <si>
    <t>Water Consumption Total (Cubic Meters)</t>
  </si>
  <si>
    <t>Reputation</t>
  </si>
  <si>
    <t>Energy Consumption Total (Gigajoules)</t>
  </si>
  <si>
    <t>Discrimination Events</t>
  </si>
  <si>
    <t>Waste Production Total (Tonnes)</t>
  </si>
  <si>
    <t>Work Safety</t>
  </si>
  <si>
    <t>Increase in total recordable incident rate (TRIR) (direct employees/ contractors)</t>
  </si>
  <si>
    <t>Not clear</t>
  </si>
  <si>
    <t>Only report US data</t>
  </si>
  <si>
    <t>ESG Scores</t>
  </si>
  <si>
    <t>Damage to consumer health</t>
  </si>
  <si>
    <t>Refinitiv</t>
  </si>
  <si>
    <t>PXP?</t>
  </si>
  <si>
    <t>Sustainalytics</t>
  </si>
  <si>
    <t>Supply chain</t>
  </si>
  <si>
    <t>ISS</t>
  </si>
  <si>
    <t>Community involvement</t>
  </si>
  <si>
    <t>CDP</t>
  </si>
  <si>
    <t>Public Sector</t>
  </si>
  <si>
    <t>Litigation</t>
  </si>
  <si>
    <t>Corporate Governance</t>
  </si>
  <si>
    <t>PARAMETERS</t>
  </si>
  <si>
    <t>Diversity (Gender, Age, Industry, Region)</t>
  </si>
  <si>
    <t>"Best in class"</t>
  </si>
  <si>
    <t>IMPACT</t>
  </si>
  <si>
    <t>RANKING</t>
  </si>
  <si>
    <t>MITIGATION PLAN</t>
  </si>
  <si>
    <t>% Independence</t>
  </si>
  <si>
    <t>90% Independent</t>
  </si>
  <si>
    <t>Low</t>
  </si>
  <si>
    <t>Evidence / plan?</t>
  </si>
  <si>
    <t>average time as independent directors</t>
  </si>
  <si>
    <t>4.4 Avg years of tenure</t>
  </si>
  <si>
    <t>Medium High</t>
  </si>
  <si>
    <t>Recent departures of directors / C-level executives?</t>
  </si>
  <si>
    <t>High</t>
  </si>
  <si>
    <t>CEO/Chairman duality</t>
  </si>
  <si>
    <t>CEO : Dara Khosrowshahi /  Ronald Sugar (Chair)</t>
  </si>
  <si>
    <t>Very high</t>
  </si>
  <si>
    <t>Transparency (ESG, segments, acquisitions, other)</t>
  </si>
  <si>
    <t>Time taken to report after the end of the quarter / year</t>
  </si>
  <si>
    <t>Additional participation of the CEO in other boards or excessive participation of Ch.</t>
  </si>
  <si>
    <t xml:space="preserve">Good balance between Committee Composition
 </t>
  </si>
  <si>
    <t>Audit / Consulting</t>
  </si>
  <si>
    <t>PWC</t>
  </si>
  <si>
    <t>ESG-compensation related</t>
  </si>
  <si>
    <t>CEO’s compensation is tied to the achievement of climate-related objectives</t>
  </si>
  <si>
    <t>Management compensation schemes</t>
  </si>
  <si>
    <t xml:space="preserve">ESG. We continued our progress on our ESG goals in 2022 with the advancement of our zero emission commitments. We started the year with 
approximately 17,000 average monthly active electric vehicles on the platform and ended the year with approximately 45,700. Usage of our 
sustainable products (Uber Green, Uber Planet in LATAM, and Comfort Electric in the United States) has also grown by more than 150% year 
over year. We also submitted our science based targets to the Science Based Targets initiative (SBTi) for validation, and in 2023, Uber’s near and 
long-term science-based emissions reduction targets were approved by the SBTi. </t>
  </si>
  <si>
    <t>. The Compensation Committee considers diversity, equity, and inclusion (DEI) metrics when developing compensation plans and includes DEI and cultural goals as metrics in the compensation for Uber’s most senior executives. The Compensation Committee also receives summaries of employee engagement survey results and related matters</t>
  </si>
  <si>
    <t>VALUATION MODEL</t>
  </si>
  <si>
    <t>Short Term</t>
  </si>
  <si>
    <t>Long Term</t>
  </si>
  <si>
    <t>Section</t>
  </si>
  <si>
    <t>Line #</t>
  </si>
  <si>
    <t>ITEM</t>
  </si>
  <si>
    <t>2020 (Real)</t>
  </si>
  <si>
    <t>2021 (Real)</t>
  </si>
  <si>
    <t>2022 (Real)</t>
  </si>
  <si>
    <t>INCOME STATEMENT</t>
  </si>
  <si>
    <t>Growth</t>
  </si>
  <si>
    <t>Revenues/Sales</t>
  </si>
  <si>
    <t>5a</t>
  </si>
  <si>
    <t>(Dep)</t>
  </si>
  <si>
    <t>5b</t>
  </si>
  <si>
    <t>Amort</t>
  </si>
  <si>
    <t>5c</t>
  </si>
  <si>
    <t>(Stock based compensation)</t>
  </si>
  <si>
    <t>EBIDTA</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</si>
  <si>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</si>
  <si>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</si>
  <si>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</si>
  <si>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</si>
  <si>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</si>
  <si>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</si>
  <si>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</si>
  <si>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</si>
  <si>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</si>
  <si>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</si>
  <si>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</si>
  <si>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</si>
  <si>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</si>
  <si>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</si>
  <si>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</si>
  <si>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</si>
  <si>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</si>
  <si>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(Respurchases)/Issuance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</si>
  <si>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</si>
  <si>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</si>
  <si>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</si>
  <si>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</si>
  <si>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</si>
  <si>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</si>
  <si>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</si>
  <si>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</si>
  <si>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</si>
  <si>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</si>
  <si>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</si>
  <si>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</si>
  <si>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</si>
  <si>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</si>
  <si>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</si>
  <si>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</si>
  <si>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</si>
  <si>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</si>
  <si>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</si>
  <si>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</si>
  <si>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</si>
  <si>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</si>
  <si>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</si>
  <si>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</si>
  <si>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</si>
  <si>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</si>
  <si>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</si>
  <si>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PPE</t>
  </si>
  <si>
    <t>Amortization factor</t>
  </si>
  <si>
    <t>Stock-based comp</t>
  </si>
  <si>
    <t>% revenue</t>
  </si>
  <si>
    <t>Tax Rate</t>
  </si>
  <si>
    <t>% (line 9)</t>
  </si>
  <si>
    <t>Interest Rate on debt</t>
  </si>
  <si>
    <t>% debt (l29)</t>
  </si>
  <si>
    <t>Interest Rate on cash</t>
  </si>
  <si>
    <t>% of cash (l28)</t>
  </si>
  <si>
    <t>PPE+ROA</t>
  </si>
  <si>
    <t>Growing with capex</t>
  </si>
  <si>
    <t>Working capital flows</t>
  </si>
  <si>
    <t>% of change revenues (l2)</t>
  </si>
  <si>
    <t>Intangible Assets</t>
  </si>
  <si>
    <t>Growing with amortization</t>
  </si>
  <si>
    <t xml:space="preserve">Capex </t>
  </si>
  <si>
    <t>% revenue (l2)</t>
  </si>
  <si>
    <t>Acquisition factor</t>
  </si>
  <si>
    <t>% net income (11)</t>
  </si>
  <si>
    <t>Repurchases</t>
  </si>
  <si>
    <t>Leases</t>
  </si>
  <si>
    <t>Cash Costs for EBIT</t>
  </si>
  <si>
    <t>$ millions</t>
  </si>
  <si>
    <t>Value of flows</t>
  </si>
  <si>
    <t>Value of perpetuity</t>
  </si>
  <si>
    <t>Total Value</t>
  </si>
  <si>
    <t>Actual share price</t>
  </si>
  <si>
    <t>Total value vs Mkt Cap</t>
  </si>
  <si>
    <t>Estimated NPV per share</t>
  </si>
  <si>
    <t>Sensibility</t>
  </si>
  <si>
    <t>Sensitivity +0.1%</t>
  </si>
  <si>
    <t>Sensitivity +0.5%</t>
  </si>
  <si>
    <t>Notes</t>
  </si>
  <si>
    <t xml:space="preserve">Market Projected to grow at 16,3% </t>
  </si>
  <si>
    <t>https://www.fortunebusinessinsights.com/ride-sharing-market-103336</t>
  </si>
  <si>
    <t>Last 5 Years</t>
  </si>
  <si>
    <t>Short Term Forecast</t>
  </si>
  <si>
    <t>% Growth</t>
  </si>
  <si>
    <t>Actual 5y Average</t>
  </si>
  <si>
    <t>Target 5y Average</t>
  </si>
  <si>
    <t>Depretiation</t>
  </si>
  <si>
    <t>% of PPE</t>
  </si>
  <si>
    <t>Average Growth % Sales</t>
  </si>
  <si>
    <t>Amortizatioon</t>
  </si>
  <si>
    <t>Stock-based Compensation</t>
  </si>
  <si>
    <t>% of Sales</t>
  </si>
  <si>
    <t>Weighted-average interest rate on debt and finance leases</t>
  </si>
  <si>
    <t>Interest rate</t>
  </si>
  <si>
    <t>• 3.500% ASML Holding NV Fixed Rate Senior Notes due 2025 (XS2631416950);</t>
  </si>
  <si>
    <t>• 1.375% ASML Holding NV Fixed Rate Senior Notes due 2026 (XS1405780963);</t>
  </si>
  <si>
    <t>• 1.625% ASML Holding NV Fixed Rate Senior Notes due 2027 (XS1527556192);</t>
  </si>
  <si>
    <t>• 0.625% ASML Holding NV Fixed Rate Senior Notes due 2029 (XS2166219720);</t>
  </si>
  <si>
    <t xml:space="preserve">• 0.250% ASML Holding NV Fixed Rate Senior Notes due 2030 (XS2010032378); and • 2.250% ASML Holding NV Fixed Rate Senior Notes due 2032 (XS2473687106). </t>
  </si>
  <si>
    <t>CAPEX</t>
  </si>
  <si>
    <t>Change in NWC</t>
  </si>
  <si>
    <t>Shareholders Equity</t>
  </si>
  <si>
    <t>Debt/Equity</t>
  </si>
  <si>
    <t>Flows Related To debt</t>
  </si>
  <si>
    <t>Flows related to Leases</t>
  </si>
  <si>
    <t>Industry Average</t>
  </si>
  <si>
    <t xml:space="preserve">Net Iincome </t>
  </si>
  <si>
    <t>Payout</t>
  </si>
  <si>
    <t xml:space="preserve">Dividends + Buybacks </t>
  </si>
  <si>
    <t>Buybacks</t>
  </si>
  <si>
    <t>Buybacks % Net Income</t>
  </si>
  <si>
    <t>Cash Return % Net Income</t>
  </si>
  <si>
    <t>Net Income distribution</t>
  </si>
  <si>
    <t>NET INCOME</t>
  </si>
  <si>
    <t xml:space="preserve">Buybacks </t>
  </si>
  <si>
    <t xml:space="preserve">Target Long Term </t>
  </si>
  <si>
    <t xml:space="preserve">Dividends </t>
  </si>
  <si>
    <t>Country Risk Premium</t>
  </si>
  <si>
    <t>Country Equity Risk Premium</t>
  </si>
  <si>
    <t>Revenue</t>
  </si>
  <si>
    <t>APAC (Africa)</t>
  </si>
  <si>
    <t>AR</t>
  </si>
  <si>
    <t>AP</t>
  </si>
  <si>
    <t>DSO</t>
  </si>
  <si>
    <t>DPO</t>
  </si>
  <si>
    <t>Beta</t>
  </si>
  <si>
    <t>Rf</t>
  </si>
  <si>
    <t>AVG DSO*REV/365</t>
  </si>
  <si>
    <t>A/R</t>
  </si>
  <si>
    <t>Rm</t>
  </si>
  <si>
    <t>AVG DPO*COGS/365</t>
  </si>
  <si>
    <t>A/P</t>
  </si>
  <si>
    <t>Risk-Free Rate Calculation</t>
  </si>
  <si>
    <t>(non-cash WC)</t>
  </si>
  <si>
    <t>Risk Free</t>
  </si>
  <si>
    <t>CDS</t>
  </si>
  <si>
    <t>Change in NC WC</t>
  </si>
  <si>
    <t>Gross PM</t>
  </si>
  <si>
    <t>Long Term Forecast</t>
  </si>
  <si>
    <t>Acc Amort Dep</t>
  </si>
  <si>
    <t xml:space="preserve">Acc Amort </t>
  </si>
  <si>
    <t>Acc Dep</t>
  </si>
  <si>
    <t>CAPEX % of Sales</t>
  </si>
  <si>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</si>
  <si>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</si>
  <si>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</si>
  <si>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</si>
  <si>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</si>
  <si>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</si>
  <si>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</si>
  <si>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</si>
  <si>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</si>
  <si>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</si>
  <si>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</si>
  <si>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</si>
  <si>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</si>
  <si>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</si>
  <si>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</si>
  <si>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</si>
  <si>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</si>
  <si>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</si>
  <si>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</si>
  <si>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</si>
  <si>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</si>
  <si>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</si>
  <si>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</si>
  <si>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</si>
  <si>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</si>
  <si>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</si>
  <si>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</si>
  <si>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</si>
  <si>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</si>
  <si>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</si>
  <si>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</si>
  <si>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</si>
  <si>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</si>
  <si>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</si>
  <si>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</si>
  <si>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</si>
  <si>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</si>
  <si>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</si>
  <si>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</si>
  <si>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</si>
  <si>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</si>
  <si>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</si>
  <si>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</si>
  <si>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Depreciation and Amortization</t>
  </si>
  <si>
    <t>FNP</t>
  </si>
  <si>
    <t>Debt</t>
  </si>
  <si>
    <t>Figures in Millions of USD</t>
  </si>
  <si>
    <t>Company</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</si>
  <si>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</si>
  <si>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</si>
  <si>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</si>
  <si>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</si>
  <si>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</si>
  <si>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</si>
  <si>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</si>
  <si>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</si>
  <si>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</si>
  <si>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</si>
  <si>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</si>
  <si>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</si>
  <si>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</si>
  <si>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</si>
  <si>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</si>
  <si>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</si>
  <si>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</si>
  <si>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</si>
  <si>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</si>
  <si>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</si>
  <si>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</si>
  <si>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</si>
  <si>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</si>
  <si>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</si>
  <si>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</si>
  <si>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</si>
  <si>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</si>
  <si>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</si>
  <si>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</si>
  <si>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</si>
  <si>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</si>
  <si>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</si>
  <si>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</si>
  <si>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</si>
  <si>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</si>
  <si>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</si>
  <si>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</si>
  <si>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</si>
  <si>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</si>
  <si>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</si>
  <si>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</si>
  <si>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</si>
  <si>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</si>
  <si>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</si>
  <si>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</si>
  <si>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</si>
  <si>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</si>
  <si>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</si>
  <si>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</si>
  <si>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</si>
  <si>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</si>
  <si>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</si>
  <si>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</si>
  <si>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</si>
  <si>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</si>
  <si>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</si>
  <si>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</si>
  <si>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</si>
  <si>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</si>
  <si>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</si>
  <si>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</si>
  <si>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</si>
  <si>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</si>
  <si>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</si>
  <si>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</si>
  <si>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</si>
  <si>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</si>
  <si>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</si>
  <si>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</si>
  <si>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</si>
  <si>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</si>
  <si>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</si>
  <si>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</si>
  <si>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</si>
  <si>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</si>
  <si>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</si>
  <si>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</si>
  <si>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</si>
  <si>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</si>
  <si>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Dividend Yield(Yahoo Finance)</t>
  </si>
  <si>
    <t>Yahoo Finance</t>
  </si>
  <si>
    <t>-3.86</t>
  </si>
  <si>
    <t>-4.65</t>
  </si>
  <si>
    <t>Date updated:</t>
  </si>
  <si>
    <t>Created by:</t>
  </si>
  <si>
    <t>Aswath Damodaran, adamodar@stern.nyu.edu</t>
  </si>
  <si>
    <t>What is this data?</t>
  </si>
  <si>
    <t>Historical (compounded annual) growth rate in net income and revenues - last 5 years</t>
  </si>
  <si>
    <t>US companies</t>
  </si>
  <si>
    <t>Home Page:</t>
  </si>
  <si>
    <t>http://www.damodaran.com</t>
  </si>
  <si>
    <t>Data website:</t>
  </si>
  <si>
    <t>https://pages.stern.nyu.edu/~adamodar/New_Home_Page/data.html</t>
  </si>
  <si>
    <t>Companies in each industry:</t>
  </si>
  <si>
    <t>https://pages.stern.nyu.edu/~adamodar/pc/datasets/indname.xls</t>
  </si>
  <si>
    <t>Variable definitions:</t>
  </si>
  <si>
    <t>https://pages.stern.nyu.edu/~adamodar/New_Home_Page/datafile/variable.htm</t>
  </si>
  <si>
    <t>Industry Name</t>
  </si>
  <si>
    <t>Number of Firms</t>
  </si>
  <si>
    <t>CAGR in Net Income- Last 5 years</t>
  </si>
  <si>
    <t>CAGR in Revenues- Last 5 years</t>
  </si>
  <si>
    <t>Expected Growth in Revenues - Next 2 years</t>
  </si>
  <si>
    <t>Expected Growth in EPS - Next 5 years</t>
  </si>
  <si>
    <t>Advertising</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</si>
  <si>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</si>
  <si>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</si>
  <si>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</si>
  <si>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</si>
  <si>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</si>
  <si>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</si>
  <si>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</si>
  <si>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</si>
  <si>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</si>
  <si>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</si>
  <si>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</si>
  <si>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</si>
  <si>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</si>
  <si>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</si>
  <si>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</si>
  <si>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</si>
  <si>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</si>
  <si>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</si>
  <si>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</si>
  <si>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</si>
  <si>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</si>
  <si>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</si>
  <si>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</si>
  <si>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</si>
  <si>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</si>
  <si>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</si>
  <si>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</si>
  <si>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</si>
  <si>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</si>
  <si>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</si>
  <si>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</si>
  <si>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</si>
  <si>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</si>
  <si>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</si>
  <si>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</si>
  <si>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</si>
  <si>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</si>
  <si>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</si>
  <si>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</si>
  <si>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</si>
  <si>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</si>
  <si>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</si>
  <si>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</si>
  <si>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</si>
  <si>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</si>
  <si>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</si>
  <si>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</si>
  <si>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</si>
  <si>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</si>
  <si>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</si>
  <si>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</si>
  <si>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</si>
  <si>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</si>
  <si>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</si>
  <si>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</si>
  <si>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</si>
  <si>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</si>
  <si>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</si>
  <si>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</si>
  <si>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</si>
  <si>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</si>
  <si>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</si>
  <si>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</si>
  <si>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</si>
  <si>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</si>
  <si>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</si>
  <si>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</si>
  <si>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</si>
  <si>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</si>
  <si>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</si>
  <si>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</si>
  <si>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</si>
  <si>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</si>
  <si>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</si>
  <si>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</si>
  <si>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</si>
  <si>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</si>
  <si>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</si>
  <si>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</si>
  <si>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</si>
  <si>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</si>
  <si>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</si>
  <si>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</si>
  <si>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</si>
  <si>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</si>
  <si>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</si>
  <si>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</si>
  <si>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</si>
  <si>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</si>
  <si>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</si>
  <si>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</si>
  <si>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</si>
  <si>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</si>
  <si>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Total Market</t>
  </si>
  <si>
    <t>Total Market (without financials)</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</si>
  <si>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</si>
  <si>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</si>
  <si>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</si>
  <si>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</si>
  <si>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</si>
  <si>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</si>
  <si>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</si>
  <si>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</si>
  <si>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</si>
  <si>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</si>
  <si>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</si>
  <si>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</si>
  <si>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</si>
  <si>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</si>
  <si>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</si>
  <si>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</si>
  <si>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</si>
  <si>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</si>
  <si>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</si>
  <si>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</si>
  <si>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</si>
  <si>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</si>
  <si>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</si>
  <si>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</si>
  <si>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</si>
  <si>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</si>
  <si>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</si>
  <si>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Renewable Energy</t>
  </si>
  <si>
    <t>Movies &amp; Entertainment</t>
  </si>
  <si>
    <t>Financials</t>
  </si>
  <si>
    <t>Forestry</t>
  </si>
  <si>
    <t>Health Care</t>
  </si>
  <si>
    <t>Land Degradation/Deforestation/Biodiversity loss/Animal sufering/...</t>
  </si>
  <si>
    <t>Alternative Carriers</t>
  </si>
  <si>
    <t>Industrials</t>
  </si>
  <si>
    <t>Publishing</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</si>
  <si>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</si>
  <si>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</si>
  <si>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</si>
  <si>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</si>
  <si>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</si>
  <si>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</si>
  <si>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</si>
  <si>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</si>
  <si>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</si>
  <si>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</si>
  <si>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</si>
  <si>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</si>
  <si>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</si>
  <si>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</si>
  <si>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</si>
  <si>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</si>
  <si>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</si>
  <si>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</si>
  <si>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</si>
  <si>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</si>
  <si>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</si>
  <si>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</si>
  <si>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</si>
  <si>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</si>
  <si>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</si>
  <si>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</si>
  <si>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</si>
  <si>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</si>
  <si>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</si>
  <si>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</si>
  <si>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</si>
  <si>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</si>
  <si>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</si>
  <si>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</si>
  <si>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</si>
  <si>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</si>
  <si>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</si>
  <si>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</si>
  <si>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</si>
  <si>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</si>
  <si>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</si>
  <si>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</si>
  <si>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</si>
  <si>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</si>
  <si>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</si>
  <si>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</si>
  <si>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</si>
  <si>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</si>
  <si>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</si>
  <si>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</si>
  <si>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</si>
  <si>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</si>
  <si>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</si>
  <si>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</si>
  <si>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</si>
  <si>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</si>
  <si>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</si>
  <si>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</si>
  <si>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</si>
  <si>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</si>
  <si>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</si>
  <si>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</si>
  <si>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</si>
  <si>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</si>
  <si>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</si>
  <si>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</si>
  <si>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</si>
  <si>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</si>
  <si>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</si>
  <si>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</si>
  <si>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</si>
  <si>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</si>
  <si>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</si>
  <si>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</si>
  <si>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</si>
  <si>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</si>
  <si>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</si>
  <si>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</si>
  <si>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</si>
  <si>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</si>
  <si>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</si>
  <si>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</si>
  <si>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</si>
  <si>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</si>
  <si>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</si>
  <si>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</si>
  <si>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</si>
  <si>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</si>
  <si>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</si>
  <si>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</si>
  <si>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</si>
  <si>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</si>
  <si>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</si>
  <si>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</si>
  <si>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</si>
  <si>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</si>
  <si>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</si>
  <si>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</si>
  <si>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</si>
  <si>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</si>
  <si>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</si>
  <si>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</si>
  <si>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</si>
  <si>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</si>
  <si>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</si>
  <si>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Home Furnishings</t>
  </si>
  <si>
    <t>Drug Retail</t>
  </si>
  <si>
    <t>Research &amp; Consulting Services</t>
  </si>
  <si>
    <t>Systems Software</t>
  </si>
  <si>
    <t>Distributors</t>
  </si>
  <si>
    <t>Thrifts &amp; Mortgage Finance</t>
  </si>
  <si>
    <t>Construction &amp; Engineering</t>
  </si>
  <si>
    <t>Electronic Manufacturing Services</t>
  </si>
  <si>
    <t>Housewares &amp; Specialties</t>
  </si>
  <si>
    <t>Household Appliances</t>
  </si>
  <si>
    <t>Environmental &amp; Facilities Services</t>
  </si>
  <si>
    <t>Human Resource &amp; Employment Services</t>
  </si>
  <si>
    <t>Trading Companies &amp; Distributors</t>
  </si>
  <si>
    <t xml:space="preserve">YouTube Video explaining estimation choices and processes	
	</t>
  </si>
  <si>
    <t>Dividends and FCFE (in millions) and ratios</t>
  </si>
  <si>
    <t>Industry name</t>
  </si>
  <si>
    <t>Number of firms</t>
  </si>
  <si>
    <t xml:space="preserve">  Dividends </t>
  </si>
  <si>
    <t xml:space="preserve"> Net Income </t>
  </si>
  <si>
    <t>Dividends + Buybacks</t>
  </si>
  <si>
    <t>Cash Return as % of Net Income</t>
  </si>
  <si>
    <t>Dividends + Buybacks - Stock Issuances</t>
  </si>
  <si>
    <t>FCFE (before debt cash flows)</t>
  </si>
  <si>
    <t>FCFE (after debt cash flows)</t>
  </si>
  <si>
    <t>Net Cash Returned/FCFE (pre-debt)</t>
  </si>
  <si>
    <t>Net Cash Returned/FCFE (post-debt)</t>
  </si>
  <si>
    <t>Net Cash Returned/ Net Income</t>
  </si>
  <si>
    <t>Cash/ Firm Value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</si>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</sst>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_(&quot;$&quot;* \(#,##0.00\);_(&quot;$&quot;* &quot;-&quot;??_);_(@_)"/>
    <numFmt numFmtId="164" formatCode="_-* #,##0.00_-;\-* #,##0.00_-;_-* &quot;-&quot;??_-;_-@_-"/>
    <numFmt numFmtId="165" formatCode="_-&quot;$&quot;* #,##0.00_-;\-&quot;$&quot;* #,##0.00_-;_-&quot;$&quot;* &quot;-&quot;??_-;_-@_-"/>
    <numFmt numFmtId="166" formatCode="&quot;$&quot;#,##0.00"/>
    <numFmt numFmtId="167" formatCode="&quot;$&quot;#,##0.0"/>
    <numFmt numFmtId="168" formatCode="&quot;$&quot;#,##0"/>
    <numFmt numFmtId="169" formatCode="0.0%"/>
    <numFmt numFmtId="170" formatCode="0.0"/>
    <numFmt numFmtId="171" formatCode="#,##0.0"/>
    <numFmt numFmtId="172" formatCode="[$$-409]#,##0.00_ ;\-[$$-409]#,##0.00\ "/>
    <numFmt numFmtId="173" formatCode="[$$-409]#,##0.00"/>
    <numFmt numFmtId="174" formatCode="[$$-409]#,##0"/>
    <numFmt numFmtId="175" formatCode="_-[$$-409]* #,##0.00_ ;_-[$$-409]* \-#,##0.00\ ;_-[$$-409]* &quot;-&quot;??_ ;_-@_ "/>
    <numFmt numFmtId="176" formatCode="0.000000"/>
    <numFmt numFmtId="177" formatCode="[$$-409]#,##0.0"/>
    <numFmt numFmtId="178" formatCode="0.000%"/>
    <numFmt numFmtId="179" formatCode="&quot;€&quot;#,##0.00"/>
  </numFmts>
  <fonts count="100">
    <font>
      <sz val="10"/>
      <name val="Arial"/>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7.5"/>
      <color theme="0"/>
      <name val="Arial"/>
      <family val="2"/>
    </font>
    <font>
      <b/>
      <sz val="16"/>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b/>
      <sz val="10"/>
      <color rgb="FF000000"/>
      <name val="Arial"/>
      <family val="2"/>
    </font>
    <font>
      <b/>
      <sz val="11"/>
      <color theme="1"/>
      <name val="Calibri"/>
      <family val="2"/>
      <scheme val="minor"/>
    </font>
    <font>
      <sz val="11"/>
      <color theme="0"/>
      <name val="Calibri"/>
      <family val="2"/>
    </font>
    <font>
      <sz val="12"/>
      <name val="Arial"/>
      <family val="2"/>
    </font>
    <font>
      <sz val="11"/>
      <color rgb="FFFF0000"/>
      <name val="Calibri"/>
      <family val="2"/>
    </font>
    <font>
      <sz val="10"/>
      <name val="Calibri"/>
      <family val="2"/>
      <charset val="1"/>
    </font>
    <font>
      <sz val="14"/>
      <name val="Arial"/>
      <family val="2"/>
    </font>
    <font>
      <sz val="8"/>
      <color theme="0"/>
      <name val="Arial"/>
      <family val="2"/>
    </font>
    <font>
      <b/>
      <sz val="10"/>
      <color theme="1"/>
      <name val="Arial"/>
      <family val="2"/>
    </font>
    <font>
      <sz val="11"/>
      <color rgb="FF000000"/>
      <name val="Calibri"/>
      <family val="2"/>
      <scheme val="minor"/>
    </font>
    <font>
      <b/>
      <sz val="11"/>
      <color rgb="FF000000"/>
      <name val="Calibri"/>
      <family val="2"/>
      <scheme val="minor"/>
    </font>
    <font>
      <i/>
      <sz val="10"/>
      <name val="Arial"/>
      <family val="2"/>
    </font>
    <font>
      <i/>
      <sz val="10"/>
      <color theme="5"/>
      <name val="Arial"/>
      <family val="2"/>
    </font>
    <font>
      <b/>
      <sz val="11"/>
      <color theme="1"/>
      <name val="Calibri"/>
      <family val="2"/>
    </font>
    <font>
      <b/>
      <sz val="10"/>
      <color rgb="FF000000"/>
      <name val="Tahoma"/>
      <family val="2"/>
    </font>
    <font>
      <sz val="10"/>
      <color rgb="FF000000"/>
      <name val="Tahoma"/>
      <family val="2"/>
    </font>
    <font>
      <i/>
      <sz val="10"/>
      <color theme="1"/>
      <name val="Arial"/>
      <family val="2"/>
    </font>
    <font>
      <sz val="10"/>
      <name val="Arial"/>
      <family val="2"/>
    </font>
    <font>
      <sz val="11"/>
      <name val="TimesNewRoman"/>
    </font>
    <font>
      <sz val="11"/>
      <color rgb="FF444444"/>
      <name val="Calibri"/>
      <family val="2"/>
      <charset val="1"/>
    </font>
    <font>
      <b/>
      <sz val="12"/>
      <color theme="1"/>
      <name val="Calibri"/>
      <family val="2"/>
      <scheme val="minor"/>
    </font>
    <font>
      <b/>
      <sz val="12"/>
      <color rgb="FF000000"/>
      <name val="Calibri"/>
      <family val="2"/>
      <scheme val="minor"/>
    </font>
    <font>
      <i/>
      <sz val="12"/>
      <color rgb="FF000000"/>
      <name val="Calibri"/>
      <family val="2"/>
      <scheme val="minor"/>
    </font>
    <font>
      <i/>
      <sz val="14"/>
      <color theme="1"/>
      <name val="Calibri"/>
      <family val="2"/>
      <scheme val="minor"/>
    </font>
    <font>
      <u/>
      <sz val="12"/>
      <color theme="10"/>
      <name val="Calibri"/>
      <family val="2"/>
      <scheme val="minor"/>
    </font>
    <font>
      <sz val="12"/>
      <name val="Calibri"/>
      <family val="2"/>
      <scheme val="minor"/>
    </font>
    <font>
      <sz val="12"/>
      <color rgb="FF000000"/>
      <name val="Calibri"/>
      <family val="2"/>
      <scheme val="minor"/>
    </font>
    <font>
      <i/>
      <sz val="9"/>
      <name val="Geneva"/>
      <family val="2"/>
      <charset val="1"/>
    </font>
    <font>
      <sz val="7.5"/>
      <color theme="1"/>
      <name val="Arial"/>
      <family val="2"/>
    </font>
    <font>
      <sz val="10"/>
      <color theme="1"/>
      <name val="Calibri"/>
      <family val="2"/>
      <scheme val="minor"/>
    </font>
    <font>
      <b/>
      <sz val="10"/>
      <color theme="1"/>
      <name val="Calibri"/>
      <family val="2"/>
      <scheme val="minor"/>
    </font>
    <font>
      <b/>
      <sz val="9"/>
      <color rgb="FF374151"/>
      <name val="Arial"/>
      <family val="2"/>
    </font>
    <font>
      <b/>
      <sz val="16"/>
      <color theme="1"/>
      <name val="Arial"/>
      <family val="2"/>
    </font>
    <font>
      <sz val="9"/>
      <color indexed="81"/>
      <name val="Tahoma"/>
      <family val="2"/>
    </font>
    <font>
      <b/>
      <sz val="9"/>
      <color indexed="81"/>
      <name val="Tahoma"/>
      <family val="2"/>
    </font>
    <font>
      <sz val="10"/>
      <color rgb="FF545463"/>
      <name val="HelveticaNeueLTW1G"/>
    </font>
  </fonts>
  <fills count="55">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DCE6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FD78"/>
        <bgColor indexed="64"/>
      </patternFill>
    </fill>
    <fill>
      <patternFill patternType="solid">
        <fgColor rgb="FF63CB97"/>
        <bgColor indexed="64"/>
      </patternFill>
    </fill>
    <fill>
      <patternFill patternType="solid">
        <fgColor theme="9" tint="0.79998168889431442"/>
        <bgColor indexed="64"/>
      </patternFill>
    </fill>
    <fill>
      <patternFill patternType="solid">
        <fgColor rgb="FFF2F2F2"/>
        <bgColor rgb="FF000000"/>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C000"/>
        <bgColor indexed="64"/>
      </patternFill>
    </fill>
    <fill>
      <patternFill patternType="solid">
        <fgColor theme="0" tint="-0.14999847407452621"/>
        <bgColor rgb="FF000000"/>
      </patternFill>
    </fill>
    <fill>
      <patternFill patternType="solid">
        <fgColor theme="0" tint="-0.14999847407452621"/>
        <bgColor theme="0" tint="-0.14999847407452621"/>
      </patternFill>
    </fill>
    <fill>
      <patternFill patternType="solid">
        <fgColor theme="9"/>
        <bgColor indexed="64"/>
      </patternFill>
    </fill>
  </fills>
  <borders count="268">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top/>
      <bottom style="medium">
        <color theme="3"/>
      </bottom>
      <diagonal/>
    </border>
    <border>
      <left/>
      <right style="medium">
        <color indexed="64"/>
      </right>
      <top style="medium">
        <color indexed="64"/>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thin">
        <color indexed="64"/>
      </left>
      <right style="medium">
        <color rgb="FF1F497D"/>
      </right>
      <top style="thin">
        <color indexed="64"/>
      </top>
      <bottom style="thin">
        <color indexed="64"/>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medium">
        <color theme="3"/>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rgb="FF000000"/>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medium">
        <color rgb="FF1F497D"/>
      </left>
      <right/>
      <top/>
      <bottom style="medium">
        <color theme="3"/>
      </bottom>
      <diagonal/>
    </border>
    <border>
      <left style="thin">
        <color indexed="64"/>
      </left>
      <right style="medium">
        <color indexed="64"/>
      </right>
      <top style="thin">
        <color indexed="64"/>
      </top>
      <bottom/>
      <diagonal/>
    </border>
    <border>
      <left style="medium">
        <color indexed="64"/>
      </left>
      <right style="thin">
        <color rgb="FF000000"/>
      </right>
      <top style="medium">
        <color indexed="64"/>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rgb="FF000000"/>
      </bottom>
      <diagonal/>
    </border>
    <border>
      <left/>
      <right/>
      <top style="medium">
        <color rgb="FF1F497D"/>
      </top>
      <bottom style="thin">
        <color theme="0" tint="-0.24994659260841701"/>
      </bottom>
      <diagonal/>
    </border>
    <border>
      <left/>
      <right style="medium">
        <color rgb="FF1F497D"/>
      </right>
      <top style="thin">
        <color theme="0" tint="-0.24994659260841701"/>
      </top>
      <bottom/>
      <diagonal/>
    </border>
    <border>
      <left style="medium">
        <color indexed="64"/>
      </left>
      <right style="medium">
        <color indexed="64"/>
      </right>
      <top style="medium">
        <color indexed="64"/>
      </top>
      <bottom style="medium">
        <color indexed="64"/>
      </bottom>
      <diagonal/>
    </border>
    <border>
      <left style="medium">
        <color theme="3"/>
      </left>
      <right/>
      <top style="medium">
        <color theme="3"/>
      </top>
      <bottom style="medium">
        <color theme="3"/>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rgb="FF1F497D"/>
      </left>
      <right/>
      <top style="medium">
        <color theme="3"/>
      </top>
      <bottom/>
      <diagonal/>
    </border>
    <border>
      <left style="medium">
        <color theme="3"/>
      </left>
      <right style="thin">
        <color indexed="64"/>
      </right>
      <top style="medium">
        <color theme="3"/>
      </top>
      <bottom style="medium">
        <color theme="3"/>
      </bottom>
      <diagonal/>
    </border>
    <border>
      <left style="thin">
        <color indexed="64"/>
      </left>
      <right style="thin">
        <color indexed="64"/>
      </right>
      <top style="medium">
        <color theme="3"/>
      </top>
      <bottom style="medium">
        <color theme="3"/>
      </bottom>
      <diagonal/>
    </border>
    <border>
      <left style="thin">
        <color indexed="64"/>
      </left>
      <right style="medium">
        <color theme="3"/>
      </right>
      <top style="medium">
        <color theme="3"/>
      </top>
      <bottom style="medium">
        <color theme="3"/>
      </bottom>
      <diagonal/>
    </border>
    <border>
      <left/>
      <right style="thin">
        <color indexed="64"/>
      </right>
      <top style="medium">
        <color theme="3"/>
      </top>
      <bottom style="medium">
        <color theme="3"/>
      </bottom>
      <diagonal/>
    </border>
    <border>
      <left/>
      <right style="medium">
        <color theme="3"/>
      </right>
      <top style="medium">
        <color theme="3"/>
      </top>
      <bottom/>
      <diagonal/>
    </border>
    <border>
      <left style="medium">
        <color indexed="64"/>
      </left>
      <right/>
      <top/>
      <bottom style="medium">
        <color theme="3"/>
      </bottom>
      <diagonal/>
    </border>
    <border>
      <left/>
      <right style="medium">
        <color rgb="FF1F497D"/>
      </right>
      <top/>
      <bottom style="medium">
        <color theme="3"/>
      </bottom>
      <diagonal/>
    </border>
    <border>
      <left style="medium">
        <color theme="3"/>
      </left>
      <right/>
      <top style="medium">
        <color theme="3"/>
      </top>
      <bottom/>
      <diagonal/>
    </border>
    <border>
      <left/>
      <right style="medium">
        <color theme="3"/>
      </right>
      <top/>
      <bottom style="medium">
        <color theme="3"/>
      </bottom>
      <diagonal/>
    </border>
    <border>
      <left/>
      <right style="dashDot">
        <color indexed="64"/>
      </right>
      <top/>
      <bottom/>
      <diagonal/>
    </border>
    <border>
      <left/>
      <right/>
      <top style="thin">
        <color indexed="64"/>
      </top>
      <bottom style="double">
        <color indexed="64"/>
      </bottom>
      <diagonal/>
    </border>
    <border>
      <left style="thin">
        <color rgb="FF1F497D"/>
      </left>
      <right style="thin">
        <color rgb="FF000000"/>
      </right>
      <top style="thin">
        <color rgb="FF1F497D"/>
      </top>
      <bottom style="thin">
        <color rgb="FF1F497D"/>
      </bottom>
      <diagonal/>
    </border>
    <border>
      <left/>
      <right style="thin">
        <color rgb="FF000000"/>
      </right>
      <top style="thin">
        <color rgb="FF1F497D"/>
      </top>
      <bottom style="thin">
        <color rgb="FF1F497D"/>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top style="medium">
        <color theme="1"/>
      </top>
      <bottom style="thin">
        <color indexed="64"/>
      </bottom>
      <diagonal/>
    </border>
    <border>
      <left/>
      <right/>
      <top style="medium">
        <color theme="1"/>
      </top>
      <bottom style="thin">
        <color indexed="64"/>
      </bottom>
      <diagonal/>
    </border>
    <border>
      <left/>
      <right style="medium">
        <color theme="1"/>
      </right>
      <top style="medium">
        <color theme="1"/>
      </top>
      <bottom style="thin">
        <color indexed="64"/>
      </bottom>
      <diagonal/>
    </border>
    <border>
      <left style="thin">
        <color theme="0" tint="-0.249977111117893"/>
      </left>
      <right/>
      <top style="thin">
        <color theme="0" tint="-0.249977111117893"/>
      </top>
      <bottom style="thin">
        <color theme="0" tint="-0.24994659260841701"/>
      </bottom>
      <diagonal/>
    </border>
    <border>
      <left style="thin">
        <color theme="0" tint="-0.249977111117893"/>
      </left>
      <right/>
      <top style="thin">
        <color theme="0" tint="-0.24994659260841701"/>
      </top>
      <bottom style="thin">
        <color theme="0" tint="-0.249977111117893"/>
      </bottom>
      <diagonal/>
    </border>
    <border>
      <left/>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bottom/>
      <diagonal/>
    </border>
    <border>
      <left/>
      <right style="medium">
        <color rgb="FF000000"/>
      </right>
      <top style="thin">
        <color indexed="64"/>
      </top>
      <bottom/>
      <diagonal/>
    </border>
    <border>
      <left style="medium">
        <color indexed="64"/>
      </left>
      <right style="thin">
        <color theme="1"/>
      </right>
      <top style="thin">
        <color indexed="64"/>
      </top>
      <bottom/>
      <diagonal/>
    </border>
    <border>
      <left style="thin">
        <color theme="1"/>
      </left>
      <right style="thin">
        <color indexed="64"/>
      </right>
      <top style="thin">
        <color indexed="64"/>
      </top>
      <bottom style="thin">
        <color indexed="64"/>
      </bottom>
      <diagonal/>
    </border>
    <border>
      <left/>
      <right/>
      <top style="thin">
        <color theme="1"/>
      </top>
      <bottom/>
      <diagonal/>
    </border>
    <border>
      <left style="medium">
        <color theme="1"/>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medium">
        <color rgb="FF000000"/>
      </right>
      <top style="medium">
        <color indexed="64"/>
      </top>
      <bottom style="thin">
        <color indexed="64"/>
      </bottom>
      <diagonal/>
    </border>
    <border>
      <left/>
      <right style="medium">
        <color rgb="FF000000"/>
      </right>
      <top style="thin">
        <color indexed="64"/>
      </top>
      <bottom style="thin">
        <color indexed="64"/>
      </bottom>
      <diagonal/>
    </border>
    <border>
      <left/>
      <right style="medium">
        <color rgb="FF000000"/>
      </right>
      <top style="thin">
        <color indexed="64"/>
      </top>
      <bottom style="medium">
        <color indexed="64"/>
      </bottom>
      <diagonal/>
    </border>
    <border>
      <left style="medium">
        <color rgb="FF1F497D"/>
      </left>
      <right/>
      <top style="thin">
        <color theme="0" tint="-0.24994659260841701"/>
      </top>
      <bottom/>
      <diagonal/>
    </border>
    <border>
      <left/>
      <right style="medium">
        <color theme="3"/>
      </right>
      <top style="medium">
        <color theme="3"/>
      </top>
      <bottom style="medium">
        <color theme="3"/>
      </bottom>
      <diagonal/>
    </border>
    <border>
      <left style="medium">
        <color rgb="FF1F497D"/>
      </left>
      <right/>
      <top/>
      <bottom style="thin">
        <color theme="0" tint="-0.24994659260841701"/>
      </bottom>
      <diagonal/>
    </border>
    <border>
      <left/>
      <right style="medium">
        <color theme="3"/>
      </right>
      <top style="thin">
        <color theme="0" tint="-0.24994659260841701"/>
      </top>
      <bottom/>
      <diagonal/>
    </border>
    <border>
      <left/>
      <right style="medium">
        <color theme="3"/>
      </right>
      <top/>
      <bottom style="thin">
        <color theme="0" tint="-0.24994659260841701"/>
      </bottom>
      <diagonal/>
    </border>
    <border>
      <left/>
      <right style="medium">
        <color theme="3"/>
      </right>
      <top style="thin">
        <color theme="0" tint="-0.249977111117893"/>
      </top>
      <bottom/>
      <diagonal/>
    </border>
    <border>
      <left style="medium">
        <color theme="3"/>
      </left>
      <right/>
      <top style="thin">
        <color theme="0" tint="-0.24994659260841701"/>
      </top>
      <bottom/>
      <diagonal/>
    </border>
    <border>
      <left style="medium">
        <color theme="3"/>
      </left>
      <right/>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right/>
      <top style="medium">
        <color rgb="FF1F497D"/>
      </top>
      <bottom style="medium">
        <color theme="3"/>
      </bottom>
      <diagonal/>
    </border>
    <border>
      <left/>
      <right style="medium">
        <color indexed="64"/>
      </right>
      <top style="medium">
        <color rgb="FF1F497D"/>
      </top>
      <bottom style="medium">
        <color theme="3"/>
      </bottom>
      <diagonal/>
    </border>
    <border>
      <left/>
      <right style="medium">
        <color theme="3"/>
      </right>
      <top style="medium">
        <color rgb="FF1F497D"/>
      </top>
      <bottom style="medium">
        <color theme="3"/>
      </bottom>
      <diagonal/>
    </border>
    <border>
      <left style="thin">
        <color theme="1" tint="0.499984740745262"/>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4659260841701"/>
      </bottom>
      <diagonal/>
    </border>
    <border>
      <left/>
      <right/>
      <top style="thin">
        <color theme="0" tint="-0.24994659260841701"/>
      </top>
      <bottom style="thin">
        <color theme="0" tint="-0.249977111117893"/>
      </bottom>
      <diagonal/>
    </border>
    <border>
      <left style="medium">
        <color theme="3"/>
      </left>
      <right/>
      <top style="medium">
        <color rgb="FF000000"/>
      </top>
      <bottom style="medium">
        <color rgb="FF000000"/>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style="medium">
        <color rgb="FF000000"/>
      </left>
      <right style="thin">
        <color theme="0" tint="-0.24994659260841701"/>
      </right>
      <top style="medium">
        <color rgb="FF000000"/>
      </top>
      <bottom/>
      <diagonal/>
    </border>
    <border>
      <left style="thin">
        <color theme="0" tint="-0.24994659260841701"/>
      </left>
      <right style="thin">
        <color theme="0" tint="-0.24994659260841701"/>
      </right>
      <top style="medium">
        <color rgb="FF000000"/>
      </top>
      <bottom/>
      <diagonal/>
    </border>
    <border>
      <left style="thin">
        <color theme="0" tint="-0.24994659260841701"/>
      </left>
      <right style="medium">
        <color rgb="FF000000"/>
      </right>
      <top style="medium">
        <color rgb="FF000000"/>
      </top>
      <bottom/>
      <diagonal/>
    </border>
    <border>
      <left style="medium">
        <color theme="3"/>
      </left>
      <right/>
      <top style="thin">
        <color theme="0" tint="-0.249977111117893"/>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theme="3"/>
      </right>
      <top style="medium">
        <color rgb="FF000000"/>
      </top>
      <bottom style="medium">
        <color rgb="FF000000"/>
      </bottom>
      <diagonal/>
    </border>
    <border>
      <left style="medium">
        <color rgb="FF000000"/>
      </left>
      <right style="medium">
        <color rgb="FF000000"/>
      </right>
      <top style="medium">
        <color rgb="FF000000"/>
      </top>
      <bottom style="thin">
        <color theme="0" tint="-0.249977111117893"/>
      </bottom>
      <diagonal/>
    </border>
    <border>
      <left/>
      <right style="medium">
        <color rgb="FF1F497D"/>
      </right>
      <top style="medium">
        <color rgb="FF1F497D"/>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right style="medium">
        <color rgb="FF1F497D"/>
      </right>
      <top style="medium">
        <color theme="0" tint="-0.24994659260841701"/>
      </top>
      <bottom style="medium">
        <color rgb="FF1F497D"/>
      </bottom>
      <diagonal/>
    </border>
  </borders>
  <cellStyleXfs count="40">
    <xf numFmtId="0" fontId="0" fillId="0" borderId="0"/>
    <xf numFmtId="0" fontId="17" fillId="2" borderId="1" applyNumberFormat="0" applyProtection="0">
      <alignment horizontal="left" vertical="center" readingOrder="1"/>
    </xf>
    <xf numFmtId="0" fontId="18" fillId="2" borderId="2">
      <alignment horizontal="left"/>
    </xf>
    <xf numFmtId="0" fontId="18" fillId="2" borderId="3">
      <alignment horizontal="right"/>
    </xf>
    <xf numFmtId="0" fontId="18" fillId="2" borderId="3">
      <alignment horizontal="left"/>
    </xf>
    <xf numFmtId="3" fontId="19" fillId="3" borderId="4">
      <alignment horizontal="right"/>
    </xf>
    <xf numFmtId="171" fontId="12" fillId="3" borderId="4">
      <alignment horizontal="right"/>
    </xf>
    <xf numFmtId="4" fontId="12" fillId="3" borderId="4">
      <alignment horizontal="right"/>
    </xf>
    <xf numFmtId="0" fontId="21" fillId="4" borderId="5" applyNumberFormat="0" applyAlignment="0" applyProtection="0"/>
    <xf numFmtId="0" fontId="19" fillId="3" borderId="6"/>
    <xf numFmtId="0" fontId="20" fillId="3" borderId="6"/>
    <xf numFmtId="0" fontId="11" fillId="0" borderId="0" applyNumberFormat="0" applyFill="0" applyBorder="0" applyAlignment="0" applyProtection="0">
      <alignment vertical="top"/>
      <protection locked="0"/>
    </xf>
    <xf numFmtId="165" fontId="23" fillId="0" borderId="0" applyFont="0" applyFill="0" applyBorder="0" applyAlignment="0" applyProtection="0"/>
    <xf numFmtId="165" fontId="13" fillId="0" borderId="0" applyFont="0" applyFill="0" applyBorder="0" applyAlignment="0" applyProtection="0"/>
    <xf numFmtId="0" fontId="25" fillId="0" borderId="0"/>
    <xf numFmtId="0" fontId="13" fillId="0" borderId="0"/>
    <xf numFmtId="9" fontId="9" fillId="0" borderId="0" applyFont="0" applyFill="0" applyBorder="0" applyAlignment="0" applyProtection="0"/>
    <xf numFmtId="9" fontId="23" fillId="0" borderId="0" applyFont="0" applyFill="0" applyBorder="0" applyAlignment="0" applyProtection="0"/>
    <xf numFmtId="9" fontId="13" fillId="0" borderId="0" applyFont="0" applyFill="0" applyBorder="0" applyAlignment="0" applyProtection="0"/>
    <xf numFmtId="9" fontId="25" fillId="0" borderId="0" applyFont="0" applyFill="0" applyBorder="0" applyAlignment="0" applyProtection="0"/>
    <xf numFmtId="0" fontId="8" fillId="0" borderId="0"/>
    <xf numFmtId="0" fontId="8"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7" fillId="0" borderId="0"/>
    <xf numFmtId="9" fontId="7" fillId="0" borderId="0" applyFont="0" applyFill="0" applyBorder="0" applyAlignment="0" applyProtection="0"/>
    <xf numFmtId="0" fontId="6" fillId="0" borderId="0"/>
    <xf numFmtId="0" fontId="5" fillId="0" borderId="0"/>
    <xf numFmtId="9" fontId="5" fillId="0" borderId="0" applyFont="0" applyFill="0" applyBorder="0" applyAlignment="0" applyProtection="0"/>
    <xf numFmtId="9" fontId="4" fillId="0" borderId="0" applyFont="0" applyFill="0" applyBorder="0" applyAlignment="0" applyProtection="0"/>
    <xf numFmtId="164" fontId="81" fillId="0" borderId="0" applyFont="0" applyFill="0" applyBorder="0" applyAlignment="0" applyProtection="0"/>
    <xf numFmtId="0" fontId="2" fillId="0" borderId="0"/>
    <xf numFmtId="0" fontId="88"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1" fillId="0" borderId="0"/>
    <xf numFmtId="9" fontId="1" fillId="0" borderId="0" applyFont="0" applyFill="0" applyBorder="0" applyAlignment="0" applyProtection="0"/>
  </cellStyleXfs>
  <cellXfs count="1176">
    <xf numFmtId="0" fontId="0" fillId="0" borderId="0" xfId="0"/>
    <xf numFmtId="9" fontId="0" fillId="0" borderId="0" xfId="16" applyFont="1" applyAlignment="1">
      <alignment horizontal="center"/>
    </xf>
    <xf numFmtId="0" fontId="0" fillId="0" borderId="0" xfId="0" applyAlignment="1">
      <alignment horizontal="center"/>
    </xf>
    <xf numFmtId="168" fontId="0" fillId="0" borderId="0" xfId="0" applyNumberFormat="1"/>
    <xf numFmtId="10" fontId="0" fillId="0" borderId="0" xfId="0" applyNumberFormat="1" applyAlignment="1">
      <alignment horizontal="center"/>
    </xf>
    <xf numFmtId="169" fontId="0" fillId="0" borderId="0" xfId="0" applyNumberFormat="1" applyAlignment="1">
      <alignment horizontal="center"/>
    </xf>
    <xf numFmtId="0" fontId="14" fillId="0" borderId="0" xfId="0" applyFont="1" applyAlignment="1">
      <alignment horizontal="center"/>
    </xf>
    <xf numFmtId="0" fontId="27" fillId="0" borderId="0" xfId="0" applyFont="1"/>
    <xf numFmtId="0" fontId="16" fillId="0" borderId="19" xfId="0" applyFont="1" applyBorder="1"/>
    <xf numFmtId="0" fontId="14" fillId="0" borderId="22" xfId="0" applyFont="1" applyBorder="1" applyAlignment="1">
      <alignment horizontal="center"/>
    </xf>
    <xf numFmtId="0" fontId="24" fillId="0" borderId="0" xfId="0" applyFont="1"/>
    <xf numFmtId="0" fontId="9" fillId="0" borderId="0" xfId="0" applyFont="1"/>
    <xf numFmtId="0" fontId="9" fillId="0" borderId="19" xfId="0" applyFont="1" applyBorder="1"/>
    <xf numFmtId="0" fontId="9" fillId="0" borderId="19" xfId="0" applyFont="1" applyBorder="1" applyAlignment="1">
      <alignment horizontal="left"/>
    </xf>
    <xf numFmtId="0" fontId="14" fillId="0" borderId="0" xfId="0" applyFont="1"/>
    <xf numFmtId="168" fontId="14" fillId="0" borderId="0" xfId="0" applyNumberFormat="1" applyFont="1" applyAlignment="1">
      <alignment horizontal="center"/>
    </xf>
    <xf numFmtId="9" fontId="14" fillId="0" borderId="0" xfId="16" applyFont="1"/>
    <xf numFmtId="9" fontId="9" fillId="8" borderId="19" xfId="16" applyFont="1" applyFill="1" applyBorder="1" applyAlignment="1">
      <alignment horizontal="center"/>
    </xf>
    <xf numFmtId="10" fontId="9" fillId="8" borderId="19" xfId="0" applyNumberFormat="1" applyFont="1" applyFill="1" applyBorder="1" applyAlignment="1">
      <alignment horizontal="center"/>
    </xf>
    <xf numFmtId="0" fontId="9" fillId="8" borderId="26" xfId="0" applyFont="1" applyFill="1" applyBorder="1" applyAlignment="1">
      <alignment horizontal="center" vertical="center"/>
    </xf>
    <xf numFmtId="0" fontId="27" fillId="8" borderId="0" xfId="0" applyFont="1" applyFill="1"/>
    <xf numFmtId="0" fontId="34" fillId="0" borderId="0" xfId="0" applyFont="1"/>
    <xf numFmtId="0" fontId="27" fillId="8" borderId="0" xfId="0" applyFont="1" applyFill="1" applyAlignment="1">
      <alignment horizontal="center"/>
    </xf>
    <xf numFmtId="0" fontId="36" fillId="0" borderId="0" xfId="0" applyFont="1"/>
    <xf numFmtId="0" fontId="36" fillId="12" borderId="0" xfId="0" applyFont="1" applyFill="1"/>
    <xf numFmtId="3" fontId="36" fillId="0" borderId="0" xfId="0" applyNumberFormat="1" applyFont="1" applyAlignment="1">
      <alignment horizontal="center"/>
    </xf>
    <xf numFmtId="0" fontId="36" fillId="0" borderId="0" xfId="0" applyFont="1" applyAlignment="1">
      <alignment horizontal="left"/>
    </xf>
    <xf numFmtId="0" fontId="36" fillId="19" borderId="0" xfId="0" applyFont="1" applyFill="1"/>
    <xf numFmtId="3" fontId="36" fillId="19" borderId="0" xfId="0" applyNumberFormat="1" applyFont="1" applyFill="1" applyAlignment="1">
      <alignment horizontal="center"/>
    </xf>
    <xf numFmtId="0" fontId="0" fillId="12" borderId="0" xfId="0" applyFill="1"/>
    <xf numFmtId="3" fontId="36" fillId="0" borderId="0" xfId="0" applyNumberFormat="1" applyFont="1"/>
    <xf numFmtId="3" fontId="37" fillId="19" borderId="0" xfId="0" applyNumberFormat="1" applyFont="1" applyFill="1" applyAlignment="1">
      <alignment horizontal="center"/>
    </xf>
    <xf numFmtId="3" fontId="36" fillId="12" borderId="0" xfId="0" applyNumberFormat="1" applyFont="1" applyFill="1" applyAlignment="1">
      <alignment horizontal="center"/>
    </xf>
    <xf numFmtId="3" fontId="37" fillId="12" borderId="0" xfId="0" applyNumberFormat="1" applyFont="1" applyFill="1" applyAlignment="1">
      <alignment horizontal="center"/>
    </xf>
    <xf numFmtId="0" fontId="20" fillId="3" borderId="6" xfId="10"/>
    <xf numFmtId="0" fontId="0" fillId="20" borderId="0" xfId="0" applyFill="1"/>
    <xf numFmtId="3" fontId="24" fillId="0" borderId="0" xfId="0" applyNumberFormat="1" applyFont="1" applyAlignment="1">
      <alignment horizontal="center"/>
    </xf>
    <xf numFmtId="3" fontId="24" fillId="0" borderId="0" xfId="0" applyNumberFormat="1" applyFont="1"/>
    <xf numFmtId="0" fontId="0" fillId="21" borderId="0" xfId="0" applyFill="1"/>
    <xf numFmtId="3" fontId="24" fillId="19" borderId="0" xfId="0" applyNumberFormat="1" applyFont="1" applyFill="1" applyAlignment="1">
      <alignment horizontal="center"/>
    </xf>
    <xf numFmtId="0" fontId="24" fillId="19" borderId="0" xfId="0" applyFont="1" applyFill="1"/>
    <xf numFmtId="0" fontId="0" fillId="22" borderId="0" xfId="0" applyFill="1"/>
    <xf numFmtId="171" fontId="36" fillId="0" borderId="0" xfId="0" applyNumberFormat="1" applyFont="1" applyAlignment="1">
      <alignment horizontal="center"/>
    </xf>
    <xf numFmtId="0" fontId="0" fillId="0" borderId="45" xfId="0" applyBorder="1"/>
    <xf numFmtId="0" fontId="39" fillId="0" borderId="0" xfId="0" applyFont="1"/>
    <xf numFmtId="0" fontId="40" fillId="0" borderId="0" xfId="0" applyFont="1"/>
    <xf numFmtId="0" fontId="41" fillId="0" borderId="0" xfId="0" applyFont="1" applyAlignment="1">
      <alignment horizontal="center"/>
    </xf>
    <xf numFmtId="0" fontId="41" fillId="0" borderId="0" xfId="0" applyFont="1"/>
    <xf numFmtId="170" fontId="40" fillId="0" borderId="0" xfId="0" applyNumberFormat="1" applyFont="1" applyAlignment="1">
      <alignment horizontal="center"/>
    </xf>
    <xf numFmtId="0" fontId="42" fillId="0" borderId="0" xfId="0" applyFont="1"/>
    <xf numFmtId="0" fontId="43" fillId="0" borderId="0" xfId="0" applyFont="1"/>
    <xf numFmtId="0" fontId="44" fillId="0" borderId="0" xfId="0" applyFont="1"/>
    <xf numFmtId="0" fontId="0" fillId="0" borderId="12" xfId="0" applyBorder="1"/>
    <xf numFmtId="0" fontId="24" fillId="0" borderId="0" xfId="0" applyFont="1" applyAlignment="1">
      <alignment horizontal="center"/>
    </xf>
    <xf numFmtId="0" fontId="40" fillId="0" borderId="0" xfId="0" applyFont="1" applyAlignment="1">
      <alignment horizontal="center"/>
    </xf>
    <xf numFmtId="168" fontId="9" fillId="24" borderId="19" xfId="0" applyNumberFormat="1" applyFont="1" applyFill="1" applyBorder="1" applyAlignment="1">
      <alignment horizontal="center"/>
    </xf>
    <xf numFmtId="3" fontId="39" fillId="0" borderId="0" xfId="0" applyNumberFormat="1" applyFont="1"/>
    <xf numFmtId="0" fontId="41" fillId="17" borderId="0" xfId="0" applyFont="1" applyFill="1" applyAlignment="1">
      <alignment horizontal="center"/>
    </xf>
    <xf numFmtId="0" fontId="40" fillId="17" borderId="46" xfId="0" applyFont="1" applyFill="1" applyBorder="1"/>
    <xf numFmtId="3" fontId="0" fillId="25" borderId="1" xfId="0" applyNumberFormat="1" applyFill="1" applyBorder="1" applyAlignment="1">
      <alignment horizontal="center"/>
    </xf>
    <xf numFmtId="3" fontId="0" fillId="25" borderId="47" xfId="0" applyNumberFormat="1" applyFill="1" applyBorder="1" applyAlignment="1">
      <alignment horizontal="center"/>
    </xf>
    <xf numFmtId="0" fontId="40" fillId="0" borderId="46" xfId="0" applyFont="1" applyBorder="1" applyAlignment="1">
      <alignment horizontal="left" indent="1"/>
    </xf>
    <xf numFmtId="169" fontId="14" fillId="26" borderId="1" xfId="16" applyNumberFormat="1" applyFont="1" applyFill="1" applyBorder="1" applyAlignment="1">
      <alignment horizontal="center"/>
    </xf>
    <xf numFmtId="169" fontId="14" fillId="26" borderId="47" xfId="16" applyNumberFormat="1" applyFont="1" applyFill="1" applyBorder="1" applyAlignment="1">
      <alignment horizontal="center"/>
    </xf>
    <xf numFmtId="0" fontId="40" fillId="0" borderId="46" xfId="0" applyFont="1" applyBorder="1" applyAlignment="1">
      <alignment horizontal="left"/>
    </xf>
    <xf numFmtId="3" fontId="0" fillId="25" borderId="1" xfId="16" applyNumberFormat="1" applyFont="1" applyFill="1" applyBorder="1" applyAlignment="1">
      <alignment horizontal="center"/>
    </xf>
    <xf numFmtId="3" fontId="0" fillId="25" borderId="47" xfId="16" applyNumberFormat="1" applyFont="1" applyFill="1" applyBorder="1" applyAlignment="1">
      <alignment horizontal="center"/>
    </xf>
    <xf numFmtId="0" fontId="40" fillId="17" borderId="46" xfId="0" applyFont="1" applyFill="1" applyBorder="1" applyAlignment="1">
      <alignment horizontal="left" indent="1"/>
    </xf>
    <xf numFmtId="0" fontId="41" fillId="0" borderId="46" xfId="0" applyFont="1" applyBorder="1" applyAlignment="1">
      <alignment horizontal="left"/>
    </xf>
    <xf numFmtId="3" fontId="14" fillId="27" borderId="1" xfId="16" applyNumberFormat="1" applyFont="1" applyFill="1" applyBorder="1" applyAlignment="1">
      <alignment horizontal="center"/>
    </xf>
    <xf numFmtId="3" fontId="14" fillId="27" borderId="47" xfId="16" applyNumberFormat="1" applyFont="1" applyFill="1" applyBorder="1" applyAlignment="1">
      <alignment horizontal="center"/>
    </xf>
    <xf numFmtId="0" fontId="41" fillId="17" borderId="46" xfId="0" applyFont="1" applyFill="1" applyBorder="1"/>
    <xf numFmtId="0" fontId="40" fillId="0" borderId="46" xfId="0" applyFont="1" applyBorder="1"/>
    <xf numFmtId="3" fontId="0" fillId="0" borderId="0" xfId="0" applyNumberFormat="1" applyAlignment="1">
      <alignment horizontal="center"/>
    </xf>
    <xf numFmtId="170" fontId="0" fillId="0" borderId="0" xfId="0" applyNumberFormat="1" applyAlignment="1">
      <alignment horizontal="center"/>
    </xf>
    <xf numFmtId="9" fontId="36" fillId="19" borderId="0" xfId="16" applyFont="1" applyFill="1" applyAlignment="1">
      <alignment horizontal="center"/>
    </xf>
    <xf numFmtId="169" fontId="36" fillId="19" borderId="0" xfId="16" applyNumberFormat="1" applyFont="1" applyFill="1" applyAlignment="1">
      <alignment horizontal="center"/>
    </xf>
    <xf numFmtId="10" fontId="36" fillId="19" borderId="0" xfId="0" applyNumberFormat="1" applyFont="1" applyFill="1" applyAlignment="1">
      <alignment horizontal="center"/>
    </xf>
    <xf numFmtId="4" fontId="36" fillId="19" borderId="0" xfId="0" applyNumberFormat="1" applyFont="1" applyFill="1" applyAlignment="1">
      <alignment horizontal="center"/>
    </xf>
    <xf numFmtId="171" fontId="36" fillId="19" borderId="0" xfId="0" applyNumberFormat="1" applyFont="1" applyFill="1" applyAlignment="1">
      <alignment horizontal="center"/>
    </xf>
    <xf numFmtId="0" fontId="36" fillId="19" borderId="0" xfId="0" applyFont="1" applyFill="1" applyAlignment="1">
      <alignment horizontal="center"/>
    </xf>
    <xf numFmtId="169" fontId="36" fillId="19" borderId="0" xfId="0" applyNumberFormat="1" applyFont="1" applyFill="1" applyAlignment="1">
      <alignment horizontal="center"/>
    </xf>
    <xf numFmtId="9" fontId="36" fillId="0" borderId="0" xfId="16" applyFont="1" applyFill="1" applyAlignment="1">
      <alignment horizontal="center"/>
    </xf>
    <xf numFmtId="169" fontId="36" fillId="0" borderId="0" xfId="16" applyNumberFormat="1" applyFont="1" applyFill="1" applyAlignment="1">
      <alignment horizontal="center"/>
    </xf>
    <xf numFmtId="9" fontId="36" fillId="0" borderId="0" xfId="22" applyFont="1" applyFill="1" applyAlignment="1">
      <alignment horizontal="center"/>
    </xf>
    <xf numFmtId="173" fontId="9" fillId="24" borderId="19" xfId="0" applyNumberFormat="1" applyFont="1" applyFill="1" applyBorder="1" applyAlignment="1">
      <alignment horizontal="center"/>
    </xf>
    <xf numFmtId="169" fontId="34" fillId="24" borderId="19" xfId="16" applyNumberFormat="1" applyFont="1" applyFill="1" applyBorder="1" applyAlignment="1">
      <alignment horizontal="center"/>
    </xf>
    <xf numFmtId="0" fontId="14" fillId="0" borderId="38" xfId="0" applyFont="1" applyBorder="1"/>
    <xf numFmtId="0" fontId="18" fillId="5" borderId="8" xfId="4" applyFill="1" applyBorder="1" applyAlignment="1"/>
    <xf numFmtId="0" fontId="9" fillId="0" borderId="0" xfId="26"/>
    <xf numFmtId="0" fontId="28" fillId="5" borderId="7" xfId="26" applyFont="1" applyFill="1" applyBorder="1" applyAlignment="1">
      <alignment horizontal="center"/>
    </xf>
    <xf numFmtId="0" fontId="28" fillId="5" borderId="11" xfId="26" applyFont="1" applyFill="1" applyBorder="1" applyAlignment="1">
      <alignment horizontal="center"/>
    </xf>
    <xf numFmtId="0" fontId="30" fillId="3" borderId="10" xfId="10" applyFont="1" applyBorder="1"/>
    <xf numFmtId="0" fontId="9" fillId="0" borderId="0" xfId="26" applyAlignment="1">
      <alignment vertical="center"/>
    </xf>
    <xf numFmtId="0" fontId="30" fillId="3" borderId="13" xfId="10" applyFont="1" applyBorder="1"/>
    <xf numFmtId="0" fontId="30" fillId="0" borderId="10" xfId="10" applyFont="1" applyFill="1" applyBorder="1"/>
    <xf numFmtId="0" fontId="21" fillId="0" borderId="0" xfId="8" applyFill="1" applyBorder="1"/>
    <xf numFmtId="9" fontId="9" fillId="0" borderId="0" xfId="28" applyFont="1"/>
    <xf numFmtId="0" fontId="31" fillId="0" borderId="0" xfId="11" applyFont="1" applyAlignment="1" applyProtection="1"/>
    <xf numFmtId="4" fontId="26" fillId="28" borderId="0" xfId="7" applyFont="1" applyFill="1" applyBorder="1">
      <alignment horizontal="right"/>
    </xf>
    <xf numFmtId="4" fontId="33" fillId="9" borderId="0" xfId="7" applyFont="1" applyFill="1" applyBorder="1">
      <alignment horizontal="right"/>
    </xf>
    <xf numFmtId="0" fontId="28" fillId="29" borderId="0" xfId="26" applyFont="1" applyFill="1" applyAlignment="1">
      <alignment horizontal="center" vertical="center"/>
    </xf>
    <xf numFmtId="0" fontId="29" fillId="0" borderId="9" xfId="9" applyFont="1" applyFill="1" applyBorder="1"/>
    <xf numFmtId="0" fontId="20" fillId="3" borderId="13" xfId="10" applyBorder="1"/>
    <xf numFmtId="0" fontId="20" fillId="3" borderId="10" xfId="10" applyBorder="1"/>
    <xf numFmtId="0" fontId="27" fillId="0" borderId="0" xfId="26" applyFont="1"/>
    <xf numFmtId="0" fontId="14" fillId="0" borderId="33" xfId="0" applyFont="1" applyBorder="1"/>
    <xf numFmtId="0" fontId="14" fillId="0" borderId="39" xfId="0" applyFont="1" applyBorder="1"/>
    <xf numFmtId="0" fontId="0" fillId="0" borderId="4" xfId="0" applyBorder="1"/>
    <xf numFmtId="0" fontId="0" fillId="0" borderId="6" xfId="0" applyBorder="1"/>
    <xf numFmtId="0" fontId="0" fillId="0" borderId="37" xfId="0" applyBorder="1"/>
    <xf numFmtId="0" fontId="0" fillId="0" borderId="2" xfId="0" applyBorder="1"/>
    <xf numFmtId="0" fontId="0" fillId="0" borderId="38" xfId="0" applyBorder="1"/>
    <xf numFmtId="0" fontId="0" fillId="0" borderId="33" xfId="0" applyBorder="1"/>
    <xf numFmtId="0" fontId="0" fillId="0" borderId="39" xfId="0" applyBorder="1"/>
    <xf numFmtId="0" fontId="14" fillId="0" borderId="46" xfId="0" applyFont="1" applyBorder="1"/>
    <xf numFmtId="0" fontId="14" fillId="0" borderId="1" xfId="0" applyFont="1" applyBorder="1"/>
    <xf numFmtId="0" fontId="14" fillId="0" borderId="47" xfId="0" applyFont="1" applyBorder="1"/>
    <xf numFmtId="0" fontId="0" fillId="8" borderId="0" xfId="0" applyFill="1"/>
    <xf numFmtId="4" fontId="9" fillId="12" borderId="0" xfId="7" applyFont="1" applyFill="1" applyBorder="1">
      <alignment horizontal="right"/>
    </xf>
    <xf numFmtId="0" fontId="36" fillId="19" borderId="0" xfId="0" applyFont="1" applyFill="1" applyAlignment="1">
      <alignment horizontal="left" indent="1"/>
    </xf>
    <xf numFmtId="171" fontId="36" fillId="19" borderId="0" xfId="0" applyNumberFormat="1" applyFont="1" applyFill="1" applyAlignment="1">
      <alignment horizontal="left" indent="1"/>
    </xf>
    <xf numFmtId="0" fontId="36" fillId="30" borderId="0" xfId="0" applyFont="1" applyFill="1" applyAlignment="1">
      <alignment horizontal="left" indent="1"/>
    </xf>
    <xf numFmtId="0" fontId="24" fillId="0" borderId="0" xfId="0" applyFont="1" applyAlignment="1">
      <alignment horizontal="left"/>
    </xf>
    <xf numFmtId="0" fontId="28" fillId="32" borderId="29" xfId="0" applyFont="1" applyFill="1" applyBorder="1" applyAlignment="1">
      <alignment horizontal="center"/>
    </xf>
    <xf numFmtId="0" fontId="28" fillId="32" borderId="25" xfId="0" applyFont="1" applyFill="1" applyBorder="1" applyAlignment="1">
      <alignment horizontal="center"/>
    </xf>
    <xf numFmtId="9" fontId="34" fillId="8" borderId="54" xfId="16" applyFont="1" applyFill="1" applyBorder="1" applyAlignment="1">
      <alignment horizontal="center"/>
    </xf>
    <xf numFmtId="9" fontId="9" fillId="8" borderId="54" xfId="16" applyFont="1" applyFill="1" applyBorder="1" applyAlignment="1">
      <alignment horizontal="center"/>
    </xf>
    <xf numFmtId="0" fontId="14" fillId="0" borderId="54" xfId="0" applyFont="1" applyBorder="1" applyAlignment="1">
      <alignment horizontal="center"/>
    </xf>
    <xf numFmtId="169" fontId="34" fillId="24" borderId="54" xfId="16" applyNumberFormat="1" applyFont="1" applyFill="1" applyBorder="1" applyAlignment="1">
      <alignment horizontal="center"/>
    </xf>
    <xf numFmtId="0" fontId="28" fillId="32" borderId="19" xfId="0" applyFont="1" applyFill="1" applyBorder="1" applyAlignment="1">
      <alignment horizontal="center" vertical="center" wrapText="1"/>
    </xf>
    <xf numFmtId="0" fontId="28" fillId="32" borderId="19" xfId="0" applyFont="1" applyFill="1" applyBorder="1" applyAlignment="1">
      <alignment horizontal="center"/>
    </xf>
    <xf numFmtId="0" fontId="28" fillId="32" borderId="23" xfId="0" applyFont="1" applyFill="1" applyBorder="1" applyAlignment="1">
      <alignment horizontal="center" vertical="center" wrapText="1"/>
    </xf>
    <xf numFmtId="0" fontId="28" fillId="32" borderId="54" xfId="0" applyFont="1" applyFill="1" applyBorder="1" applyAlignment="1">
      <alignment horizontal="center"/>
    </xf>
    <xf numFmtId="3" fontId="9" fillId="0" borderId="0" xfId="0" applyNumberFormat="1" applyFont="1"/>
    <xf numFmtId="0" fontId="9" fillId="17" borderId="46" xfId="0" applyFont="1" applyFill="1" applyBorder="1"/>
    <xf numFmtId="0" fontId="9" fillId="0" borderId="46" xfId="0" applyFont="1" applyBorder="1" applyAlignment="1">
      <alignment horizontal="left" indent="1"/>
    </xf>
    <xf numFmtId="0" fontId="9" fillId="0" borderId="46" xfId="0" applyFont="1" applyBorder="1" applyAlignment="1">
      <alignment horizontal="left"/>
    </xf>
    <xf numFmtId="0" fontId="9" fillId="17" borderId="46" xfId="0" applyFont="1" applyFill="1" applyBorder="1" applyAlignment="1">
      <alignment horizontal="left" indent="1"/>
    </xf>
    <xf numFmtId="0" fontId="14" fillId="0" borderId="46" xfId="0" applyFont="1" applyBorder="1" applyAlignment="1">
      <alignment horizontal="left"/>
    </xf>
    <xf numFmtId="0" fontId="14" fillId="17" borderId="46" xfId="0" applyFont="1" applyFill="1" applyBorder="1"/>
    <xf numFmtId="0" fontId="9" fillId="0" borderId="46" xfId="0" applyFont="1" applyBorder="1"/>
    <xf numFmtId="174" fontId="9" fillId="24" borderId="19" xfId="0" applyNumberFormat="1" applyFont="1" applyFill="1" applyBorder="1" applyAlignment="1">
      <alignment horizontal="center"/>
    </xf>
    <xf numFmtId="9" fontId="9" fillId="24" borderId="19" xfId="16" applyFont="1" applyFill="1" applyBorder="1" applyAlignment="1">
      <alignment horizontal="center"/>
    </xf>
    <xf numFmtId="173" fontId="9" fillId="0" borderId="19" xfId="0" applyNumberFormat="1" applyFont="1" applyBorder="1" applyAlignment="1">
      <alignment horizontal="center"/>
    </xf>
    <xf numFmtId="168" fontId="9" fillId="7" borderId="19" xfId="0" applyNumberFormat="1" applyFont="1" applyFill="1" applyBorder="1" applyAlignment="1">
      <alignment horizontal="center"/>
    </xf>
    <xf numFmtId="4" fontId="9" fillId="7" borderId="19" xfId="0" applyNumberFormat="1" applyFont="1" applyFill="1" applyBorder="1" applyAlignment="1">
      <alignment horizontal="center"/>
    </xf>
    <xf numFmtId="9" fontId="34" fillId="7" borderId="54" xfId="16" applyFont="1" applyFill="1" applyBorder="1" applyAlignment="1">
      <alignment horizontal="center"/>
    </xf>
    <xf numFmtId="0" fontId="9" fillId="7" borderId="19" xfId="0" applyFont="1" applyFill="1" applyBorder="1"/>
    <xf numFmtId="9" fontId="9" fillId="7" borderId="19" xfId="16" applyFont="1" applyFill="1" applyBorder="1" applyAlignment="1">
      <alignment horizontal="center"/>
    </xf>
    <xf numFmtId="169" fontId="9" fillId="7" borderId="19" xfId="16" applyNumberFormat="1" applyFont="1" applyFill="1" applyBorder="1" applyAlignment="1">
      <alignment horizontal="center"/>
    </xf>
    <xf numFmtId="9" fontId="9" fillId="7" borderId="19" xfId="16" applyFont="1" applyFill="1" applyBorder="1"/>
    <xf numFmtId="174" fontId="34" fillId="8" borderId="54" xfId="16" applyNumberFormat="1" applyFont="1" applyFill="1" applyBorder="1" applyAlignment="1">
      <alignment horizontal="center"/>
    </xf>
    <xf numFmtId="174" fontId="9" fillId="8" borderId="54" xfId="0" applyNumberFormat="1" applyFont="1" applyFill="1" applyBorder="1" applyAlignment="1">
      <alignment horizontal="center"/>
    </xf>
    <xf numFmtId="0" fontId="49" fillId="32" borderId="54" xfId="0" applyFont="1" applyFill="1" applyBorder="1" applyAlignment="1">
      <alignment horizontal="center"/>
    </xf>
    <xf numFmtId="0" fontId="50" fillId="32" borderId="54" xfId="0" applyFont="1" applyFill="1" applyBorder="1" applyAlignment="1">
      <alignment horizontal="center"/>
    </xf>
    <xf numFmtId="168" fontId="14" fillId="24" borderId="19" xfId="0" applyNumberFormat="1" applyFont="1" applyFill="1" applyBorder="1" applyAlignment="1">
      <alignment horizontal="center"/>
    </xf>
    <xf numFmtId="0" fontId="14" fillId="14" borderId="12" xfId="0" applyFont="1" applyFill="1" applyBorder="1" applyAlignment="1">
      <alignment horizontal="center"/>
    </xf>
    <xf numFmtId="0" fontId="0" fillId="0" borderId="52" xfId="0" applyBorder="1"/>
    <xf numFmtId="0" fontId="0" fillId="0" borderId="73" xfId="0" applyBorder="1"/>
    <xf numFmtId="0" fontId="14" fillId="0" borderId="86" xfId="0" applyFont="1" applyBorder="1" applyAlignment="1">
      <alignment horizontal="left"/>
    </xf>
    <xf numFmtId="9" fontId="0" fillId="0" borderId="86" xfId="16" applyFont="1" applyBorder="1"/>
    <xf numFmtId="9" fontId="0" fillId="0" borderId="87" xfId="16" applyFont="1" applyBorder="1"/>
    <xf numFmtId="0" fontId="14" fillId="0" borderId="85" xfId="0" applyFont="1" applyBorder="1" applyAlignment="1">
      <alignment horizontal="center"/>
    </xf>
    <xf numFmtId="9" fontId="0" fillId="0" borderId="69" xfId="0" applyNumberFormat="1" applyBorder="1"/>
    <xf numFmtId="168" fontId="0" fillId="0" borderId="81" xfId="0" applyNumberFormat="1" applyBorder="1" applyAlignment="1">
      <alignment horizontal="center"/>
    </xf>
    <xf numFmtId="168" fontId="0" fillId="0" borderId="83" xfId="0" applyNumberFormat="1" applyBorder="1" applyAlignment="1">
      <alignment horizontal="center"/>
    </xf>
    <xf numFmtId="0" fontId="0" fillId="33" borderId="88" xfId="0" applyFill="1" applyBorder="1"/>
    <xf numFmtId="0" fontId="0" fillId="33" borderId="89" xfId="0" applyFill="1" applyBorder="1"/>
    <xf numFmtId="10" fontId="0" fillId="33" borderId="89" xfId="0" applyNumberFormat="1" applyFill="1" applyBorder="1"/>
    <xf numFmtId="10" fontId="0" fillId="33" borderId="90" xfId="0" applyNumberFormat="1" applyFill="1" applyBorder="1"/>
    <xf numFmtId="0" fontId="14" fillId="8" borderId="40" xfId="0" applyFont="1" applyFill="1" applyBorder="1" applyAlignment="1">
      <alignment horizontal="center"/>
    </xf>
    <xf numFmtId="9" fontId="0" fillId="0" borderId="91" xfId="16" applyFont="1" applyBorder="1"/>
    <xf numFmtId="0" fontId="14" fillId="14" borderId="68" xfId="0" applyFont="1" applyFill="1" applyBorder="1" applyAlignment="1">
      <alignment horizontal="center"/>
    </xf>
    <xf numFmtId="9" fontId="14" fillId="14" borderId="68" xfId="16" applyFont="1" applyFill="1" applyBorder="1" applyAlignment="1">
      <alignment horizontal="center"/>
    </xf>
    <xf numFmtId="0" fontId="14" fillId="0" borderId="68" xfId="0" applyFont="1" applyBorder="1" applyAlignment="1">
      <alignment horizontal="center"/>
    </xf>
    <xf numFmtId="168" fontId="0" fillId="0" borderId="92" xfId="0" applyNumberFormat="1" applyBorder="1" applyAlignment="1">
      <alignment horizontal="center"/>
    </xf>
    <xf numFmtId="0" fontId="14" fillId="0" borderId="94" xfId="0" applyFont="1" applyBorder="1"/>
    <xf numFmtId="0" fontId="14" fillId="0" borderId="93" xfId="0" applyFont="1" applyBorder="1" applyAlignment="1">
      <alignment horizontal="center"/>
    </xf>
    <xf numFmtId="0" fontId="0" fillId="0" borderId="70" xfId="0" applyBorder="1"/>
    <xf numFmtId="0" fontId="0" fillId="0" borderId="71" xfId="0" applyBorder="1"/>
    <xf numFmtId="0" fontId="0" fillId="0" borderId="72" xfId="0" applyBorder="1"/>
    <xf numFmtId="0" fontId="0" fillId="0" borderId="53" xfId="0" applyBorder="1"/>
    <xf numFmtId="0" fontId="0" fillId="0" borderId="77" xfId="0" applyBorder="1"/>
    <xf numFmtId="9" fontId="0" fillId="0" borderId="0" xfId="0" applyNumberFormat="1"/>
    <xf numFmtId="0" fontId="14" fillId="14" borderId="90" xfId="0" applyFont="1" applyFill="1" applyBorder="1" applyAlignment="1">
      <alignment horizontal="center"/>
    </xf>
    <xf numFmtId="0" fontId="0" fillId="33" borderId="74" xfId="0" applyFill="1" applyBorder="1"/>
    <xf numFmtId="0" fontId="0" fillId="33" borderId="76" xfId="0" applyFill="1" applyBorder="1"/>
    <xf numFmtId="0" fontId="14" fillId="0" borderId="74" xfId="0" applyFont="1" applyBorder="1" applyAlignment="1">
      <alignment horizontal="center"/>
    </xf>
    <xf numFmtId="168" fontId="0" fillId="0" borderId="82" xfId="0" applyNumberFormat="1" applyBorder="1" applyAlignment="1">
      <alignment horizontal="center"/>
    </xf>
    <xf numFmtId="168" fontId="0" fillId="0" borderId="84" xfId="0" applyNumberFormat="1" applyBorder="1" applyAlignment="1">
      <alignment horizontal="center"/>
    </xf>
    <xf numFmtId="174" fontId="0" fillId="0" borderId="96" xfId="0" applyNumberFormat="1" applyBorder="1" applyAlignment="1">
      <alignment horizontal="center"/>
    </xf>
    <xf numFmtId="174" fontId="0" fillId="0" borderId="98" xfId="0" applyNumberFormat="1" applyBorder="1" applyAlignment="1">
      <alignment horizontal="center"/>
    </xf>
    <xf numFmtId="0" fontId="0" fillId="31" borderId="75" xfId="0" applyFill="1" applyBorder="1"/>
    <xf numFmtId="0" fontId="28" fillId="31" borderId="75" xfId="0" applyFont="1" applyFill="1" applyBorder="1" applyAlignment="1">
      <alignment horizontal="left"/>
    </xf>
    <xf numFmtId="172" fontId="28" fillId="31" borderId="76" xfId="0" applyNumberFormat="1" applyFont="1" applyFill="1" applyBorder="1" applyAlignment="1">
      <alignment horizontal="center" vertical="center"/>
    </xf>
    <xf numFmtId="0" fontId="14" fillId="17" borderId="101" xfId="0" applyFont="1" applyFill="1" applyBorder="1"/>
    <xf numFmtId="0" fontId="14" fillId="17" borderId="102" xfId="0" applyFont="1" applyFill="1" applyBorder="1"/>
    <xf numFmtId="174" fontId="0" fillId="0" borderId="103" xfId="0" applyNumberFormat="1" applyBorder="1" applyAlignment="1">
      <alignment horizontal="center"/>
    </xf>
    <xf numFmtId="0" fontId="28" fillId="32" borderId="104" xfId="0" applyFont="1" applyFill="1" applyBorder="1" applyAlignment="1">
      <alignment horizontal="center"/>
    </xf>
    <xf numFmtId="0" fontId="0" fillId="32" borderId="105" xfId="0" applyFill="1" applyBorder="1"/>
    <xf numFmtId="0" fontId="28" fillId="32" borderId="101" xfId="0" applyFont="1" applyFill="1" applyBorder="1" applyAlignment="1">
      <alignment horizontal="center"/>
    </xf>
    <xf numFmtId="0" fontId="0" fillId="32" borderId="98" xfId="0" applyFill="1" applyBorder="1"/>
    <xf numFmtId="174" fontId="0" fillId="24" borderId="97" xfId="0" applyNumberFormat="1" applyFill="1" applyBorder="1" applyAlignment="1">
      <alignment horizontal="center"/>
    </xf>
    <xf numFmtId="0" fontId="14" fillId="0" borderId="99" xfId="0" applyFont="1" applyBorder="1" applyAlignment="1">
      <alignment horizontal="left" vertical="center"/>
    </xf>
    <xf numFmtId="0" fontId="14" fillId="0" borderId="101" xfId="0" applyFont="1" applyBorder="1" applyAlignment="1">
      <alignment horizontal="left" vertical="center"/>
    </xf>
    <xf numFmtId="0" fontId="14" fillId="0" borderId="100" xfId="0" applyFont="1" applyBorder="1" applyAlignment="1">
      <alignment horizontal="left" vertical="center"/>
    </xf>
    <xf numFmtId="0" fontId="48" fillId="5" borderId="74" xfId="0" applyFont="1" applyFill="1" applyBorder="1" applyAlignment="1">
      <alignment horizontal="left" vertical="center"/>
    </xf>
    <xf numFmtId="0" fontId="48" fillId="31" borderId="74" xfId="0" applyFont="1" applyFill="1" applyBorder="1" applyAlignment="1">
      <alignment horizontal="left" vertical="center"/>
    </xf>
    <xf numFmtId="0" fontId="48" fillId="13" borderId="76" xfId="0" applyFont="1" applyFill="1" applyBorder="1" applyAlignment="1">
      <alignment horizontal="center"/>
    </xf>
    <xf numFmtId="0" fontId="15" fillId="8" borderId="101" xfId="0" applyFont="1" applyFill="1" applyBorder="1" applyAlignment="1">
      <alignment horizontal="left" vertical="center"/>
    </xf>
    <xf numFmtId="0" fontId="14" fillId="8" borderId="100" xfId="0" applyFont="1" applyFill="1" applyBorder="1" applyAlignment="1">
      <alignment horizontal="left" vertical="center"/>
    </xf>
    <xf numFmtId="0" fontId="14" fillId="8" borderId="99" xfId="0" applyFont="1" applyFill="1" applyBorder="1" applyAlignment="1">
      <alignment horizontal="left" vertical="center"/>
    </xf>
    <xf numFmtId="0" fontId="14" fillId="8" borderId="101" xfId="0" applyFont="1" applyFill="1" applyBorder="1" applyAlignment="1">
      <alignment horizontal="left" vertical="center"/>
    </xf>
    <xf numFmtId="0" fontId="14" fillId="8" borderId="102" xfId="0" applyFont="1" applyFill="1" applyBorder="1" applyAlignment="1">
      <alignment horizontal="left" vertical="center"/>
    </xf>
    <xf numFmtId="9" fontId="0" fillId="24" borderId="96" xfId="16" applyFont="1" applyFill="1" applyBorder="1" applyAlignment="1">
      <alignment horizontal="center"/>
    </xf>
    <xf numFmtId="9" fontId="0" fillId="24" borderId="98" xfId="16" applyFont="1" applyFill="1" applyBorder="1" applyAlignment="1">
      <alignment horizontal="center"/>
    </xf>
    <xf numFmtId="9" fontId="0" fillId="24" borderId="97" xfId="16" applyFont="1" applyFill="1" applyBorder="1" applyAlignment="1">
      <alignment horizontal="center"/>
    </xf>
    <xf numFmtId="2" fontId="0" fillId="24" borderId="98" xfId="16" applyNumberFormat="1" applyFont="1" applyFill="1" applyBorder="1" applyAlignment="1">
      <alignment horizontal="center"/>
    </xf>
    <xf numFmtId="0" fontId="0" fillId="31" borderId="75" xfId="0" applyFill="1" applyBorder="1" applyAlignment="1">
      <alignment horizontal="center"/>
    </xf>
    <xf numFmtId="174" fontId="27" fillId="18" borderId="96" xfId="0" applyNumberFormat="1" applyFont="1" applyFill="1" applyBorder="1" applyAlignment="1">
      <alignment horizontal="center"/>
    </xf>
    <xf numFmtId="174" fontId="27" fillId="18" borderId="97" xfId="0" applyNumberFormat="1" applyFont="1" applyFill="1" applyBorder="1" applyAlignment="1">
      <alignment horizontal="center"/>
    </xf>
    <xf numFmtId="9" fontId="27" fillId="31" borderId="75" xfId="16" applyFont="1" applyFill="1" applyBorder="1" applyAlignment="1">
      <alignment horizontal="center" vertical="center"/>
    </xf>
    <xf numFmtId="9" fontId="27" fillId="18" borderId="96" xfId="16" applyFont="1" applyFill="1" applyBorder="1" applyAlignment="1">
      <alignment horizontal="center"/>
    </xf>
    <xf numFmtId="9" fontId="27" fillId="18" borderId="98" xfId="16" applyFont="1" applyFill="1" applyBorder="1" applyAlignment="1">
      <alignment horizontal="center"/>
    </xf>
    <xf numFmtId="9" fontId="27" fillId="18" borderId="97" xfId="16" applyFont="1" applyFill="1" applyBorder="1" applyAlignment="1">
      <alignment horizontal="center"/>
    </xf>
    <xf numFmtId="0" fontId="27" fillId="31" borderId="75" xfId="0" applyFont="1" applyFill="1" applyBorder="1" applyAlignment="1">
      <alignment horizontal="center" vertical="center"/>
    </xf>
    <xf numFmtId="10" fontId="27" fillId="31" borderId="75" xfId="0" applyNumberFormat="1" applyFont="1" applyFill="1" applyBorder="1" applyAlignment="1">
      <alignment horizontal="center" vertical="center"/>
    </xf>
    <xf numFmtId="172" fontId="27" fillId="31" borderId="75" xfId="19" applyNumberFormat="1" applyFont="1" applyFill="1" applyBorder="1" applyAlignment="1">
      <alignment horizontal="center" vertical="center"/>
    </xf>
    <xf numFmtId="0" fontId="27" fillId="31" borderId="75" xfId="0" applyFont="1" applyFill="1" applyBorder="1" applyAlignment="1">
      <alignment horizontal="center"/>
    </xf>
    <xf numFmtId="0" fontId="9" fillId="0" borderId="70" xfId="0" applyFont="1" applyBorder="1"/>
    <xf numFmtId="0" fontId="51" fillId="5" borderId="67" xfId="0" applyFont="1" applyFill="1" applyBorder="1" applyAlignment="1">
      <alignment horizontal="center"/>
    </xf>
    <xf numFmtId="0" fontId="51" fillId="5" borderId="67" xfId="0" applyFont="1" applyFill="1" applyBorder="1"/>
    <xf numFmtId="0" fontId="0" fillId="0" borderId="67" xfId="0" applyBorder="1"/>
    <xf numFmtId="2" fontId="27" fillId="18" borderId="98" xfId="16" applyNumberFormat="1" applyFont="1" applyFill="1" applyBorder="1" applyAlignment="1">
      <alignment horizontal="center"/>
    </xf>
    <xf numFmtId="174" fontId="0" fillId="24" borderId="98" xfId="0" applyNumberFormat="1" applyFill="1" applyBorder="1" applyAlignment="1">
      <alignment horizontal="center"/>
    </xf>
    <xf numFmtId="174" fontId="0" fillId="24" borderId="103" xfId="0" applyNumberFormat="1" applyFill="1" applyBorder="1" applyAlignment="1">
      <alignment horizontal="center"/>
    </xf>
    <xf numFmtId="0" fontId="30" fillId="0" borderId="10" xfId="26" applyFont="1" applyBorder="1" applyAlignment="1">
      <alignment horizontal="center"/>
    </xf>
    <xf numFmtId="0" fontId="30" fillId="0" borderId="16" xfId="26" applyFont="1" applyBorder="1" applyAlignment="1">
      <alignment horizontal="center"/>
    </xf>
    <xf numFmtId="0" fontId="30" fillId="0" borderId="10" xfId="26" applyFont="1" applyBorder="1" applyAlignment="1">
      <alignment horizontal="center" vertical="center"/>
    </xf>
    <xf numFmtId="0" fontId="30" fillId="0" borderId="16" xfId="26" applyFont="1" applyBorder="1" applyAlignment="1">
      <alignment horizontal="center" vertical="center"/>
    </xf>
    <xf numFmtId="0" fontId="30" fillId="0" borderId="14" xfId="26" applyFont="1" applyBorder="1" applyAlignment="1">
      <alignment horizontal="center"/>
    </xf>
    <xf numFmtId="0" fontId="30" fillId="0" borderId="17" xfId="26" applyFont="1" applyBorder="1" applyAlignment="1">
      <alignment horizontal="center"/>
    </xf>
    <xf numFmtId="0" fontId="52" fillId="5" borderId="108" xfId="4" applyFont="1" applyFill="1" applyBorder="1" applyAlignment="1">
      <alignment horizontal="center" vertical="center"/>
    </xf>
    <xf numFmtId="0" fontId="52" fillId="5" borderId="108" xfId="3" applyFont="1" applyFill="1" applyBorder="1" applyAlignment="1">
      <alignment horizontal="center" vertical="center" wrapText="1"/>
    </xf>
    <xf numFmtId="0" fontId="52" fillId="5" borderId="108" xfId="3" applyFont="1" applyFill="1" applyBorder="1" applyAlignment="1">
      <alignment horizontal="center" vertical="center"/>
    </xf>
    <xf numFmtId="0" fontId="9" fillId="3" borderId="108" xfId="10" applyFont="1" applyBorder="1" applyAlignment="1">
      <alignment horizontal="center" vertical="center"/>
    </xf>
    <xf numFmtId="171" fontId="9" fillId="8" borderId="108" xfId="6" applyFont="1" applyFill="1" applyBorder="1" applyAlignment="1">
      <alignment horizontal="right" vertical="center" wrapText="1"/>
    </xf>
    <xf numFmtId="0" fontId="30" fillId="3" borderId="108" xfId="10" applyFont="1" applyBorder="1" applyAlignment="1">
      <alignment vertical="center"/>
    </xf>
    <xf numFmtId="171" fontId="9" fillId="3" borderId="108" xfId="6" applyFont="1" applyBorder="1" applyAlignment="1">
      <alignment horizontal="right" vertical="center" wrapText="1"/>
    </xf>
    <xf numFmtId="0" fontId="30" fillId="3" borderId="108" xfId="10" applyFont="1" applyBorder="1" applyAlignment="1">
      <alignment horizontal="center" vertical="center"/>
    </xf>
    <xf numFmtId="3" fontId="14" fillId="34" borderId="110" xfId="5" applyFont="1" applyFill="1" applyBorder="1" applyAlignment="1">
      <alignment horizontal="center" vertical="center"/>
    </xf>
    <xf numFmtId="0" fontId="14" fillId="0" borderId="0" xfId="26" applyFont="1" applyAlignment="1">
      <alignment vertical="center"/>
    </xf>
    <xf numFmtId="0" fontId="9" fillId="12" borderId="0" xfId="26" applyFill="1" applyAlignment="1">
      <alignment vertical="center"/>
    </xf>
    <xf numFmtId="0" fontId="29" fillId="0" borderId="108" xfId="9" applyFont="1" applyFill="1" applyBorder="1" applyAlignment="1">
      <alignment horizontal="center" vertical="center"/>
    </xf>
    <xf numFmtId="3" fontId="53" fillId="34" borderId="109" xfId="5" applyFont="1" applyFill="1" applyBorder="1" applyAlignment="1">
      <alignment horizontal="right" vertical="center"/>
    </xf>
    <xf numFmtId="3" fontId="53" fillId="34" borderId="110" xfId="5" applyFont="1" applyFill="1" applyBorder="1" applyAlignment="1">
      <alignment horizontal="right" vertical="center"/>
    </xf>
    <xf numFmtId="3" fontId="53" fillId="34" borderId="111" xfId="5" applyFont="1" applyFill="1" applyBorder="1" applyAlignment="1">
      <alignment horizontal="right" vertical="center"/>
    </xf>
    <xf numFmtId="171" fontId="9" fillId="3" borderId="108" xfId="6" applyFont="1" applyBorder="1" applyAlignment="1">
      <alignment horizontal="center" vertical="center"/>
    </xf>
    <xf numFmtId="4" fontId="33" fillId="0" borderId="108" xfId="7" applyFont="1" applyFill="1" applyBorder="1" applyAlignment="1">
      <alignment horizontal="right" vertical="center"/>
    </xf>
    <xf numFmtId="0" fontId="0" fillId="34" borderId="110" xfId="0" applyFill="1" applyBorder="1" applyAlignment="1">
      <alignment horizontal="center" vertical="center"/>
    </xf>
    <xf numFmtId="4" fontId="9" fillId="34" borderId="110" xfId="7" applyFont="1" applyFill="1" applyBorder="1" applyAlignment="1">
      <alignment horizontal="right" vertical="center"/>
    </xf>
    <xf numFmtId="3" fontId="14" fillId="34" borderId="111" xfId="5" applyFont="1" applyFill="1" applyBorder="1" applyAlignment="1">
      <alignment horizontal="right" vertical="center" wrapText="1"/>
    </xf>
    <xf numFmtId="4" fontId="9" fillId="8" borderId="108" xfId="7" applyFont="1" applyFill="1" applyBorder="1" applyAlignment="1">
      <alignment horizontal="right" vertical="center" wrapText="1"/>
    </xf>
    <xf numFmtId="4" fontId="9" fillId="3" borderId="108" xfId="7" applyFont="1" applyBorder="1" applyAlignment="1">
      <alignment horizontal="center" vertical="center"/>
    </xf>
    <xf numFmtId="4" fontId="9" fillId="3" borderId="108" xfId="7" applyFont="1" applyBorder="1" applyAlignment="1">
      <alignment horizontal="right" vertical="center" wrapText="1"/>
    </xf>
    <xf numFmtId="0" fontId="30" fillId="0" borderId="108" xfId="10" applyFont="1" applyFill="1" applyBorder="1" applyAlignment="1">
      <alignment vertical="center"/>
    </xf>
    <xf numFmtId="0" fontId="9" fillId="0" borderId="108" xfId="10" applyFont="1" applyFill="1" applyBorder="1" applyAlignment="1">
      <alignment horizontal="center" vertical="center"/>
    </xf>
    <xf numFmtId="0" fontId="9" fillId="0" borderId="108" xfId="27" applyFont="1" applyBorder="1" applyAlignment="1">
      <alignment horizontal="right" vertical="center" wrapText="1"/>
    </xf>
    <xf numFmtId="3" fontId="14" fillId="34" borderId="109" xfId="5" applyFont="1" applyFill="1" applyBorder="1" applyAlignment="1">
      <alignment horizontal="right" vertical="center"/>
    </xf>
    <xf numFmtId="4" fontId="9" fillId="6" borderId="108" xfId="7" applyFont="1" applyFill="1" applyBorder="1" applyAlignment="1">
      <alignment horizontal="right" vertical="center"/>
    </xf>
    <xf numFmtId="4" fontId="9" fillId="6" borderId="108" xfId="7" applyFont="1" applyFill="1" applyBorder="1" applyAlignment="1">
      <alignment horizontal="center" vertical="center"/>
    </xf>
    <xf numFmtId="4" fontId="9" fillId="0" borderId="108" xfId="7" applyFont="1" applyFill="1" applyBorder="1" applyAlignment="1">
      <alignment horizontal="right" vertical="center" wrapText="1"/>
    </xf>
    <xf numFmtId="0" fontId="30" fillId="3" borderId="108" xfId="10" applyFont="1" applyBorder="1" applyAlignment="1">
      <alignment vertical="center" wrapText="1"/>
    </xf>
    <xf numFmtId="4" fontId="9" fillId="0" borderId="108" xfId="7" applyFont="1" applyFill="1" applyBorder="1" applyAlignment="1">
      <alignment horizontal="center" vertical="center"/>
    </xf>
    <xf numFmtId="0" fontId="52" fillId="32" borderId="108" xfId="3" applyFont="1" applyFill="1" applyBorder="1" applyAlignment="1">
      <alignment horizontal="center" vertical="center" wrapText="1"/>
    </xf>
    <xf numFmtId="0" fontId="9" fillId="0" borderId="108" xfId="26" applyBorder="1" applyAlignment="1">
      <alignment vertical="center"/>
    </xf>
    <xf numFmtId="0" fontId="36" fillId="12" borderId="108" xfId="26" applyFont="1" applyFill="1" applyBorder="1" applyAlignment="1">
      <alignment horizontal="center" vertical="center"/>
    </xf>
    <xf numFmtId="9" fontId="0" fillId="36" borderId="103" xfId="16" applyFont="1" applyFill="1" applyBorder="1" applyAlignment="1">
      <alignment horizontal="center"/>
    </xf>
    <xf numFmtId="2" fontId="0" fillId="8" borderId="98" xfId="16" applyNumberFormat="1" applyFont="1" applyFill="1" applyBorder="1" applyAlignment="1">
      <alignment horizontal="center"/>
    </xf>
    <xf numFmtId="0" fontId="28" fillId="5" borderId="31" xfId="26" applyFont="1" applyFill="1" applyBorder="1" applyAlignment="1">
      <alignment horizontal="center" vertical="center"/>
    </xf>
    <xf numFmtId="0" fontId="28" fillId="5" borderId="32" xfId="26" applyFont="1" applyFill="1" applyBorder="1" applyAlignment="1">
      <alignment horizontal="center" vertical="center"/>
    </xf>
    <xf numFmtId="0" fontId="55" fillId="0" borderId="0" xfId="0" applyFont="1"/>
    <xf numFmtId="0" fontId="57" fillId="0" borderId="39" xfId="0" applyFont="1" applyBorder="1"/>
    <xf numFmtId="0" fontId="57" fillId="0" borderId="0" xfId="0" applyFont="1"/>
    <xf numFmtId="0" fontId="14" fillId="0" borderId="39" xfId="0" applyFont="1" applyBorder="1" applyAlignment="1">
      <alignment horizontal="center"/>
    </xf>
    <xf numFmtId="0" fontId="14" fillId="0" borderId="37" xfId="0" applyFont="1" applyBorder="1" applyAlignment="1">
      <alignment horizontal="center"/>
    </xf>
    <xf numFmtId="0" fontId="57" fillId="0" borderId="39" xfId="0" applyFont="1" applyBorder="1" applyAlignment="1">
      <alignment horizontal="center"/>
    </xf>
    <xf numFmtId="0" fontId="57" fillId="0" borderId="37" xfId="0" applyFont="1" applyBorder="1" applyAlignment="1">
      <alignment horizontal="center"/>
    </xf>
    <xf numFmtId="0" fontId="57" fillId="0" borderId="33" xfId="0" applyFont="1" applyBorder="1"/>
    <xf numFmtId="0" fontId="57" fillId="0" borderId="112" xfId="0" applyFont="1" applyBorder="1" applyAlignment="1">
      <alignment horizontal="center" vertical="center"/>
    </xf>
    <xf numFmtId="0" fontId="57" fillId="0" borderId="116" xfId="0" applyFont="1" applyBorder="1" applyAlignment="1">
      <alignment horizontal="center" vertical="center"/>
    </xf>
    <xf numFmtId="0" fontId="9" fillId="0" borderId="33" xfId="0" applyFont="1" applyBorder="1"/>
    <xf numFmtId="0" fontId="14" fillId="12" borderId="119" xfId="0" applyFont="1" applyFill="1" applyBorder="1" applyAlignment="1">
      <alignment horizontal="center"/>
    </xf>
    <xf numFmtId="0" fontId="57" fillId="12" borderId="119" xfId="0" applyFont="1" applyFill="1" applyBorder="1"/>
    <xf numFmtId="0" fontId="57" fillId="12" borderId="126" xfId="0" applyFont="1" applyFill="1" applyBorder="1"/>
    <xf numFmtId="0" fontId="55" fillId="12" borderId="126" xfId="0" applyFont="1" applyFill="1" applyBorder="1"/>
    <xf numFmtId="10" fontId="0" fillId="0" borderId="123" xfId="0" applyNumberFormat="1" applyBorder="1" applyAlignment="1">
      <alignment horizontal="center" vertical="center"/>
    </xf>
    <xf numFmtId="10" fontId="0" fillId="0" borderId="127" xfId="0" applyNumberFormat="1" applyBorder="1" applyAlignment="1">
      <alignment horizontal="center" vertical="center"/>
    </xf>
    <xf numFmtId="10" fontId="0" fillId="0" borderId="128" xfId="0" applyNumberFormat="1" applyBorder="1" applyAlignment="1">
      <alignment horizontal="center" vertical="center"/>
    </xf>
    <xf numFmtId="10" fontId="0" fillId="0" borderId="129" xfId="0" applyNumberFormat="1" applyBorder="1" applyAlignment="1">
      <alignment horizontal="center" vertical="center"/>
    </xf>
    <xf numFmtId="0" fontId="57" fillId="0" borderId="130" xfId="0" applyFont="1" applyBorder="1" applyAlignment="1">
      <alignment horizontal="center" vertical="center"/>
    </xf>
    <xf numFmtId="0" fontId="57" fillId="0" borderId="131" xfId="0" applyFont="1" applyBorder="1" applyAlignment="1">
      <alignment horizontal="center" vertical="center"/>
    </xf>
    <xf numFmtId="0" fontId="28" fillId="5" borderId="132" xfId="26" applyFont="1" applyFill="1" applyBorder="1" applyAlignment="1">
      <alignment horizontal="center" vertical="center"/>
    </xf>
    <xf numFmtId="0" fontId="30" fillId="0" borderId="133" xfId="26" applyFont="1" applyBorder="1" applyAlignment="1">
      <alignment horizontal="center" vertical="center" wrapText="1"/>
    </xf>
    <xf numFmtId="0" fontId="30" fillId="0" borderId="134" xfId="26" applyFont="1" applyBorder="1" applyAlignment="1">
      <alignment horizontal="center" vertical="center" wrapText="1"/>
    </xf>
    <xf numFmtId="0" fontId="30" fillId="0" borderId="135" xfId="26" applyFont="1" applyBorder="1" applyAlignment="1">
      <alignment horizontal="center" vertical="center" wrapText="1"/>
    </xf>
    <xf numFmtId="0" fontId="28" fillId="5" borderId="8" xfId="26" applyFont="1" applyFill="1" applyBorder="1" applyAlignment="1">
      <alignment horizontal="center"/>
    </xf>
    <xf numFmtId="0" fontId="55" fillId="8" borderId="0" xfId="0" applyFont="1" applyFill="1"/>
    <xf numFmtId="0" fontId="59" fillId="43" borderId="0" xfId="0" applyFont="1" applyFill="1"/>
    <xf numFmtId="0" fontId="9" fillId="38" borderId="33" xfId="0" applyFont="1" applyFill="1" applyBorder="1"/>
    <xf numFmtId="0" fontId="57" fillId="0" borderId="136" xfId="0" applyFont="1" applyBorder="1" applyAlignment="1">
      <alignment horizontal="center"/>
    </xf>
    <xf numFmtId="0" fontId="55" fillId="12" borderId="137" xfId="0" applyFont="1" applyFill="1" applyBorder="1" applyAlignment="1">
      <alignment horizontal="center"/>
    </xf>
    <xf numFmtId="0" fontId="9" fillId="40" borderId="137" xfId="0" applyFont="1" applyFill="1" applyBorder="1"/>
    <xf numFmtId="0" fontId="57" fillId="0" borderId="138" xfId="0" applyFont="1" applyBorder="1" applyAlignment="1">
      <alignment horizontal="center"/>
    </xf>
    <xf numFmtId="0" fontId="58" fillId="0" borderId="139" xfId="0" applyFont="1" applyBorder="1" applyAlignment="1">
      <alignment horizontal="center"/>
    </xf>
    <xf numFmtId="0" fontId="14" fillId="0" borderId="140" xfId="0" applyFont="1" applyBorder="1" applyAlignment="1">
      <alignment horizontal="center"/>
    </xf>
    <xf numFmtId="0" fontId="14" fillId="0" borderId="143" xfId="0" applyFont="1" applyBorder="1" applyAlignment="1">
      <alignment horizontal="center"/>
    </xf>
    <xf numFmtId="0" fontId="9" fillId="40" borderId="0" xfId="0" applyFont="1" applyFill="1"/>
    <xf numFmtId="0" fontId="14" fillId="42" borderId="33" xfId="0" quotePrefix="1" applyFont="1" applyFill="1" applyBorder="1"/>
    <xf numFmtId="0" fontId="14" fillId="42" borderId="0" xfId="0" quotePrefix="1" applyFont="1" applyFill="1"/>
    <xf numFmtId="0" fontId="55" fillId="40" borderId="0" xfId="0" applyFont="1" applyFill="1"/>
    <xf numFmtId="0" fontId="14" fillId="38" borderId="33" xfId="0" applyFont="1" applyFill="1" applyBorder="1"/>
    <xf numFmtId="0" fontId="9" fillId="0" borderId="153" xfId="0" applyFont="1" applyBorder="1"/>
    <xf numFmtId="0" fontId="14" fillId="0" borderId="154" xfId="0" applyFont="1" applyBorder="1" applyAlignment="1">
      <alignment horizontal="center"/>
    </xf>
    <xf numFmtId="0" fontId="14" fillId="0" borderId="43" xfId="0" applyFont="1" applyBorder="1" applyAlignment="1">
      <alignment horizontal="center"/>
    </xf>
    <xf numFmtId="0" fontId="14" fillId="0" borderId="155" xfId="0" applyFont="1" applyBorder="1" applyAlignment="1">
      <alignment horizontal="center"/>
    </xf>
    <xf numFmtId="0" fontId="14" fillId="0" borderId="146" xfId="0" applyFont="1" applyBorder="1" applyAlignment="1">
      <alignment horizontal="center"/>
    </xf>
    <xf numFmtId="14" fontId="14" fillId="0" borderId="21" xfId="0" applyNumberFormat="1" applyFont="1" applyBorder="1" applyAlignment="1">
      <alignment horizontal="center" vertical="center"/>
    </xf>
    <xf numFmtId="0" fontId="9" fillId="0" borderId="59" xfId="0" applyFont="1" applyBorder="1" applyAlignment="1">
      <alignment horizontal="center" vertical="center"/>
    </xf>
    <xf numFmtId="0" fontId="40" fillId="8" borderId="23" xfId="0" applyFont="1" applyFill="1" applyBorder="1" applyAlignment="1">
      <alignment horizontal="left" vertical="center" wrapText="1"/>
    </xf>
    <xf numFmtId="10" fontId="0" fillId="0" borderId="0" xfId="16" applyNumberFormat="1" applyFont="1"/>
    <xf numFmtId="9" fontId="34" fillId="39" borderId="148" xfId="16" applyFont="1" applyFill="1" applyBorder="1" applyAlignment="1">
      <alignment horizontal="center" vertical="center"/>
    </xf>
    <xf numFmtId="3" fontId="5" fillId="44" borderId="48" xfId="30" applyNumberFormat="1" applyFill="1" applyBorder="1" applyAlignment="1">
      <alignment horizontal="center" vertical="center"/>
    </xf>
    <xf numFmtId="3" fontId="24" fillId="0" borderId="0" xfId="0" applyNumberFormat="1" applyFont="1" applyAlignment="1">
      <alignment horizontal="center" vertical="center"/>
    </xf>
    <xf numFmtId="3" fontId="36" fillId="19" borderId="0" xfId="0" applyNumberFormat="1" applyFont="1" applyFill="1" applyAlignment="1">
      <alignment horizontal="center" vertical="center"/>
    </xf>
    <xf numFmtId="169" fontId="34" fillId="44" borderId="149" xfId="30" applyNumberFormat="1" applyFont="1" applyFill="1" applyBorder="1" applyAlignment="1">
      <alignment horizontal="center" vertical="center"/>
    </xf>
    <xf numFmtId="3" fontId="5" fillId="44" borderId="151" xfId="30" applyNumberFormat="1" applyFill="1" applyBorder="1" applyAlignment="1">
      <alignment horizontal="center" vertical="center"/>
    </xf>
    <xf numFmtId="0" fontId="60" fillId="0" borderId="151" xfId="0" applyFont="1" applyBorder="1" applyAlignment="1">
      <alignment horizontal="center" vertical="center"/>
    </xf>
    <xf numFmtId="0" fontId="60" fillId="42" borderId="151" xfId="0" applyFont="1" applyFill="1" applyBorder="1" applyAlignment="1">
      <alignment horizontal="center" vertical="center"/>
    </xf>
    <xf numFmtId="0" fontId="60" fillId="42" borderId="48" xfId="0" applyFont="1" applyFill="1" applyBorder="1" applyAlignment="1">
      <alignment horizontal="center" vertical="center"/>
    </xf>
    <xf numFmtId="3" fontId="60" fillId="41" borderId="48" xfId="0" applyNumberFormat="1" applyFont="1" applyFill="1" applyBorder="1" applyAlignment="1">
      <alignment horizontal="center" vertical="center"/>
    </xf>
    <xf numFmtId="3" fontId="60" fillId="41" borderId="151" xfId="0" applyNumberFormat="1" applyFont="1" applyFill="1" applyBorder="1" applyAlignment="1">
      <alignment horizontal="center" vertical="center"/>
    </xf>
    <xf numFmtId="0" fontId="63" fillId="0" borderId="151" xfId="0" applyFont="1" applyBorder="1" applyAlignment="1">
      <alignment horizontal="center" vertical="center"/>
    </xf>
    <xf numFmtId="0" fontId="63" fillId="0" borderId="48" xfId="0" applyFont="1" applyBorder="1" applyAlignment="1">
      <alignment horizontal="center" vertical="center"/>
    </xf>
    <xf numFmtId="9" fontId="39" fillId="0" borderId="0" xfId="16" applyFont="1"/>
    <xf numFmtId="9" fontId="0" fillId="0" borderId="92" xfId="0" applyNumberFormat="1" applyBorder="1" applyAlignment="1">
      <alignment horizontal="center"/>
    </xf>
    <xf numFmtId="9" fontId="14" fillId="0" borderId="74" xfId="0" applyNumberFormat="1" applyFont="1" applyBorder="1" applyAlignment="1">
      <alignment horizontal="center"/>
    </xf>
    <xf numFmtId="9" fontId="14" fillId="0" borderId="75" xfId="0" applyNumberFormat="1" applyFont="1" applyBorder="1" applyAlignment="1">
      <alignment horizontal="center"/>
    </xf>
    <xf numFmtId="9" fontId="9" fillId="0" borderId="79" xfId="0" applyNumberFormat="1" applyFont="1" applyBorder="1" applyAlignment="1">
      <alignment horizontal="center"/>
    </xf>
    <xf numFmtId="9" fontId="9" fillId="0" borderId="80" xfId="0" applyNumberFormat="1" applyFont="1" applyBorder="1" applyAlignment="1">
      <alignment horizontal="center"/>
    </xf>
    <xf numFmtId="10" fontId="0" fillId="0" borderId="0" xfId="0" applyNumberFormat="1"/>
    <xf numFmtId="4" fontId="33" fillId="12" borderId="108" xfId="7" applyFont="1" applyFill="1" applyBorder="1" applyAlignment="1">
      <alignment horizontal="right" vertical="center"/>
    </xf>
    <xf numFmtId="4" fontId="9" fillId="0" borderId="0" xfId="7" applyFont="1" applyFill="1" applyBorder="1">
      <alignment horizontal="right"/>
    </xf>
    <xf numFmtId="4" fontId="33" fillId="0" borderId="0" xfId="7" applyFont="1" applyFill="1" applyBorder="1">
      <alignment horizontal="right"/>
    </xf>
    <xf numFmtId="4" fontId="33" fillId="9" borderId="108" xfId="7" applyFont="1" applyFill="1" applyBorder="1" applyAlignment="1">
      <alignment horizontal="right" vertical="center"/>
    </xf>
    <xf numFmtId="4" fontId="33" fillId="28" borderId="108" xfId="7" applyFont="1" applyFill="1" applyBorder="1" applyAlignment="1">
      <alignment horizontal="right" vertical="center"/>
    </xf>
    <xf numFmtId="4" fontId="26" fillId="12" borderId="108" xfId="7" applyFont="1" applyFill="1" applyBorder="1" applyAlignment="1">
      <alignment horizontal="right" vertical="center"/>
    </xf>
    <xf numFmtId="4" fontId="26" fillId="28" borderId="108" xfId="7" applyFont="1" applyFill="1" applyBorder="1" applyAlignment="1">
      <alignment horizontal="right" vertical="center"/>
    </xf>
    <xf numFmtId="1" fontId="60" fillId="42" borderId="142" xfId="0" applyNumberFormat="1" applyFont="1" applyFill="1" applyBorder="1" applyAlignment="1">
      <alignment horizontal="center" vertical="center"/>
    </xf>
    <xf numFmtId="3" fontId="60" fillId="41" borderId="48" xfId="0" quotePrefix="1" applyNumberFormat="1" applyFont="1" applyFill="1" applyBorder="1" applyAlignment="1">
      <alignment horizontal="center" vertical="center"/>
    </xf>
    <xf numFmtId="3" fontId="60" fillId="41" borderId="151" xfId="0" quotePrefix="1" applyNumberFormat="1" applyFont="1" applyFill="1" applyBorder="1" applyAlignment="1">
      <alignment horizontal="center" vertical="center"/>
    </xf>
    <xf numFmtId="1" fontId="55" fillId="41" borderId="39" xfId="0" applyNumberFormat="1" applyFont="1" applyFill="1" applyBorder="1" applyAlignment="1">
      <alignment horizontal="center" vertical="center"/>
    </xf>
    <xf numFmtId="4" fontId="6" fillId="0" borderId="48" xfId="29" applyNumberFormat="1" applyBorder="1" applyAlignment="1">
      <alignment horizontal="center"/>
    </xf>
    <xf numFmtId="0" fontId="27" fillId="0" borderId="0" xfId="0" applyFont="1" applyAlignment="1">
      <alignment horizontal="center"/>
    </xf>
    <xf numFmtId="0" fontId="66" fillId="0" borderId="0" xfId="0" applyFont="1"/>
    <xf numFmtId="0" fontId="0" fillId="0" borderId="48" xfId="0" applyBorder="1"/>
    <xf numFmtId="0" fontId="65" fillId="0" borderId="0" xfId="0" applyFont="1"/>
    <xf numFmtId="3" fontId="55" fillId="0" borderId="39" xfId="0" applyNumberFormat="1" applyFont="1" applyBorder="1" applyAlignment="1">
      <alignment horizontal="center" vertical="center"/>
    </xf>
    <xf numFmtId="3" fontId="55" fillId="8" borderId="33" xfId="0" applyNumberFormat="1" applyFont="1" applyFill="1" applyBorder="1" applyAlignment="1">
      <alignment horizontal="center" vertical="center"/>
    </xf>
    <xf numFmtId="3" fontId="9" fillId="8" borderId="15" xfId="0" applyNumberFormat="1" applyFont="1" applyFill="1" applyBorder="1" applyAlignment="1">
      <alignment horizontal="center"/>
    </xf>
    <xf numFmtId="169" fontId="34" fillId="39" borderId="48" xfId="16" applyNumberFormat="1" applyFont="1" applyFill="1" applyBorder="1" applyAlignment="1">
      <alignment horizontal="center" vertical="center"/>
    </xf>
    <xf numFmtId="3" fontId="63" fillId="0" borderId="48" xfId="0" applyNumberFormat="1" applyFont="1" applyBorder="1" applyAlignment="1">
      <alignment horizontal="center" vertical="center"/>
    </xf>
    <xf numFmtId="3" fontId="63" fillId="39" borderId="48" xfId="0" applyNumberFormat="1" applyFont="1" applyFill="1" applyBorder="1" applyAlignment="1">
      <alignment horizontal="center" vertical="center"/>
    </xf>
    <xf numFmtId="169" fontId="34" fillId="39" borderId="151" xfId="16" applyNumberFormat="1" applyFont="1" applyFill="1" applyBorder="1" applyAlignment="1">
      <alignment horizontal="center" vertical="center"/>
    </xf>
    <xf numFmtId="3" fontId="63" fillId="0" borderId="151" xfId="0" applyNumberFormat="1" applyFont="1" applyBorder="1" applyAlignment="1">
      <alignment horizontal="center" vertical="center"/>
    </xf>
    <xf numFmtId="3" fontId="63" fillId="39" borderId="151" xfId="0" applyNumberFormat="1" applyFont="1" applyFill="1" applyBorder="1" applyAlignment="1">
      <alignment horizontal="center" vertical="center"/>
    </xf>
    <xf numFmtId="0" fontId="63" fillId="39" borderId="166" xfId="0" applyFont="1" applyFill="1" applyBorder="1" applyAlignment="1">
      <alignment horizontal="center" vertical="center"/>
    </xf>
    <xf numFmtId="169" fontId="34" fillId="44" borderId="168" xfId="30" applyNumberFormat="1" applyFont="1" applyFill="1" applyBorder="1" applyAlignment="1">
      <alignment horizontal="center" vertical="center"/>
    </xf>
    <xf numFmtId="3" fontId="5" fillId="44" borderId="46" xfId="30" applyNumberFormat="1" applyFill="1" applyBorder="1" applyAlignment="1">
      <alignment horizontal="center" vertical="center"/>
    </xf>
    <xf numFmtId="169" fontId="34" fillId="39" borderId="46" xfId="16" applyNumberFormat="1" applyFont="1" applyFill="1" applyBorder="1" applyAlignment="1">
      <alignment horizontal="center" vertical="center"/>
    </xf>
    <xf numFmtId="3" fontId="63" fillId="0" borderId="46" xfId="0" applyNumberFormat="1" applyFont="1" applyBorder="1" applyAlignment="1">
      <alignment horizontal="center" vertical="center"/>
    </xf>
    <xf numFmtId="0" fontId="63" fillId="0" borderId="46" xfId="0" applyFont="1" applyBorder="1" applyAlignment="1">
      <alignment horizontal="center" vertical="center"/>
    </xf>
    <xf numFmtId="3" fontId="63" fillId="39" borderId="46" xfId="0" applyNumberFormat="1" applyFont="1" applyFill="1" applyBorder="1" applyAlignment="1">
      <alignment horizontal="center" vertical="center"/>
    </xf>
    <xf numFmtId="1" fontId="55" fillId="0" borderId="48" xfId="0" applyNumberFormat="1" applyFont="1" applyBorder="1" applyAlignment="1">
      <alignment horizontal="center" vertical="center"/>
    </xf>
    <xf numFmtId="1" fontId="60" fillId="0" borderId="48" xfId="0" applyNumberFormat="1" applyFont="1" applyBorder="1" applyAlignment="1">
      <alignment horizontal="center" vertical="center"/>
    </xf>
    <xf numFmtId="1" fontId="55" fillId="0" borderId="151" xfId="0" applyNumberFormat="1" applyFont="1" applyBorder="1" applyAlignment="1">
      <alignment horizontal="center" vertical="center"/>
    </xf>
    <xf numFmtId="1" fontId="55" fillId="0" borderId="142" xfId="0" applyNumberFormat="1" applyFont="1" applyBorder="1" applyAlignment="1">
      <alignment horizontal="center" vertical="center"/>
    </xf>
    <xf numFmtId="1" fontId="60" fillId="0" borderId="151" xfId="0" applyNumberFormat="1" applyFont="1" applyBorder="1" applyAlignment="1">
      <alignment horizontal="center" vertical="center"/>
    </xf>
    <xf numFmtId="1" fontId="60" fillId="0" borderId="142" xfId="0" applyNumberFormat="1" applyFont="1" applyBorder="1" applyAlignment="1">
      <alignment horizontal="center" vertical="center"/>
    </xf>
    <xf numFmtId="1" fontId="63" fillId="39" borderId="152" xfId="0" applyNumberFormat="1" applyFont="1" applyFill="1" applyBorder="1" applyAlignment="1">
      <alignment horizontal="center" vertical="center"/>
    </xf>
    <xf numFmtId="1" fontId="63" fillId="39" borderId="166" xfId="0" applyNumberFormat="1" applyFont="1" applyFill="1" applyBorder="1" applyAlignment="1">
      <alignment horizontal="center" vertical="center"/>
    </xf>
    <xf numFmtId="1" fontId="63" fillId="39" borderId="167" xfId="0" applyNumberFormat="1" applyFont="1" applyFill="1" applyBorder="1" applyAlignment="1">
      <alignment horizontal="center" vertical="center"/>
    </xf>
    <xf numFmtId="169" fontId="9" fillId="0" borderId="148" xfId="16" applyNumberFormat="1" applyFont="1" applyFill="1" applyBorder="1" applyAlignment="1">
      <alignment horizontal="center" vertical="center"/>
    </xf>
    <xf numFmtId="169" fontId="9" fillId="0" borderId="149" xfId="16" applyNumberFormat="1" applyFont="1" applyFill="1" applyBorder="1" applyAlignment="1">
      <alignment horizontal="center" vertical="center"/>
    </xf>
    <xf numFmtId="169" fontId="0" fillId="0" borderId="150" xfId="16" applyNumberFormat="1" applyFont="1" applyFill="1" applyBorder="1" applyAlignment="1">
      <alignment horizontal="center" vertical="center"/>
    </xf>
    <xf numFmtId="169" fontId="34" fillId="0" borderId="151" xfId="16" applyNumberFormat="1" applyFont="1" applyFill="1" applyBorder="1" applyAlignment="1">
      <alignment horizontal="center" vertical="center"/>
    </xf>
    <xf numFmtId="1" fontId="63" fillId="0" borderId="151" xfId="0" applyNumberFormat="1" applyFont="1" applyBorder="1" applyAlignment="1">
      <alignment horizontal="center" vertical="center"/>
    </xf>
    <xf numFmtId="1" fontId="63" fillId="0" borderId="48" xfId="0" applyNumberFormat="1" applyFont="1" applyBorder="1" applyAlignment="1">
      <alignment horizontal="center" vertical="center"/>
    </xf>
    <xf numFmtId="1" fontId="63" fillId="0" borderId="142" xfId="0" applyNumberFormat="1" applyFont="1" applyBorder="1" applyAlignment="1">
      <alignment horizontal="center" vertical="center"/>
    </xf>
    <xf numFmtId="3" fontId="60" fillId="41" borderId="46" xfId="0" quotePrefix="1" applyNumberFormat="1" applyFont="1" applyFill="1" applyBorder="1" applyAlignment="1">
      <alignment horizontal="center" vertical="center"/>
    </xf>
    <xf numFmtId="3" fontId="60" fillId="41" borderId="46" xfId="0" applyNumberFormat="1" applyFont="1" applyFill="1" applyBorder="1" applyAlignment="1">
      <alignment horizontal="center" vertical="center"/>
    </xf>
    <xf numFmtId="1" fontId="60" fillId="42" borderId="48" xfId="0" applyNumberFormat="1" applyFont="1" applyFill="1" applyBorder="1" applyAlignment="1">
      <alignment horizontal="center" vertical="center"/>
    </xf>
    <xf numFmtId="1" fontId="60" fillId="42" borderId="151" xfId="0" applyNumberFormat="1" applyFont="1" applyFill="1" applyBorder="1" applyAlignment="1">
      <alignment horizontal="center" vertical="center"/>
    </xf>
    <xf numFmtId="1" fontId="55" fillId="41" borderId="48" xfId="0" applyNumberFormat="1" applyFont="1" applyFill="1" applyBorder="1" applyAlignment="1">
      <alignment horizontal="center" vertical="center"/>
    </xf>
    <xf numFmtId="1" fontId="55" fillId="41" borderId="148" xfId="0" applyNumberFormat="1" applyFont="1" applyFill="1" applyBorder="1" applyAlignment="1">
      <alignment horizontal="center" vertical="center"/>
    </xf>
    <xf numFmtId="1" fontId="55" fillId="41" borderId="149" xfId="0" applyNumberFormat="1" applyFont="1" applyFill="1" applyBorder="1" applyAlignment="1">
      <alignment horizontal="center" vertical="center"/>
    </xf>
    <xf numFmtId="1" fontId="55" fillId="41" borderId="151" xfId="0" applyNumberFormat="1" applyFont="1" applyFill="1" applyBorder="1" applyAlignment="1">
      <alignment horizontal="center" vertical="center"/>
    </xf>
    <xf numFmtId="1" fontId="55" fillId="41" borderId="152" xfId="0" applyNumberFormat="1" applyFont="1" applyFill="1" applyBorder="1" applyAlignment="1">
      <alignment horizontal="center" vertical="center"/>
    </xf>
    <xf numFmtId="1" fontId="55" fillId="41" borderId="168" xfId="0" applyNumberFormat="1" applyFont="1" applyFill="1" applyBorder="1" applyAlignment="1">
      <alignment horizontal="center" vertical="center"/>
    </xf>
    <xf numFmtId="1" fontId="55" fillId="41" borderId="46" xfId="0" applyNumberFormat="1" applyFont="1" applyFill="1" applyBorder="1" applyAlignment="1">
      <alignment horizontal="center" vertical="center"/>
    </xf>
    <xf numFmtId="1" fontId="55" fillId="41" borderId="169" xfId="0" applyNumberFormat="1" applyFont="1" applyFill="1" applyBorder="1" applyAlignment="1">
      <alignment horizontal="center" vertical="center"/>
    </xf>
    <xf numFmtId="1" fontId="0" fillId="0" borderId="148" xfId="0" applyNumberFormat="1" applyBorder="1" applyAlignment="1">
      <alignment horizontal="center" vertical="center"/>
    </xf>
    <xf numFmtId="1" fontId="0" fillId="0" borderId="151" xfId="0" applyNumberFormat="1" applyBorder="1" applyAlignment="1">
      <alignment horizontal="center" vertical="center"/>
    </xf>
    <xf numFmtId="1" fontId="0" fillId="0" borderId="152" xfId="0" applyNumberFormat="1" applyBorder="1" applyAlignment="1">
      <alignment horizontal="center" vertical="center"/>
    </xf>
    <xf numFmtId="1" fontId="55" fillId="41" borderId="140" xfId="0" applyNumberFormat="1" applyFont="1" applyFill="1" applyBorder="1" applyAlignment="1">
      <alignment horizontal="center" vertical="center"/>
    </xf>
    <xf numFmtId="1" fontId="55" fillId="41" borderId="141" xfId="0" applyNumberFormat="1" applyFont="1" applyFill="1" applyBorder="1" applyAlignment="1">
      <alignment horizontal="center" vertical="center"/>
    </xf>
    <xf numFmtId="1" fontId="55" fillId="41" borderId="143" xfId="0" applyNumberFormat="1" applyFont="1" applyFill="1" applyBorder="1" applyAlignment="1">
      <alignment horizontal="center" vertical="center"/>
    </xf>
    <xf numFmtId="1" fontId="55" fillId="41" borderId="144" xfId="0" applyNumberFormat="1" applyFont="1" applyFill="1" applyBorder="1" applyAlignment="1">
      <alignment horizontal="center" vertical="center"/>
    </xf>
    <xf numFmtId="1" fontId="55" fillId="41" borderId="145" xfId="0" applyNumberFormat="1" applyFont="1" applyFill="1" applyBorder="1" applyAlignment="1">
      <alignment horizontal="center" vertical="center"/>
    </xf>
    <xf numFmtId="1" fontId="55" fillId="0" borderId="148" xfId="0" applyNumberFormat="1" applyFont="1" applyBorder="1" applyAlignment="1">
      <alignment horizontal="center" vertical="center"/>
    </xf>
    <xf numFmtId="1" fontId="55" fillId="0" borderId="149" xfId="0" applyNumberFormat="1" applyFont="1" applyBorder="1" applyAlignment="1">
      <alignment horizontal="center" vertical="center"/>
    </xf>
    <xf numFmtId="1" fontId="55" fillId="0" borderId="150" xfId="0" applyNumberFormat="1" applyFont="1" applyBorder="1" applyAlignment="1">
      <alignment horizontal="center" vertical="center"/>
    </xf>
    <xf numFmtId="4" fontId="6" fillId="0" borderId="151" xfId="29" applyNumberFormat="1" applyBorder="1" applyAlignment="1">
      <alignment horizontal="center"/>
    </xf>
    <xf numFmtId="4" fontId="6" fillId="0" borderId="142" xfId="29" applyNumberFormat="1" applyBorder="1" applyAlignment="1">
      <alignment horizontal="center"/>
    </xf>
    <xf numFmtId="4" fontId="6" fillId="0" borderId="152" xfId="29" applyNumberFormat="1" applyBorder="1" applyAlignment="1">
      <alignment horizontal="center"/>
    </xf>
    <xf numFmtId="4" fontId="6" fillId="0" borderId="166" xfId="29" applyNumberFormat="1" applyBorder="1" applyAlignment="1">
      <alignment horizontal="center"/>
    </xf>
    <xf numFmtId="4" fontId="6" fillId="0" borderId="167" xfId="29" applyNumberFormat="1" applyBorder="1" applyAlignment="1">
      <alignment horizontal="center"/>
    </xf>
    <xf numFmtId="9" fontId="0" fillId="0" borderId="0" xfId="16" applyFont="1" applyBorder="1" applyAlignment="1">
      <alignment horizontal="left"/>
    </xf>
    <xf numFmtId="3" fontId="60" fillId="0" borderId="46" xfId="0" applyNumberFormat="1" applyFont="1" applyBorder="1" applyAlignment="1">
      <alignment horizontal="center" vertical="center"/>
    </xf>
    <xf numFmtId="3" fontId="60" fillId="0" borderId="48" xfId="0" applyNumberFormat="1" applyFont="1" applyBorder="1" applyAlignment="1">
      <alignment horizontal="center" vertical="center"/>
    </xf>
    <xf numFmtId="3" fontId="60" fillId="0" borderId="151" xfId="0" applyNumberFormat="1" applyFont="1" applyBorder="1" applyAlignment="1">
      <alignment horizontal="center" vertical="center"/>
    </xf>
    <xf numFmtId="2" fontId="9" fillId="24" borderId="19" xfId="0" applyNumberFormat="1" applyFont="1" applyFill="1" applyBorder="1" applyAlignment="1">
      <alignment horizontal="center"/>
    </xf>
    <xf numFmtId="3" fontId="36" fillId="19" borderId="0" xfId="21" applyNumberFormat="1" applyFont="1" applyFill="1" applyAlignment="1">
      <alignment horizontal="center" vertical="center"/>
    </xf>
    <xf numFmtId="3" fontId="36" fillId="0" borderId="0" xfId="0" applyNumberFormat="1" applyFont="1" applyAlignment="1">
      <alignment horizontal="center" vertical="center"/>
    </xf>
    <xf numFmtId="4" fontId="36" fillId="19" borderId="0" xfId="0" applyNumberFormat="1" applyFont="1" applyFill="1" applyAlignment="1">
      <alignment horizontal="center" vertical="center"/>
    </xf>
    <xf numFmtId="4" fontId="36" fillId="19" borderId="0" xfId="21" applyNumberFormat="1" applyFont="1" applyFill="1" applyAlignment="1">
      <alignment horizontal="center" vertical="center"/>
    </xf>
    <xf numFmtId="3" fontId="24" fillId="19" borderId="0" xfId="0" applyNumberFormat="1" applyFont="1" applyFill="1" applyAlignment="1">
      <alignment horizontal="center" vertical="center"/>
    </xf>
    <xf numFmtId="0" fontId="0" fillId="0" borderId="0" xfId="0" applyAlignment="1">
      <alignment horizontal="center" vertical="center"/>
    </xf>
    <xf numFmtId="0" fontId="27" fillId="0" borderId="0" xfId="0" applyFont="1" applyAlignment="1">
      <alignment horizontal="center" vertical="center"/>
    </xf>
    <xf numFmtId="0" fontId="9" fillId="8" borderId="19" xfId="0" applyFont="1" applyFill="1" applyBorder="1" applyAlignment="1">
      <alignment horizontal="center" vertical="center" wrapText="1"/>
    </xf>
    <xf numFmtId="2" fontId="0" fillId="24" borderId="96" xfId="0" applyNumberFormat="1" applyFill="1" applyBorder="1" applyAlignment="1">
      <alignment horizontal="center"/>
    </xf>
    <xf numFmtId="2" fontId="0" fillId="24" borderId="98" xfId="0" applyNumberFormat="1" applyFill="1" applyBorder="1" applyAlignment="1">
      <alignment horizontal="center"/>
    </xf>
    <xf numFmtId="2" fontId="0" fillId="24" borderId="97" xfId="0" applyNumberFormat="1" applyFill="1" applyBorder="1" applyAlignment="1">
      <alignment horizontal="center"/>
    </xf>
    <xf numFmtId="170" fontId="0" fillId="24" borderId="96" xfId="0" applyNumberFormat="1" applyFill="1" applyBorder="1" applyAlignment="1">
      <alignment horizontal="center"/>
    </xf>
    <xf numFmtId="170" fontId="0" fillId="24" borderId="98" xfId="0" applyNumberFormat="1" applyFill="1" applyBorder="1" applyAlignment="1">
      <alignment horizontal="center"/>
    </xf>
    <xf numFmtId="170" fontId="0" fillId="24" borderId="97" xfId="0" applyNumberFormat="1" applyFill="1" applyBorder="1" applyAlignment="1">
      <alignment horizontal="center"/>
    </xf>
    <xf numFmtId="0" fontId="48" fillId="9" borderId="74" xfId="0" applyFont="1" applyFill="1" applyBorder="1" applyAlignment="1">
      <alignment horizontal="center" vertical="center" wrapText="1"/>
    </xf>
    <xf numFmtId="0" fontId="48" fillId="10" borderId="75" xfId="0" applyFont="1" applyFill="1" applyBorder="1" applyAlignment="1">
      <alignment horizontal="center" vertical="center" wrapText="1"/>
    </xf>
    <xf numFmtId="0" fontId="48" fillId="11" borderId="75" xfId="0" applyFont="1" applyFill="1" applyBorder="1" applyAlignment="1">
      <alignment horizontal="center" vertical="center" wrapText="1"/>
    </xf>
    <xf numFmtId="0" fontId="48" fillId="15" borderId="75" xfId="0" applyFont="1" applyFill="1" applyBorder="1" applyAlignment="1">
      <alignment horizontal="center" vertical="center" wrapText="1"/>
    </xf>
    <xf numFmtId="0" fontId="48" fillId="10" borderId="67" xfId="0" applyFont="1" applyFill="1" applyBorder="1" applyAlignment="1">
      <alignment horizontal="center" vertical="center" wrapText="1"/>
    </xf>
    <xf numFmtId="0" fontId="48" fillId="11" borderId="67" xfId="0" applyFont="1" applyFill="1" applyBorder="1" applyAlignment="1">
      <alignment horizontal="center" vertical="center" wrapText="1"/>
    </xf>
    <xf numFmtId="0" fontId="48" fillId="15" borderId="67" xfId="0" applyFont="1" applyFill="1" applyBorder="1" applyAlignment="1">
      <alignment horizontal="center" vertical="center" wrapText="1"/>
    </xf>
    <xf numFmtId="0" fontId="57" fillId="0" borderId="0" xfId="0" applyFont="1" applyAlignment="1">
      <alignment horizontal="center" vertical="center"/>
    </xf>
    <xf numFmtId="14" fontId="14" fillId="0" borderId="20" xfId="0" applyNumberFormat="1" applyFont="1" applyBorder="1" applyAlignment="1">
      <alignment horizontal="center" vertical="center"/>
    </xf>
    <xf numFmtId="14" fontId="14" fillId="0" borderId="56" xfId="0" applyNumberFormat="1" applyFont="1" applyBorder="1" applyAlignment="1">
      <alignment horizontal="center" vertical="center"/>
    </xf>
    <xf numFmtId="0" fontId="0" fillId="0" borderId="0" xfId="0" applyAlignment="1">
      <alignment horizontal="left"/>
    </xf>
    <xf numFmtId="2" fontId="9" fillId="24" borderId="54" xfId="0" applyNumberFormat="1" applyFont="1" applyFill="1" applyBorder="1" applyAlignment="1">
      <alignment horizontal="center"/>
    </xf>
    <xf numFmtId="2" fontId="34" fillId="24" borderId="54" xfId="16" applyNumberFormat="1" applyFont="1" applyFill="1" applyBorder="1" applyAlignment="1">
      <alignment horizontal="center"/>
    </xf>
    <xf numFmtId="0" fontId="9" fillId="7" borderId="170" xfId="0" applyFont="1" applyFill="1" applyBorder="1"/>
    <xf numFmtId="0" fontId="14" fillId="0" borderId="63" xfId="0" applyFont="1" applyBorder="1" applyAlignment="1">
      <alignment horizontal="center"/>
    </xf>
    <xf numFmtId="168" fontId="14" fillId="24" borderId="23" xfId="0" applyNumberFormat="1" applyFont="1" applyFill="1" applyBorder="1" applyAlignment="1">
      <alignment horizontal="center"/>
    </xf>
    <xf numFmtId="2" fontId="34" fillId="24" borderId="63" xfId="16" applyNumberFormat="1" applyFont="1" applyFill="1" applyBorder="1" applyAlignment="1">
      <alignment horizontal="center"/>
    </xf>
    <xf numFmtId="0" fontId="9" fillId="0" borderId="0" xfId="0" applyFont="1" applyAlignment="1">
      <alignment horizontal="center"/>
    </xf>
    <xf numFmtId="10" fontId="9" fillId="0" borderId="118" xfId="0" applyNumberFormat="1" applyFont="1" applyBorder="1" applyAlignment="1">
      <alignment horizontal="center" vertical="center"/>
    </xf>
    <xf numFmtId="10" fontId="0" fillId="0" borderId="113" xfId="0" applyNumberFormat="1" applyBorder="1" applyAlignment="1">
      <alignment horizontal="center" vertical="center"/>
    </xf>
    <xf numFmtId="10" fontId="0" fillId="0" borderId="117" xfId="0" applyNumberFormat="1" applyBorder="1" applyAlignment="1">
      <alignment horizontal="center" vertical="center"/>
    </xf>
    <xf numFmtId="1" fontId="60" fillId="41" borderId="152" xfId="0" applyNumberFormat="1" applyFont="1" applyFill="1" applyBorder="1" applyAlignment="1">
      <alignment horizontal="center" vertical="center"/>
    </xf>
    <xf numFmtId="1" fontId="60" fillId="41" borderId="166" xfId="0" applyNumberFormat="1" applyFont="1" applyFill="1" applyBorder="1" applyAlignment="1">
      <alignment horizontal="center" vertical="center"/>
    </xf>
    <xf numFmtId="0" fontId="55" fillId="0" borderId="127" xfId="0" applyFont="1" applyBorder="1"/>
    <xf numFmtId="10" fontId="6" fillId="0" borderId="0" xfId="29" quotePrefix="1" applyNumberFormat="1" applyAlignment="1">
      <alignment horizontal="right"/>
    </xf>
    <xf numFmtId="166" fontId="3" fillId="0" borderId="0" xfId="0" applyNumberFormat="1" applyFont="1" applyAlignment="1">
      <alignment horizontal="center"/>
    </xf>
    <xf numFmtId="166" fontId="3" fillId="0" borderId="48" xfId="0" applyNumberFormat="1" applyFont="1" applyBorder="1" applyAlignment="1">
      <alignment horizontal="center"/>
    </xf>
    <xf numFmtId="0" fontId="0" fillId="0" borderId="48" xfId="0" applyBorder="1" applyAlignment="1">
      <alignment horizontal="center"/>
    </xf>
    <xf numFmtId="168" fontId="0" fillId="0" borderId="48" xfId="0" applyNumberFormat="1" applyBorder="1" applyAlignment="1">
      <alignment horizontal="center"/>
    </xf>
    <xf numFmtId="0" fontId="3" fillId="0" borderId="48" xfId="0" applyFont="1" applyBorder="1"/>
    <xf numFmtId="169" fontId="65" fillId="0" borderId="48" xfId="16" applyNumberFormat="1" applyFont="1" applyBorder="1" applyAlignment="1">
      <alignment horizontal="center"/>
    </xf>
    <xf numFmtId="0" fontId="65" fillId="0" borderId="48" xfId="0" applyFont="1" applyBorder="1"/>
    <xf numFmtId="166" fontId="65" fillId="0" borderId="48" xfId="0" applyNumberFormat="1" applyFont="1" applyBorder="1" applyAlignment="1">
      <alignment horizontal="center"/>
    </xf>
    <xf numFmtId="9" fontId="0" fillId="0" borderId="0" xfId="16" applyFont="1" applyAlignment="1">
      <alignment horizontal="left"/>
    </xf>
    <xf numFmtId="0" fontId="55" fillId="0" borderId="35" xfId="0" applyFont="1" applyBorder="1"/>
    <xf numFmtId="4" fontId="6" fillId="0" borderId="47" xfId="29" applyNumberFormat="1" applyBorder="1" applyAlignment="1">
      <alignment horizontal="center"/>
    </xf>
    <xf numFmtId="0" fontId="55" fillId="0" borderId="171" xfId="0" applyFont="1" applyBorder="1"/>
    <xf numFmtId="0" fontId="55" fillId="0" borderId="36" xfId="0" applyFont="1" applyBorder="1"/>
    <xf numFmtId="2" fontId="27" fillId="18" borderId="98" xfId="0" applyNumberFormat="1" applyFont="1" applyFill="1" applyBorder="1" applyAlignment="1">
      <alignment horizontal="center"/>
    </xf>
    <xf numFmtId="2" fontId="27" fillId="18" borderId="97" xfId="0" applyNumberFormat="1" applyFont="1" applyFill="1" applyBorder="1" applyAlignment="1">
      <alignment horizontal="center"/>
    </xf>
    <xf numFmtId="2" fontId="27" fillId="31" borderId="75" xfId="16" applyNumberFormat="1" applyFont="1" applyFill="1" applyBorder="1" applyAlignment="1">
      <alignment horizontal="center" vertical="center"/>
    </xf>
    <xf numFmtId="2" fontId="27" fillId="18" borderId="96" xfId="0" applyNumberFormat="1" applyFont="1" applyFill="1" applyBorder="1" applyAlignment="1">
      <alignment horizontal="center"/>
    </xf>
    <xf numFmtId="3" fontId="68" fillId="0" borderId="151" xfId="0" quotePrefix="1" applyNumberFormat="1" applyFont="1" applyBorder="1" applyAlignment="1">
      <alignment horizontal="center" vertical="center"/>
    </xf>
    <xf numFmtId="3" fontId="68" fillId="0" borderId="48" xfId="0" quotePrefix="1" applyNumberFormat="1" applyFont="1" applyBorder="1" applyAlignment="1">
      <alignment horizontal="center" vertical="center"/>
    </xf>
    <xf numFmtId="3" fontId="68" fillId="0" borderId="142" xfId="0" quotePrefix="1" applyNumberFormat="1" applyFont="1" applyBorder="1" applyAlignment="1">
      <alignment horizontal="center" vertical="center"/>
    </xf>
    <xf numFmtId="3" fontId="60" fillId="42" borderId="173" xfId="0" applyNumberFormat="1" applyFont="1" applyFill="1" applyBorder="1" applyAlignment="1">
      <alignment horizontal="center" vertical="center"/>
    </xf>
    <xf numFmtId="3" fontId="60" fillId="42" borderId="3" xfId="0" applyNumberFormat="1" applyFont="1" applyFill="1" applyBorder="1" applyAlignment="1">
      <alignment horizontal="center" vertical="center"/>
    </xf>
    <xf numFmtId="3" fontId="60" fillId="42" borderId="35" xfId="0" applyNumberFormat="1" applyFont="1" applyFill="1" applyBorder="1" applyAlignment="1">
      <alignment horizontal="center" vertical="center"/>
    </xf>
    <xf numFmtId="3" fontId="61" fillId="12" borderId="0" xfId="0" applyNumberFormat="1" applyFont="1" applyFill="1" applyAlignment="1">
      <alignment horizontal="center" vertical="center"/>
    </xf>
    <xf numFmtId="3" fontId="61" fillId="12" borderId="174" xfId="0" applyNumberFormat="1" applyFont="1" applyFill="1" applyBorder="1" applyAlignment="1">
      <alignment horizontal="center" vertical="center"/>
    </xf>
    <xf numFmtId="3" fontId="60" fillId="42" borderId="152" xfId="0" applyNumberFormat="1" applyFont="1" applyFill="1" applyBorder="1" applyAlignment="1">
      <alignment horizontal="center" vertical="center"/>
    </xf>
    <xf numFmtId="3" fontId="60" fillId="42" borderId="166" xfId="0" applyNumberFormat="1" applyFont="1" applyFill="1" applyBorder="1" applyAlignment="1">
      <alignment horizontal="center" vertical="center"/>
    </xf>
    <xf numFmtId="3" fontId="60" fillId="42" borderId="167" xfId="0" applyNumberFormat="1" applyFont="1" applyFill="1" applyBorder="1" applyAlignment="1">
      <alignment horizontal="center" vertical="center"/>
    </xf>
    <xf numFmtId="1" fontId="60" fillId="42" borderId="46" xfId="0" applyNumberFormat="1" applyFont="1" applyFill="1" applyBorder="1" applyAlignment="1">
      <alignment horizontal="center" vertical="center"/>
    </xf>
    <xf numFmtId="1" fontId="60" fillId="0" borderId="46" xfId="0" applyNumberFormat="1" applyFont="1" applyBorder="1" applyAlignment="1">
      <alignment horizontal="center" vertical="center"/>
    </xf>
    <xf numFmtId="3" fontId="60" fillId="42" borderId="169" xfId="0" applyNumberFormat="1" applyFont="1" applyFill="1" applyBorder="1" applyAlignment="1">
      <alignment horizontal="center" vertical="center"/>
    </xf>
    <xf numFmtId="0" fontId="0" fillId="38" borderId="33" xfId="0" applyFill="1" applyBorder="1"/>
    <xf numFmtId="0" fontId="65" fillId="0" borderId="0" xfId="29" applyFont="1" applyAlignment="1">
      <alignment horizontal="center" vertical="center"/>
    </xf>
    <xf numFmtId="0" fontId="6" fillId="0" borderId="0" xfId="29"/>
    <xf numFmtId="0" fontId="6" fillId="0" borderId="37" xfId="29" applyBorder="1"/>
    <xf numFmtId="0" fontId="55" fillId="0" borderId="176" xfId="0" applyFont="1" applyBorder="1"/>
    <xf numFmtId="0" fontId="57" fillId="0" borderId="114" xfId="0" applyFont="1" applyBorder="1" applyAlignment="1">
      <alignment horizontal="center" vertical="center"/>
    </xf>
    <xf numFmtId="0" fontId="57" fillId="0" borderId="115" xfId="0" applyFont="1" applyBorder="1" applyAlignment="1">
      <alignment horizontal="center" vertical="center"/>
    </xf>
    <xf numFmtId="0" fontId="55" fillId="0" borderId="177" xfId="0" applyFont="1" applyBorder="1"/>
    <xf numFmtId="0" fontId="55" fillId="0" borderId="113" xfId="0" applyFont="1" applyBorder="1" applyAlignment="1">
      <alignment horizontal="center" vertical="center"/>
    </xf>
    <xf numFmtId="0" fontId="55" fillId="0" borderId="178" xfId="0" applyFont="1" applyBorder="1"/>
    <xf numFmtId="0" fontId="55" fillId="0" borderId="117" xfId="0" applyFont="1" applyBorder="1" applyAlignment="1">
      <alignment horizontal="center" vertical="center"/>
    </xf>
    <xf numFmtId="10" fontId="0" fillId="0" borderId="0" xfId="0" applyNumberFormat="1" applyAlignment="1">
      <alignment horizontal="center" vertical="center"/>
    </xf>
    <xf numFmtId="0" fontId="55" fillId="0" borderId="114" xfId="0" applyFont="1" applyBorder="1" applyAlignment="1">
      <alignment horizontal="center" vertical="center"/>
    </xf>
    <xf numFmtId="0" fontId="55" fillId="0" borderId="113" xfId="0" applyFont="1" applyBorder="1"/>
    <xf numFmtId="0" fontId="57" fillId="0" borderId="48" xfId="0" applyFont="1" applyBorder="1"/>
    <xf numFmtId="9" fontId="24" fillId="0" borderId="0" xfId="16" applyFont="1" applyAlignment="1">
      <alignment horizontal="center" vertical="center"/>
    </xf>
    <xf numFmtId="9" fontId="36" fillId="0" borderId="0" xfId="16" applyFont="1" applyAlignment="1">
      <alignment horizontal="center" vertical="center"/>
    </xf>
    <xf numFmtId="1" fontId="60" fillId="42" borderId="140" xfId="0" applyNumberFormat="1" applyFont="1" applyFill="1" applyBorder="1" applyAlignment="1">
      <alignment horizontal="center" vertical="center"/>
    </xf>
    <xf numFmtId="1" fontId="60" fillId="42" borderId="2" xfId="0" applyNumberFormat="1" applyFont="1" applyFill="1" applyBorder="1" applyAlignment="1">
      <alignment horizontal="center" vertical="center"/>
    </xf>
    <xf numFmtId="1" fontId="60" fillId="42" borderId="38" xfId="0" applyNumberFormat="1" applyFont="1" applyFill="1" applyBorder="1" applyAlignment="1">
      <alignment horizontal="center" vertical="center"/>
    </xf>
    <xf numFmtId="1" fontId="60" fillId="42" borderId="172" xfId="0" applyNumberFormat="1" applyFont="1" applyFill="1" applyBorder="1" applyAlignment="1">
      <alignment horizontal="center" vertical="center"/>
    </xf>
    <xf numFmtId="169" fontId="39" fillId="0" borderId="0" xfId="0" applyNumberFormat="1" applyFont="1"/>
    <xf numFmtId="1" fontId="55" fillId="41" borderId="181" xfId="0" applyNumberFormat="1" applyFont="1" applyFill="1" applyBorder="1" applyAlignment="1">
      <alignment horizontal="center" vertical="center"/>
    </xf>
    <xf numFmtId="1" fontId="55" fillId="0" borderId="182" xfId="0" applyNumberFormat="1" applyFont="1" applyBorder="1" applyAlignment="1">
      <alignment horizontal="center" vertical="center"/>
    </xf>
    <xf numFmtId="4" fontId="6" fillId="0" borderId="183" xfId="29" applyNumberFormat="1" applyBorder="1" applyAlignment="1">
      <alignment horizontal="center"/>
    </xf>
    <xf numFmtId="4" fontId="6" fillId="0" borderId="1" xfId="29" applyNumberFormat="1" applyBorder="1" applyAlignment="1">
      <alignment horizontal="center"/>
    </xf>
    <xf numFmtId="4" fontId="6" fillId="0" borderId="46" xfId="29" applyNumberFormat="1" applyBorder="1" applyAlignment="1">
      <alignment horizontal="center"/>
    </xf>
    <xf numFmtId="4" fontId="6" fillId="0" borderId="184" xfId="29" applyNumberFormat="1" applyBorder="1" applyAlignment="1">
      <alignment horizontal="center"/>
    </xf>
    <xf numFmtId="3" fontId="68" fillId="0" borderId="151" xfId="0" applyNumberFormat="1" applyFont="1" applyBorder="1" applyAlignment="1">
      <alignment horizontal="center" vertical="center"/>
    </xf>
    <xf numFmtId="2" fontId="0" fillId="24" borderId="63" xfId="0" applyNumberFormat="1" applyFill="1" applyBorder="1" applyAlignment="1">
      <alignment horizontal="center"/>
    </xf>
    <xf numFmtId="168" fontId="0" fillId="24" borderId="23" xfId="0" applyNumberFormat="1" applyFill="1" applyBorder="1" applyAlignment="1">
      <alignment horizontal="center"/>
    </xf>
    <xf numFmtId="10" fontId="0" fillId="8" borderId="23" xfId="25" applyNumberFormat="1" applyFont="1" applyFill="1" applyBorder="1" applyAlignment="1">
      <alignment horizontal="center"/>
    </xf>
    <xf numFmtId="169" fontId="0" fillId="8" borderId="23" xfId="25" applyNumberFormat="1" applyFont="1" applyFill="1" applyBorder="1" applyAlignment="1">
      <alignment horizontal="center"/>
    </xf>
    <xf numFmtId="169" fontId="0" fillId="8" borderId="23" xfId="16" quotePrefix="1" applyNumberFormat="1" applyFont="1" applyFill="1" applyBorder="1" applyAlignment="1">
      <alignment horizontal="center"/>
    </xf>
    <xf numFmtId="170" fontId="0" fillId="24" borderId="23" xfId="0" applyNumberFormat="1" applyFill="1" applyBorder="1" applyAlignment="1">
      <alignment horizontal="center"/>
    </xf>
    <xf numFmtId="170" fontId="0" fillId="24" borderId="23" xfId="16" applyNumberFormat="1" applyFont="1" applyFill="1" applyBorder="1" applyAlignment="1">
      <alignment horizontal="center"/>
    </xf>
    <xf numFmtId="169" fontId="0" fillId="24" borderId="23" xfId="16" applyNumberFormat="1" applyFont="1" applyFill="1" applyBorder="1" applyAlignment="1">
      <alignment horizontal="center"/>
    </xf>
    <xf numFmtId="2" fontId="0" fillId="24" borderId="23" xfId="16" applyNumberFormat="1" applyFont="1" applyFill="1" applyBorder="1" applyAlignment="1">
      <alignment horizontal="center"/>
    </xf>
    <xf numFmtId="0" fontId="0" fillId="0" borderId="22" xfId="0" quotePrefix="1" applyBorder="1"/>
    <xf numFmtId="0" fontId="0" fillId="0" borderId="22" xfId="0" applyBorder="1"/>
    <xf numFmtId="0" fontId="0" fillId="0" borderId="60" xfId="0" applyBorder="1" applyAlignment="1">
      <alignment horizontal="center" vertical="center"/>
    </xf>
    <xf numFmtId="176" fontId="0" fillId="0" borderId="0" xfId="0" applyNumberFormat="1" applyAlignment="1">
      <alignment horizontal="center"/>
    </xf>
    <xf numFmtId="1" fontId="60" fillId="0" borderId="140" xfId="0" applyNumberFormat="1" applyFont="1" applyBorder="1" applyAlignment="1">
      <alignment horizontal="center" vertical="center"/>
    </xf>
    <xf numFmtId="1" fontId="60" fillId="0" borderId="2" xfId="0" applyNumberFormat="1" applyFont="1" applyBorder="1" applyAlignment="1">
      <alignment horizontal="center" vertical="center"/>
    </xf>
    <xf numFmtId="1" fontId="60" fillId="0" borderId="172" xfId="0" applyNumberFormat="1" applyFont="1" applyBorder="1" applyAlignment="1">
      <alignment horizontal="center" vertical="center"/>
    </xf>
    <xf numFmtId="1" fontId="9" fillId="0" borderId="173" xfId="0" applyNumberFormat="1" applyFont="1" applyBorder="1" applyAlignment="1">
      <alignment horizontal="center" vertical="center"/>
    </xf>
    <xf numFmtId="10" fontId="70" fillId="35" borderId="108" xfId="26" applyNumberFormat="1" applyFont="1" applyFill="1" applyBorder="1"/>
    <xf numFmtId="175" fontId="9" fillId="0" borderId="108" xfId="26" applyNumberFormat="1" applyBorder="1"/>
    <xf numFmtId="169" fontId="55" fillId="0" borderId="0" xfId="16" applyNumberFormat="1" applyFont="1"/>
    <xf numFmtId="3" fontId="68" fillId="39" borderId="151" xfId="0" quotePrefix="1" applyNumberFormat="1" applyFont="1" applyFill="1" applyBorder="1" applyAlignment="1">
      <alignment horizontal="center" vertical="center"/>
    </xf>
    <xf numFmtId="3" fontId="68" fillId="39" borderId="48" xfId="0" quotePrefix="1" applyNumberFormat="1" applyFont="1" applyFill="1" applyBorder="1" applyAlignment="1">
      <alignment horizontal="center" vertical="center"/>
    </xf>
    <xf numFmtId="3" fontId="68" fillId="39" borderId="46" xfId="0" quotePrefix="1" applyNumberFormat="1" applyFont="1" applyFill="1" applyBorder="1" applyAlignment="1">
      <alignment horizontal="center" vertical="center"/>
    </xf>
    <xf numFmtId="3" fontId="26" fillId="39" borderId="151" xfId="0" applyNumberFormat="1" applyFont="1" applyFill="1" applyBorder="1" applyAlignment="1">
      <alignment horizontal="center" vertical="center"/>
    </xf>
    <xf numFmtId="3" fontId="26" fillId="39" borderId="48" xfId="0" applyNumberFormat="1" applyFont="1" applyFill="1" applyBorder="1" applyAlignment="1">
      <alignment horizontal="center" vertical="center"/>
    </xf>
    <xf numFmtId="3" fontId="26" fillId="39" borderId="46" xfId="0" applyNumberFormat="1" applyFont="1" applyFill="1" applyBorder="1" applyAlignment="1">
      <alignment horizontal="center" vertical="center"/>
    </xf>
    <xf numFmtId="0" fontId="68" fillId="39" borderId="151" xfId="0" applyFont="1" applyFill="1" applyBorder="1" applyAlignment="1">
      <alignment horizontal="center" vertical="center"/>
    </xf>
    <xf numFmtId="0" fontId="68" fillId="39" borderId="48" xfId="0" applyFont="1" applyFill="1" applyBorder="1" applyAlignment="1">
      <alignment horizontal="center" vertical="center"/>
    </xf>
    <xf numFmtId="0" fontId="68" fillId="39" borderId="46" xfId="0" applyFont="1" applyFill="1" applyBorder="1" applyAlignment="1">
      <alignment horizontal="center" vertical="center"/>
    </xf>
    <xf numFmtId="1" fontId="68" fillId="0" borderId="151" xfId="0" applyNumberFormat="1" applyFont="1" applyBorder="1" applyAlignment="1">
      <alignment horizontal="center" vertical="center"/>
    </xf>
    <xf numFmtId="1" fontId="26" fillId="0" borderId="48" xfId="0" applyNumberFormat="1" applyFont="1" applyBorder="1" applyAlignment="1">
      <alignment horizontal="center" vertical="center"/>
    </xf>
    <xf numFmtId="1" fontId="68" fillId="0" borderId="48" xfId="0" applyNumberFormat="1" applyFont="1" applyBorder="1" applyAlignment="1">
      <alignment horizontal="center" vertical="center"/>
    </xf>
    <xf numFmtId="1" fontId="68" fillId="0" borderId="142" xfId="0" applyNumberFormat="1" applyFont="1" applyBorder="1" applyAlignment="1">
      <alignment horizontal="center" vertical="center"/>
    </xf>
    <xf numFmtId="1" fontId="9" fillId="0" borderId="3" xfId="0" applyNumberFormat="1" applyFont="1" applyBorder="1" applyAlignment="1">
      <alignment horizontal="center" vertical="center"/>
    </xf>
    <xf numFmtId="1" fontId="9" fillId="0" borderId="35" xfId="0" applyNumberFormat="1" applyFont="1" applyBorder="1" applyAlignment="1">
      <alignment horizontal="center" vertical="center"/>
    </xf>
    <xf numFmtId="1" fontId="9" fillId="0" borderId="180" xfId="0" applyNumberFormat="1" applyFont="1" applyBorder="1" applyAlignment="1">
      <alignment horizontal="center" vertical="center"/>
    </xf>
    <xf numFmtId="0" fontId="66" fillId="0" borderId="0" xfId="0" applyFont="1" applyAlignment="1">
      <alignment horizontal="center"/>
    </xf>
    <xf numFmtId="1" fontId="66" fillId="0" borderId="0" xfId="0" applyNumberFormat="1" applyFont="1" applyAlignment="1">
      <alignment horizontal="center"/>
    </xf>
    <xf numFmtId="1" fontId="71" fillId="0" borderId="0" xfId="0" applyNumberFormat="1" applyFont="1" applyAlignment="1">
      <alignment horizontal="left"/>
    </xf>
    <xf numFmtId="0" fontId="9" fillId="0" borderId="0" xfId="26" applyAlignment="1">
      <alignment vertical="center" wrapText="1"/>
    </xf>
    <xf numFmtId="3" fontId="53" fillId="34" borderId="110" xfId="5" applyFont="1" applyFill="1" applyBorder="1" applyAlignment="1">
      <alignment horizontal="right" vertical="center" wrapText="1"/>
    </xf>
    <xf numFmtId="4" fontId="9" fillId="34" borderId="110" xfId="7" applyFont="1" applyFill="1" applyBorder="1" applyAlignment="1">
      <alignment horizontal="right" vertical="center" wrapText="1"/>
    </xf>
    <xf numFmtId="4" fontId="33" fillId="0" borderId="108" xfId="7" applyFont="1" applyFill="1" applyBorder="1" applyAlignment="1">
      <alignment horizontal="right" vertical="center" wrapText="1"/>
    </xf>
    <xf numFmtId="0" fontId="9" fillId="0" borderId="108" xfId="10" applyFont="1" applyFill="1" applyBorder="1" applyAlignment="1">
      <alignment horizontal="right" vertical="center" wrapText="1"/>
    </xf>
    <xf numFmtId="0" fontId="21" fillId="0" borderId="0" xfId="8" applyFill="1" applyBorder="1" applyAlignment="1">
      <alignment wrapText="1"/>
    </xf>
    <xf numFmtId="0" fontId="9" fillId="0" borderId="0" xfId="26" applyAlignment="1">
      <alignment wrapText="1"/>
    </xf>
    <xf numFmtId="0" fontId="0" fillId="0" borderId="0" xfId="0" applyAlignment="1">
      <alignment wrapText="1"/>
    </xf>
    <xf numFmtId="0" fontId="0" fillId="0" borderId="0" xfId="26" applyFont="1"/>
    <xf numFmtId="2" fontId="9" fillId="0" borderId="0" xfId="26" applyNumberFormat="1"/>
    <xf numFmtId="2" fontId="0" fillId="0" borderId="0" xfId="26" applyNumberFormat="1" applyFont="1"/>
    <xf numFmtId="10" fontId="0" fillId="8" borderId="97" xfId="16" applyNumberFormat="1" applyFont="1" applyFill="1" applyBorder="1" applyAlignment="1">
      <alignment horizontal="center"/>
    </xf>
    <xf numFmtId="177" fontId="9" fillId="24" borderId="19" xfId="0" applyNumberFormat="1" applyFont="1" applyFill="1" applyBorder="1" applyAlignment="1">
      <alignment horizontal="center"/>
    </xf>
    <xf numFmtId="0" fontId="0" fillId="0" borderId="0" xfId="0" applyAlignment="1">
      <alignment vertical="center" wrapText="1"/>
    </xf>
    <xf numFmtId="0" fontId="60" fillId="0" borderId="0" xfId="0" applyFont="1"/>
    <xf numFmtId="0" fontId="60" fillId="0" borderId="0" xfId="0" applyFont="1" applyAlignment="1">
      <alignment horizontal="center"/>
    </xf>
    <xf numFmtId="168" fontId="9" fillId="0" borderId="0" xfId="0" applyNumberFormat="1" applyFont="1"/>
    <xf numFmtId="166" fontId="9" fillId="0" borderId="0" xfId="0" applyNumberFormat="1" applyFont="1"/>
    <xf numFmtId="168" fontId="27" fillId="0" borderId="0" xfId="0" applyNumberFormat="1" applyFont="1"/>
    <xf numFmtId="169" fontId="9" fillId="24" borderId="19" xfId="16" applyNumberFormat="1" applyFont="1" applyFill="1" applyBorder="1" applyAlignment="1">
      <alignment horizontal="center"/>
    </xf>
    <xf numFmtId="174" fontId="35" fillId="24" borderId="98" xfId="0" applyNumberFormat="1" applyFont="1" applyFill="1" applyBorder="1" applyAlignment="1">
      <alignment horizontal="center"/>
    </xf>
    <xf numFmtId="169" fontId="0" fillId="24" borderId="96" xfId="16" applyNumberFormat="1" applyFont="1" applyFill="1" applyBorder="1" applyAlignment="1">
      <alignment horizontal="center"/>
    </xf>
    <xf numFmtId="169" fontId="0" fillId="8" borderId="96" xfId="16" applyNumberFormat="1" applyFont="1" applyFill="1" applyBorder="1" applyAlignment="1">
      <alignment horizontal="center"/>
    </xf>
    <xf numFmtId="0" fontId="48" fillId="9" borderId="74" xfId="0" applyFont="1" applyFill="1" applyBorder="1" applyAlignment="1">
      <alignment horizontal="center" vertical="center"/>
    </xf>
    <xf numFmtId="0" fontId="48" fillId="31" borderId="74" xfId="0" applyFont="1" applyFill="1" applyBorder="1" applyAlignment="1">
      <alignment horizontal="center" vertical="center"/>
    </xf>
    <xf numFmtId="4" fontId="26" fillId="9" borderId="108" xfId="7" applyFont="1" applyFill="1" applyBorder="1" applyAlignment="1">
      <alignment horizontal="right" vertical="center"/>
    </xf>
    <xf numFmtId="0" fontId="9" fillId="12" borderId="108" xfId="10" applyFont="1" applyFill="1" applyBorder="1" applyAlignment="1">
      <alignment horizontal="right" vertical="center"/>
    </xf>
    <xf numFmtId="1" fontId="36" fillId="0" borderId="0" xfId="0" applyNumberFormat="1" applyFont="1"/>
    <xf numFmtId="1" fontId="24" fillId="0" borderId="0" xfId="0" applyNumberFormat="1" applyFont="1" applyAlignment="1">
      <alignment horizontal="center"/>
    </xf>
    <xf numFmtId="1" fontId="24" fillId="0" borderId="0" xfId="0" applyNumberFormat="1" applyFont="1" applyAlignment="1">
      <alignment horizontal="center" vertical="center"/>
    </xf>
    <xf numFmtId="1" fontId="36" fillId="19" borderId="0" xfId="0" applyNumberFormat="1" applyFont="1" applyFill="1"/>
    <xf numFmtId="1" fontId="36" fillId="19" borderId="0" xfId="0" applyNumberFormat="1" applyFont="1" applyFill="1" applyAlignment="1">
      <alignment horizontal="center" vertical="center"/>
    </xf>
    <xf numFmtId="1" fontId="36" fillId="19" borderId="0" xfId="21" applyNumberFormat="1" applyFont="1" applyFill="1" applyAlignment="1">
      <alignment horizontal="center" vertical="center"/>
    </xf>
    <xf numFmtId="1" fontId="37" fillId="19" borderId="0" xfId="21" applyNumberFormat="1" applyFont="1" applyFill="1" applyAlignment="1">
      <alignment horizontal="center" vertical="center"/>
    </xf>
    <xf numFmtId="1" fontId="37" fillId="19" borderId="0" xfId="0" applyNumberFormat="1" applyFont="1" applyFill="1" applyAlignment="1">
      <alignment horizontal="center" vertical="center"/>
    </xf>
    <xf numFmtId="1" fontId="36" fillId="0" borderId="0" xfId="0" applyNumberFormat="1" applyFont="1" applyAlignment="1">
      <alignment horizontal="center" vertical="center"/>
    </xf>
    <xf numFmtId="1" fontId="0" fillId="0" borderId="0" xfId="0" applyNumberFormat="1"/>
    <xf numFmtId="1" fontId="0" fillId="0" borderId="0" xfId="0" applyNumberFormat="1" applyAlignment="1">
      <alignment horizontal="center" vertical="center"/>
    </xf>
    <xf numFmtId="2" fontId="36" fillId="19" borderId="0" xfId="16" applyNumberFormat="1" applyFont="1" applyFill="1" applyAlignment="1">
      <alignment horizontal="center"/>
    </xf>
    <xf numFmtId="0" fontId="14" fillId="0" borderId="188" xfId="0" applyFont="1" applyBorder="1" applyAlignment="1">
      <alignment horizontal="center"/>
    </xf>
    <xf numFmtId="10" fontId="0" fillId="33" borderId="78" xfId="0" applyNumberFormat="1" applyFill="1" applyBorder="1"/>
    <xf numFmtId="168" fontId="0" fillId="0" borderId="53" xfId="0" applyNumberFormat="1" applyBorder="1" applyAlignment="1">
      <alignment horizontal="center"/>
    </xf>
    <xf numFmtId="168" fontId="0" fillId="0" borderId="186" xfId="0" applyNumberFormat="1" applyBorder="1" applyAlignment="1">
      <alignment horizontal="center"/>
    </xf>
    <xf numFmtId="168" fontId="14" fillId="0" borderId="187" xfId="0" applyNumberFormat="1" applyFont="1" applyBorder="1" applyAlignment="1">
      <alignment horizontal="center"/>
    </xf>
    <xf numFmtId="0" fontId="0" fillId="0" borderId="198" xfId="0" applyBorder="1"/>
    <xf numFmtId="0" fontId="0" fillId="0" borderId="42" xfId="0" applyBorder="1"/>
    <xf numFmtId="0" fontId="0" fillId="0" borderId="199" xfId="0" applyBorder="1"/>
    <xf numFmtId="9" fontId="9" fillId="0" borderId="92" xfId="0" applyNumberFormat="1" applyFont="1" applyBorder="1" applyAlignment="1">
      <alignment horizontal="center"/>
    </xf>
    <xf numFmtId="0" fontId="0" fillId="0" borderId="18" xfId="0" applyBorder="1"/>
    <xf numFmtId="0" fontId="67" fillId="0" borderId="52" xfId="0" applyFont="1" applyBorder="1"/>
    <xf numFmtId="0" fontId="67" fillId="0" borderId="0" xfId="0" applyFont="1"/>
    <xf numFmtId="0" fontId="67" fillId="0" borderId="53" xfId="0" applyFont="1" applyBorder="1"/>
    <xf numFmtId="0" fontId="67" fillId="0" borderId="179" xfId="0" applyFont="1" applyBorder="1"/>
    <xf numFmtId="0" fontId="67" fillId="0" borderId="42" xfId="0" applyFont="1" applyBorder="1"/>
    <xf numFmtId="0" fontId="67" fillId="0" borderId="199" xfId="0" applyFont="1" applyBorder="1"/>
    <xf numFmtId="0" fontId="0" fillId="0" borderId="200" xfId="0" applyBorder="1"/>
    <xf numFmtId="3" fontId="0" fillId="0" borderId="0" xfId="0" applyNumberFormat="1"/>
    <xf numFmtId="3" fontId="9" fillId="0" borderId="108" xfId="26" applyNumberFormat="1" applyBorder="1" applyAlignment="1">
      <alignment vertical="center"/>
    </xf>
    <xf numFmtId="3" fontId="26" fillId="0" borderId="0" xfId="0" applyNumberFormat="1" applyFont="1"/>
    <xf numFmtId="0" fontId="73" fillId="0" borderId="0" xfId="0" applyFont="1"/>
    <xf numFmtId="0" fontId="58" fillId="0" borderId="0" xfId="0" applyFont="1" applyAlignment="1">
      <alignment horizontal="center"/>
    </xf>
    <xf numFmtId="0" fontId="14" fillId="0" borderId="202" xfId="0" applyFont="1" applyBorder="1" applyAlignment="1">
      <alignment horizontal="center"/>
    </xf>
    <xf numFmtId="0" fontId="58" fillId="0" borderId="203" xfId="0" applyFont="1" applyBorder="1" applyAlignment="1">
      <alignment horizontal="center"/>
    </xf>
    <xf numFmtId="0" fontId="75" fillId="0" borderId="0" xfId="0" applyFont="1" applyAlignment="1">
      <alignment horizontal="center"/>
    </xf>
    <xf numFmtId="178" fontId="75" fillId="0" borderId="0" xfId="16" applyNumberFormat="1" applyFont="1" applyFill="1" applyBorder="1" applyAlignment="1">
      <alignment horizontal="center"/>
    </xf>
    <xf numFmtId="0" fontId="76" fillId="0" borderId="0" xfId="0" applyFont="1" applyAlignment="1">
      <alignment horizontal="center"/>
    </xf>
    <xf numFmtId="178" fontId="76" fillId="0" borderId="202" xfId="0" applyNumberFormat="1" applyFont="1" applyBorder="1" applyAlignment="1">
      <alignment horizontal="center"/>
    </xf>
    <xf numFmtId="0" fontId="77" fillId="0" borderId="203" xfId="0" applyFont="1" applyBorder="1" applyAlignment="1">
      <alignment horizontal="center"/>
    </xf>
    <xf numFmtId="10" fontId="76" fillId="0" borderId="0" xfId="16" applyNumberFormat="1" applyFont="1" applyAlignment="1">
      <alignment horizontal="center"/>
    </xf>
    <xf numFmtId="10" fontId="80" fillId="0" borderId="0" xfId="16" applyNumberFormat="1" applyFont="1" applyFill="1" applyBorder="1" applyAlignment="1">
      <alignment horizontal="center"/>
    </xf>
    <xf numFmtId="3" fontId="0" fillId="45" borderId="0" xfId="0" applyNumberFormat="1" applyFill="1" applyAlignment="1">
      <alignment horizontal="center"/>
    </xf>
    <xf numFmtId="0" fontId="11" fillId="0" borderId="0" xfId="11" applyAlignment="1" applyProtection="1"/>
    <xf numFmtId="3" fontId="0" fillId="0" borderId="202" xfId="0" applyNumberFormat="1" applyBorder="1" applyAlignment="1">
      <alignment horizontal="center"/>
    </xf>
    <xf numFmtId="169" fontId="9" fillId="0" borderId="0" xfId="16" applyNumberFormat="1" applyFont="1" applyFill="1" applyBorder="1" applyAlignment="1">
      <alignment horizontal="center" vertical="center"/>
    </xf>
    <xf numFmtId="178" fontId="76" fillId="0" borderId="0" xfId="0" applyNumberFormat="1" applyFont="1" applyAlignment="1">
      <alignment horizontal="center"/>
    </xf>
    <xf numFmtId="178" fontId="0" fillId="0" borderId="0" xfId="0" applyNumberFormat="1"/>
    <xf numFmtId="178" fontId="76" fillId="46" borderId="0" xfId="0" applyNumberFormat="1" applyFont="1" applyFill="1" applyAlignment="1">
      <alignment horizontal="center"/>
    </xf>
    <xf numFmtId="0" fontId="9" fillId="24" borderId="0" xfId="0" applyFont="1" applyFill="1" applyAlignment="1">
      <alignment horizontal="center" vertical="center"/>
    </xf>
    <xf numFmtId="178" fontId="75" fillId="0" borderId="0" xfId="0" applyNumberFormat="1" applyFont="1" applyAlignment="1">
      <alignment horizontal="center"/>
    </xf>
    <xf numFmtId="178" fontId="80" fillId="47" borderId="0" xfId="16" applyNumberFormat="1" applyFont="1" applyFill="1" applyBorder="1" applyAlignment="1">
      <alignment horizontal="center"/>
    </xf>
    <xf numFmtId="0" fontId="75" fillId="0" borderId="0" xfId="0" applyFont="1"/>
    <xf numFmtId="178" fontId="75" fillId="0" borderId="0" xfId="16" applyNumberFormat="1" applyFont="1" applyAlignment="1">
      <alignment horizontal="center"/>
    </xf>
    <xf numFmtId="10" fontId="75" fillId="0" borderId="0" xfId="0" applyNumberFormat="1" applyFont="1" applyAlignment="1">
      <alignment horizontal="center"/>
    </xf>
    <xf numFmtId="10" fontId="0" fillId="47" borderId="0" xfId="16" applyNumberFormat="1" applyFont="1" applyFill="1"/>
    <xf numFmtId="0" fontId="82" fillId="0" borderId="0" xfId="0" applyFont="1" applyAlignment="1">
      <alignment horizontal="center"/>
    </xf>
    <xf numFmtId="164" fontId="0" fillId="0" borderId="0" xfId="33" applyFont="1" applyFill="1" applyBorder="1" applyAlignment="1">
      <alignment horizontal="center"/>
    </xf>
    <xf numFmtId="164" fontId="76" fillId="47" borderId="202" xfId="33" applyFont="1" applyFill="1" applyBorder="1" applyAlignment="1">
      <alignment horizontal="center"/>
    </xf>
    <xf numFmtId="0" fontId="80" fillId="0" borderId="0" xfId="0" applyFont="1" applyAlignment="1">
      <alignment horizontal="center"/>
    </xf>
    <xf numFmtId="164" fontId="80" fillId="0" borderId="0" xfId="33" applyFont="1" applyFill="1" applyBorder="1" applyAlignment="1">
      <alignment horizontal="center"/>
    </xf>
    <xf numFmtId="0" fontId="83" fillId="0" borderId="0" xfId="0" applyFont="1"/>
    <xf numFmtId="2" fontId="36" fillId="0" borderId="0" xfId="0" applyNumberFormat="1" applyFont="1"/>
    <xf numFmtId="174" fontId="0" fillId="8" borderId="98" xfId="0" applyNumberFormat="1" applyFill="1" applyBorder="1" applyAlignment="1">
      <alignment horizontal="center"/>
    </xf>
    <xf numFmtId="178" fontId="76" fillId="12" borderId="202" xfId="0" applyNumberFormat="1" applyFont="1" applyFill="1" applyBorder="1" applyAlignment="1">
      <alignment horizontal="center"/>
    </xf>
    <xf numFmtId="3" fontId="9" fillId="0" borderId="151" xfId="0" quotePrefix="1" applyNumberFormat="1" applyFont="1" applyBorder="1" applyAlignment="1">
      <alignment horizontal="center" vertical="center"/>
    </xf>
    <xf numFmtId="3" fontId="63" fillId="39" borderId="169" xfId="0" applyNumberFormat="1" applyFont="1" applyFill="1" applyBorder="1" applyAlignment="1">
      <alignment horizontal="center" vertical="center"/>
    </xf>
    <xf numFmtId="0" fontId="9" fillId="48" borderId="0" xfId="0" applyFont="1" applyFill="1" applyAlignment="1">
      <alignment horizontal="center"/>
    </xf>
    <xf numFmtId="0" fontId="9" fillId="48" borderId="0" xfId="0" applyFont="1" applyFill="1" applyAlignment="1">
      <alignment horizontal="center" vertical="center"/>
    </xf>
    <xf numFmtId="9" fontId="9" fillId="0" borderId="0" xfId="0" applyNumberFormat="1" applyFont="1"/>
    <xf numFmtId="10" fontId="9" fillId="0" borderId="0" xfId="0" applyNumberFormat="1" applyFont="1"/>
    <xf numFmtId="0" fontId="14" fillId="48" borderId="0" xfId="0" applyFont="1" applyFill="1" applyAlignment="1">
      <alignment horizontal="center"/>
    </xf>
    <xf numFmtId="9" fontId="14" fillId="0" borderId="0" xfId="0" applyNumberFormat="1" applyFont="1" applyAlignment="1">
      <alignment horizontal="center"/>
    </xf>
    <xf numFmtId="10" fontId="14" fillId="0" borderId="0" xfId="0" applyNumberFormat="1" applyFont="1"/>
    <xf numFmtId="0" fontId="9" fillId="0" borderId="0" xfId="0" applyFont="1" applyAlignment="1">
      <alignment wrapText="1"/>
    </xf>
    <xf numFmtId="0" fontId="14" fillId="48" borderId="0" xfId="0" applyFont="1" applyFill="1" applyAlignment="1">
      <alignment horizontal="center" vertical="center"/>
    </xf>
    <xf numFmtId="9" fontId="9" fillId="0" borderId="0" xfId="0" applyNumberFormat="1" applyFont="1" applyAlignment="1">
      <alignment horizontal="center" vertical="center"/>
    </xf>
    <xf numFmtId="0" fontId="9" fillId="50" borderId="0" xfId="0" applyFont="1" applyFill="1"/>
    <xf numFmtId="0" fontId="0" fillId="50" borderId="0" xfId="0" applyFill="1"/>
    <xf numFmtId="9" fontId="0" fillId="8" borderId="48" xfId="0" applyNumberFormat="1" applyFill="1" applyBorder="1"/>
    <xf numFmtId="10" fontId="0" fillId="8" borderId="48" xfId="0" applyNumberFormat="1" applyFill="1" applyBorder="1"/>
    <xf numFmtId="10" fontId="0" fillId="12" borderId="0" xfId="0" applyNumberFormat="1" applyFill="1"/>
    <xf numFmtId="10" fontId="0" fillId="51" borderId="0" xfId="0" applyNumberFormat="1" applyFill="1"/>
    <xf numFmtId="0" fontId="9" fillId="48" borderId="0" xfId="0" applyFont="1" applyFill="1" applyAlignment="1">
      <alignment horizontal="center" vertical="center" wrapText="1"/>
    </xf>
    <xf numFmtId="9" fontId="0" fillId="0" borderId="0" xfId="16" applyFont="1" applyAlignment="1">
      <alignment horizontal="center" vertical="center"/>
    </xf>
    <xf numFmtId="1" fontId="55" fillId="0" borderId="33" xfId="0" applyNumberFormat="1" applyFont="1" applyBorder="1" applyAlignment="1">
      <alignment horizontal="center" vertical="center"/>
    </xf>
    <xf numFmtId="0" fontId="14" fillId="0" borderId="75" xfId="0" applyFont="1" applyBorder="1" applyAlignment="1">
      <alignment horizontal="center"/>
    </xf>
    <xf numFmtId="1" fontId="55" fillId="0" borderId="39" xfId="0" applyNumberFormat="1" applyFont="1" applyBorder="1" applyAlignment="1">
      <alignment horizontal="center" vertical="center"/>
    </xf>
    <xf numFmtId="1" fontId="55" fillId="0" borderId="0" xfId="0" applyNumberFormat="1" applyFont="1"/>
    <xf numFmtId="3" fontId="55" fillId="41" borderId="140" xfId="0" applyNumberFormat="1" applyFont="1" applyFill="1" applyBorder="1" applyAlignment="1">
      <alignment horizontal="center" vertical="center"/>
    </xf>
    <xf numFmtId="3" fontId="60" fillId="42" borderId="151" xfId="0" applyNumberFormat="1" applyFont="1" applyFill="1" applyBorder="1" applyAlignment="1">
      <alignment horizontal="center" vertical="center"/>
    </xf>
    <xf numFmtId="3" fontId="60" fillId="42" borderId="48" xfId="0" applyNumberFormat="1" applyFont="1" applyFill="1" applyBorder="1" applyAlignment="1">
      <alignment horizontal="center" vertical="center"/>
    </xf>
    <xf numFmtId="3" fontId="60" fillId="42" borderId="46" xfId="0" applyNumberFormat="1" applyFont="1" applyFill="1" applyBorder="1" applyAlignment="1">
      <alignment horizontal="center" vertical="center"/>
    </xf>
    <xf numFmtId="3" fontId="63" fillId="39" borderId="152" xfId="0" applyNumberFormat="1" applyFont="1" applyFill="1" applyBorder="1" applyAlignment="1">
      <alignment horizontal="center" vertical="center"/>
    </xf>
    <xf numFmtId="1" fontId="0" fillId="8" borderId="0" xfId="0" applyNumberFormat="1" applyFill="1"/>
    <xf numFmtId="0" fontId="0" fillId="8" borderId="206" xfId="0" applyFill="1" applyBorder="1"/>
    <xf numFmtId="3" fontId="0" fillId="8" borderId="207" xfId="0" applyNumberFormat="1" applyFill="1" applyBorder="1"/>
    <xf numFmtId="3" fontId="0" fillId="8" borderId="208" xfId="0" applyNumberFormat="1" applyFill="1" applyBorder="1"/>
    <xf numFmtId="0" fontId="0" fillId="8" borderId="209" xfId="0" applyFill="1" applyBorder="1"/>
    <xf numFmtId="1" fontId="0" fillId="8" borderId="210" xfId="0" applyNumberFormat="1" applyFill="1" applyBorder="1"/>
    <xf numFmtId="0" fontId="9" fillId="8" borderId="211" xfId="0" applyFont="1" applyFill="1" applyBorder="1"/>
    <xf numFmtId="0" fontId="0" fillId="8" borderId="212" xfId="0" applyFill="1" applyBorder="1"/>
    <xf numFmtId="9" fontId="0" fillId="8" borderId="212" xfId="16" applyFont="1" applyFill="1" applyBorder="1"/>
    <xf numFmtId="9" fontId="0" fillId="8" borderId="212" xfId="0" applyNumberFormat="1" applyFill="1" applyBorder="1"/>
    <xf numFmtId="9" fontId="0" fillId="8" borderId="213" xfId="0" applyNumberFormat="1" applyFill="1" applyBorder="1"/>
    <xf numFmtId="0" fontId="0" fillId="8" borderId="0" xfId="0" applyFill="1" applyAlignment="1">
      <alignment horizontal="center"/>
    </xf>
    <xf numFmtId="10" fontId="80" fillId="8" borderId="0" xfId="16" applyNumberFormat="1" applyFont="1" applyFill="1" applyBorder="1" applyAlignment="1">
      <alignment horizontal="center"/>
    </xf>
    <xf numFmtId="164" fontId="76" fillId="0" borderId="0" xfId="33" applyFont="1" applyFill="1" applyBorder="1" applyAlignment="1">
      <alignment horizontal="center"/>
    </xf>
    <xf numFmtId="3" fontId="80" fillId="0" borderId="0" xfId="0" applyNumberFormat="1" applyFont="1" applyAlignment="1">
      <alignment horizontal="center"/>
    </xf>
    <xf numFmtId="9" fontId="0" fillId="0" borderId="0" xfId="16" applyFont="1"/>
    <xf numFmtId="178" fontId="0" fillId="0" borderId="0" xfId="0" applyNumberFormat="1" applyAlignment="1">
      <alignment horizontal="center"/>
    </xf>
    <xf numFmtId="9" fontId="0" fillId="12" borderId="0" xfId="0" applyNumberFormat="1" applyFill="1" applyAlignment="1">
      <alignment horizontal="center"/>
    </xf>
    <xf numFmtId="170" fontId="0" fillId="0" borderId="0" xfId="16" applyNumberFormat="1" applyFont="1" applyAlignment="1">
      <alignment horizontal="center"/>
    </xf>
    <xf numFmtId="0" fontId="0" fillId="8" borderId="214" xfId="0" applyFill="1" applyBorder="1"/>
    <xf numFmtId="0" fontId="0" fillId="8" borderId="215" xfId="0" applyFill="1" applyBorder="1"/>
    <xf numFmtId="0" fontId="0" fillId="8" borderId="216" xfId="0" applyFill="1" applyBorder="1"/>
    <xf numFmtId="3" fontId="0" fillId="8" borderId="0" xfId="0" applyNumberFormat="1" applyFill="1"/>
    <xf numFmtId="3" fontId="0" fillId="8" borderId="210" xfId="0" applyNumberFormat="1" applyFill="1" applyBorder="1"/>
    <xf numFmtId="178" fontId="76" fillId="8" borderId="0" xfId="0" applyNumberFormat="1" applyFont="1" applyFill="1" applyAlignment="1">
      <alignment horizontal="center"/>
    </xf>
    <xf numFmtId="0" fontId="0" fillId="8" borderId="210" xfId="0" applyFill="1" applyBorder="1"/>
    <xf numFmtId="0" fontId="14" fillId="8" borderId="209" xfId="0" applyFont="1" applyFill="1" applyBorder="1"/>
    <xf numFmtId="170" fontId="0" fillId="8" borderId="0" xfId="0" applyNumberFormat="1" applyFill="1"/>
    <xf numFmtId="0" fontId="9" fillId="8" borderId="209" xfId="0" applyFont="1" applyFill="1" applyBorder="1"/>
    <xf numFmtId="3" fontId="0" fillId="8" borderId="212" xfId="0" applyNumberFormat="1" applyFill="1" applyBorder="1"/>
    <xf numFmtId="3" fontId="0" fillId="8" borderId="213" xfId="0" applyNumberFormat="1" applyFill="1" applyBorder="1"/>
    <xf numFmtId="177" fontId="27" fillId="8" borderId="0" xfId="0" applyNumberFormat="1" applyFont="1" applyFill="1" applyAlignment="1">
      <alignment horizontal="center"/>
    </xf>
    <xf numFmtId="164" fontId="76" fillId="12" borderId="202" xfId="0" applyNumberFormat="1" applyFont="1" applyFill="1" applyBorder="1" applyAlignment="1">
      <alignment horizontal="center"/>
    </xf>
    <xf numFmtId="0" fontId="85" fillId="52" borderId="148" xfId="34" applyFont="1" applyFill="1" applyBorder="1" applyAlignment="1">
      <alignment horizontal="left"/>
    </xf>
    <xf numFmtId="0" fontId="2" fillId="0" borderId="0" xfId="34"/>
    <xf numFmtId="0" fontId="85" fillId="52" borderId="140" xfId="34" applyFont="1" applyFill="1" applyBorder="1" applyAlignment="1">
      <alignment horizontal="left"/>
    </xf>
    <xf numFmtId="0" fontId="90" fillId="0" borderId="0" xfId="34" applyFont="1"/>
    <xf numFmtId="0" fontId="84" fillId="0" borderId="0" xfId="34" applyFont="1"/>
    <xf numFmtId="0" fontId="85" fillId="52" borderId="221" xfId="34" applyFont="1" applyFill="1" applyBorder="1" applyAlignment="1">
      <alignment horizontal="left"/>
    </xf>
    <xf numFmtId="0" fontId="91" fillId="0" borderId="39" xfId="34" applyFont="1" applyBorder="1" applyAlignment="1">
      <alignment horizontal="center"/>
    </xf>
    <xf numFmtId="0" fontId="91" fillId="0" borderId="2" xfId="34" applyFont="1" applyBorder="1" applyAlignment="1">
      <alignment horizontal="center"/>
    </xf>
    <xf numFmtId="44" fontId="91" fillId="0" borderId="2" xfId="34" applyNumberFormat="1" applyFont="1" applyBorder="1" applyAlignment="1">
      <alignment horizontal="center"/>
    </xf>
    <xf numFmtId="0" fontId="91" fillId="0" borderId="2" xfId="34" applyFont="1" applyBorder="1" applyAlignment="1">
      <alignment horizontal="center" wrapText="1"/>
    </xf>
    <xf numFmtId="0" fontId="91" fillId="0" borderId="38" xfId="34" applyFont="1" applyBorder="1" applyAlignment="1">
      <alignment horizontal="center" wrapText="1"/>
    </xf>
    <xf numFmtId="0" fontId="2" fillId="0" borderId="0" xfId="34" applyAlignment="1">
      <alignment wrapText="1"/>
    </xf>
    <xf numFmtId="0" fontId="2" fillId="0" borderId="47" xfId="34" applyBorder="1"/>
    <xf numFmtId="0" fontId="2" fillId="0" borderId="48" xfId="34" applyBorder="1" applyAlignment="1">
      <alignment horizontal="center"/>
    </xf>
    <xf numFmtId="166" fontId="2" fillId="0" borderId="48" xfId="34" applyNumberFormat="1" applyBorder="1" applyAlignment="1">
      <alignment horizontal="center"/>
    </xf>
    <xf numFmtId="10" fontId="2" fillId="0" borderId="46" xfId="34" applyNumberFormat="1" applyBorder="1" applyAlignment="1">
      <alignment horizontal="center"/>
    </xf>
    <xf numFmtId="0" fontId="2" fillId="0" borderId="36" xfId="34" applyBorder="1"/>
    <xf numFmtId="0" fontId="2" fillId="0" borderId="3" xfId="34" applyBorder="1" applyAlignment="1">
      <alignment horizontal="center"/>
    </xf>
    <xf numFmtId="166" fontId="2" fillId="0" borderId="3" xfId="34" applyNumberFormat="1" applyBorder="1" applyAlignment="1">
      <alignment horizontal="center"/>
    </xf>
    <xf numFmtId="10" fontId="2" fillId="0" borderId="35" xfId="34" applyNumberFormat="1" applyBorder="1" applyAlignment="1">
      <alignment horizontal="center"/>
    </xf>
    <xf numFmtId="0" fontId="2" fillId="0" borderId="0" xfId="34" applyAlignment="1">
      <alignment horizontal="left"/>
    </xf>
    <xf numFmtId="0" fontId="9" fillId="0" borderId="0" xfId="0" applyFont="1" applyAlignment="1">
      <alignment horizontal="center" vertical="center"/>
    </xf>
    <xf numFmtId="9" fontId="9" fillId="0" borderId="0" xfId="0" applyNumberFormat="1" applyFont="1" applyAlignment="1">
      <alignment horizontal="center"/>
    </xf>
    <xf numFmtId="10" fontId="0" fillId="0" borderId="0" xfId="16" applyNumberFormat="1" applyFont="1" applyFill="1"/>
    <xf numFmtId="179" fontId="2" fillId="53" borderId="48" xfId="34" applyNumberFormat="1" applyFill="1" applyBorder="1" applyAlignment="1">
      <alignment horizontal="center"/>
    </xf>
    <xf numFmtId="4" fontId="75" fillId="0" borderId="0" xfId="16" applyNumberFormat="1" applyFont="1" applyFill="1" applyBorder="1" applyAlignment="1">
      <alignment horizontal="center"/>
    </xf>
    <xf numFmtId="2" fontId="0" fillId="0" borderId="0" xfId="0" applyNumberFormat="1"/>
    <xf numFmtId="2" fontId="76" fillId="0" borderId="0" xfId="0" applyNumberFormat="1" applyFont="1" applyAlignment="1">
      <alignment horizontal="center"/>
    </xf>
    <xf numFmtId="10" fontId="26" fillId="12" borderId="0" xfId="0" applyNumberFormat="1" applyFont="1" applyFill="1"/>
    <xf numFmtId="10" fontId="26" fillId="12" borderId="0" xfId="0" applyNumberFormat="1" applyFont="1" applyFill="1" applyAlignment="1">
      <alignment horizontal="center"/>
    </xf>
    <xf numFmtId="1" fontId="26" fillId="0" borderId="46" xfId="0" applyNumberFormat="1" applyFont="1" applyBorder="1" applyAlignment="1">
      <alignment horizontal="center" vertical="center"/>
    </xf>
    <xf numFmtId="1" fontId="55" fillId="0" borderId="140" xfId="0" applyNumberFormat="1" applyFont="1" applyBorder="1" applyAlignment="1">
      <alignment horizontal="center" vertical="center"/>
    </xf>
    <xf numFmtId="1" fontId="68" fillId="0" borderId="173" xfId="0" applyNumberFormat="1" applyFont="1" applyBorder="1" applyAlignment="1">
      <alignment horizontal="center" vertical="center"/>
    </xf>
    <xf numFmtId="1" fontId="55" fillId="0" borderId="2" xfId="0" applyNumberFormat="1" applyFont="1" applyBorder="1" applyAlignment="1">
      <alignment horizontal="center" vertical="center"/>
    </xf>
    <xf numFmtId="1" fontId="63" fillId="0" borderId="223" xfId="0" applyNumberFormat="1" applyFont="1" applyBorder="1" applyAlignment="1">
      <alignment horizontal="center" vertical="center"/>
    </xf>
    <xf numFmtId="1" fontId="26" fillId="0" borderId="224" xfId="0" applyNumberFormat="1" applyFont="1" applyBorder="1" applyAlignment="1">
      <alignment horizontal="center" vertical="center"/>
    </xf>
    <xf numFmtId="1" fontId="63" fillId="0" borderId="225" xfId="0" applyNumberFormat="1" applyFont="1" applyBorder="1" applyAlignment="1">
      <alignment horizontal="center" vertical="center"/>
    </xf>
    <xf numFmtId="1" fontId="63" fillId="0" borderId="224" xfId="0" applyNumberFormat="1" applyFont="1" applyBorder="1" applyAlignment="1">
      <alignment horizontal="center" vertical="center"/>
    </xf>
    <xf numFmtId="1" fontId="26" fillId="0" borderId="226" xfId="0" applyNumberFormat="1" applyFont="1" applyBorder="1" applyAlignment="1">
      <alignment horizontal="center" vertical="center"/>
    </xf>
    <xf numFmtId="1" fontId="26" fillId="0" borderId="227" xfId="0" applyNumberFormat="1" applyFont="1" applyBorder="1" applyAlignment="1">
      <alignment horizontal="center" vertical="center"/>
    </xf>
    <xf numFmtId="10" fontId="92" fillId="0" borderId="0" xfId="16" applyNumberFormat="1" applyFont="1"/>
    <xf numFmtId="168" fontId="9" fillId="0" borderId="92" xfId="0" applyNumberFormat="1" applyFont="1" applyBorder="1" applyAlignment="1">
      <alignment horizontal="center"/>
    </xf>
    <xf numFmtId="0" fontId="85" fillId="52" borderId="148" xfId="38" applyFont="1" applyFill="1" applyBorder="1" applyAlignment="1">
      <alignment horizontal="left"/>
    </xf>
    <xf numFmtId="0" fontId="1" fillId="0" borderId="0" xfId="38"/>
    <xf numFmtId="0" fontId="85" fillId="52" borderId="140" xfId="38" applyFont="1" applyFill="1" applyBorder="1" applyAlignment="1">
      <alignment horizontal="left"/>
    </xf>
    <xf numFmtId="0" fontId="90" fillId="0" borderId="0" xfId="38" applyFont="1"/>
    <xf numFmtId="0" fontId="84" fillId="0" borderId="0" xfId="38" applyFont="1"/>
    <xf numFmtId="0" fontId="85" fillId="52" borderId="221" xfId="38" applyFont="1" applyFill="1" applyBorder="1" applyAlignment="1">
      <alignment horizontal="left"/>
    </xf>
    <xf numFmtId="0" fontId="91" fillId="0" borderId="39" xfId="38" applyFont="1" applyBorder="1"/>
    <xf numFmtId="0" fontId="91" fillId="0" borderId="2" xfId="38" applyFont="1" applyBorder="1" applyAlignment="1">
      <alignment horizontal="center"/>
    </xf>
    <xf numFmtId="0" fontId="91" fillId="0" borderId="2" xfId="38" applyFont="1" applyBorder="1" applyAlignment="1">
      <alignment horizontal="center" wrapText="1"/>
    </xf>
    <xf numFmtId="0" fontId="1" fillId="0" borderId="2" xfId="38" applyBorder="1" applyAlignment="1">
      <alignment horizontal="center" wrapText="1"/>
    </xf>
    <xf numFmtId="0" fontId="1" fillId="0" borderId="38" xfId="38" applyBorder="1" applyAlignment="1">
      <alignment horizontal="center" wrapText="1"/>
    </xf>
    <xf numFmtId="0" fontId="93" fillId="0" borderId="0" xfId="38" applyFont="1" applyAlignment="1">
      <alignment wrapText="1"/>
    </xf>
    <xf numFmtId="0" fontId="1" fillId="0" borderId="47" xfId="38" applyBorder="1"/>
    <xf numFmtId="0" fontId="1" fillId="0" borderId="48" xfId="38" applyBorder="1" applyAlignment="1">
      <alignment horizontal="center"/>
    </xf>
    <xf numFmtId="10" fontId="1" fillId="0" borderId="48" xfId="39" applyNumberFormat="1" applyFont="1" applyBorder="1" applyAlignment="1">
      <alignment horizontal="center"/>
    </xf>
    <xf numFmtId="10" fontId="1" fillId="0" borderId="46" xfId="39" applyNumberFormat="1" applyFont="1" applyBorder="1" applyAlignment="1">
      <alignment horizontal="center"/>
    </xf>
    <xf numFmtId="0" fontId="93" fillId="0" borderId="0" xfId="38" applyFont="1"/>
    <xf numFmtId="0" fontId="94" fillId="0" borderId="0" xfId="38" applyFont="1"/>
    <xf numFmtId="0" fontId="1" fillId="0" borderId="36" xfId="38" applyBorder="1"/>
    <xf numFmtId="0" fontId="1" fillId="0" borderId="3" xfId="38" applyBorder="1" applyAlignment="1">
      <alignment horizontal="center"/>
    </xf>
    <xf numFmtId="10" fontId="1" fillId="0" borderId="3" xfId="39" applyNumberFormat="1" applyFont="1" applyBorder="1" applyAlignment="1">
      <alignment horizontal="center"/>
    </xf>
    <xf numFmtId="10" fontId="1" fillId="0" borderId="35" xfId="39" applyNumberFormat="1" applyFont="1" applyBorder="1" applyAlignment="1">
      <alignment horizontal="center"/>
    </xf>
    <xf numFmtId="0" fontId="1" fillId="0" borderId="0" xfId="38" applyAlignment="1">
      <alignment horizontal="left"/>
    </xf>
    <xf numFmtId="0" fontId="1" fillId="0" borderId="0" xfId="38" applyAlignment="1">
      <alignment horizontal="center"/>
    </xf>
    <xf numFmtId="10" fontId="1" fillId="53" borderId="48" xfId="16" applyNumberFormat="1" applyFont="1" applyFill="1" applyBorder="1" applyAlignment="1">
      <alignment horizontal="center"/>
    </xf>
    <xf numFmtId="179" fontId="1" fillId="53" borderId="48" xfId="37" applyNumberFormat="1" applyFont="1" applyFill="1" applyBorder="1" applyAlignment="1">
      <alignment horizontal="center"/>
    </xf>
    <xf numFmtId="10" fontId="1" fillId="0" borderId="48" xfId="36" applyNumberFormat="1" applyFont="1" applyBorder="1" applyAlignment="1">
      <alignment horizontal="center"/>
    </xf>
    <xf numFmtId="44" fontId="1" fillId="0" borderId="48" xfId="37" applyFont="1" applyBorder="1" applyAlignment="1">
      <alignment horizontal="center"/>
    </xf>
    <xf numFmtId="10" fontId="1" fillId="0" borderId="3" xfId="36" applyNumberFormat="1" applyFont="1" applyBorder="1" applyAlignment="1">
      <alignment horizontal="center"/>
    </xf>
    <xf numFmtId="44" fontId="1" fillId="0" borderId="3" xfId="37" applyFont="1" applyBorder="1" applyAlignment="1">
      <alignment horizontal="center"/>
    </xf>
    <xf numFmtId="169" fontId="9" fillId="40" borderId="0" xfId="16" applyNumberFormat="1" applyFont="1" applyFill="1"/>
    <xf numFmtId="169" fontId="33" fillId="40" borderId="0" xfId="16" applyNumberFormat="1" applyFont="1" applyFill="1"/>
    <xf numFmtId="0" fontId="26" fillId="23" borderId="19" xfId="0" applyFont="1" applyFill="1" applyBorder="1" applyAlignment="1">
      <alignment horizontal="center"/>
    </xf>
    <xf numFmtId="0" fontId="9" fillId="23" borderId="19" xfId="0" applyFont="1" applyFill="1" applyBorder="1" applyAlignment="1">
      <alignment horizontal="center"/>
    </xf>
    <xf numFmtId="0" fontId="9" fillId="12" borderId="19" xfId="0" applyFont="1" applyFill="1" applyBorder="1" applyAlignment="1">
      <alignment horizontal="center"/>
    </xf>
    <xf numFmtId="2" fontId="27" fillId="18" borderId="96" xfId="16" applyNumberFormat="1" applyFont="1" applyFill="1" applyBorder="1" applyAlignment="1">
      <alignment horizontal="center"/>
    </xf>
    <xf numFmtId="10" fontId="70" fillId="54" borderId="108" xfId="26" applyNumberFormat="1" applyFont="1" applyFill="1" applyBorder="1"/>
    <xf numFmtId="0" fontId="9" fillId="54" borderId="108" xfId="26" applyFill="1" applyBorder="1"/>
    <xf numFmtId="0" fontId="9" fillId="54" borderId="108" xfId="26" applyFill="1" applyBorder="1" applyAlignment="1">
      <alignment vertical="center"/>
    </xf>
    <xf numFmtId="175" fontId="9" fillId="54" borderId="108" xfId="26" applyNumberFormat="1" applyFill="1" applyBorder="1"/>
    <xf numFmtId="3" fontId="26" fillId="54" borderId="0" xfId="0" applyNumberFormat="1" applyFont="1" applyFill="1"/>
    <xf numFmtId="10" fontId="0" fillId="0" borderId="23" xfId="16" applyNumberFormat="1" applyFont="1" applyFill="1" applyBorder="1" applyAlignment="1">
      <alignment horizontal="center"/>
    </xf>
    <xf numFmtId="4" fontId="0" fillId="0" borderId="23" xfId="0" applyNumberFormat="1" applyBorder="1" applyAlignment="1">
      <alignment horizontal="center"/>
    </xf>
    <xf numFmtId="169" fontId="0" fillId="0" borderId="23" xfId="16" applyNumberFormat="1" applyFont="1" applyFill="1" applyBorder="1" applyAlignment="1">
      <alignment horizontal="center"/>
    </xf>
    <xf numFmtId="169" fontId="0" fillId="8" borderId="23" xfId="16" applyNumberFormat="1" applyFont="1" applyFill="1" applyBorder="1" applyAlignment="1">
      <alignment horizontal="center"/>
    </xf>
    <xf numFmtId="0" fontId="0" fillId="7" borderId="0" xfId="0" applyFill="1"/>
    <xf numFmtId="0" fontId="28" fillId="32" borderId="64" xfId="0" applyFont="1" applyFill="1" applyBorder="1" applyAlignment="1">
      <alignment horizontal="center"/>
    </xf>
    <xf numFmtId="0" fontId="14" fillId="0" borderId="64" xfId="0" applyFont="1" applyBorder="1" applyAlignment="1">
      <alignment horizontal="center"/>
    </xf>
    <xf numFmtId="0" fontId="0" fillId="0" borderId="64" xfId="0" applyBorder="1" applyAlignment="1">
      <alignment horizontal="center"/>
    </xf>
    <xf numFmtId="0" fontId="28" fillId="16" borderId="244" xfId="0" applyFont="1" applyFill="1" applyBorder="1" applyAlignment="1">
      <alignment horizontal="center" vertical="center" wrapText="1"/>
    </xf>
    <xf numFmtId="0" fontId="28" fillId="12" borderId="245" xfId="0" applyFont="1" applyFill="1" applyBorder="1" applyAlignment="1">
      <alignment horizontal="center" vertical="center" wrapText="1"/>
    </xf>
    <xf numFmtId="0" fontId="14" fillId="28" borderId="179" xfId="0" applyFont="1" applyFill="1" applyBorder="1" applyAlignment="1">
      <alignment horizontal="center" vertical="center"/>
    </xf>
    <xf numFmtId="9" fontId="9" fillId="8" borderId="246" xfId="16" applyFont="1" applyFill="1" applyBorder="1" applyAlignment="1">
      <alignment horizontal="center"/>
    </xf>
    <xf numFmtId="0" fontId="28" fillId="32" borderId="10" xfId="0" applyFont="1" applyFill="1" applyBorder="1" applyAlignment="1">
      <alignment horizontal="center"/>
    </xf>
    <xf numFmtId="0" fontId="9" fillId="8" borderId="250" xfId="0" applyFont="1" applyFill="1" applyBorder="1" applyAlignment="1">
      <alignment vertical="center" wrapText="1"/>
    </xf>
    <xf numFmtId="0" fontId="9" fillId="8" borderId="249" xfId="0" applyFont="1" applyFill="1" applyBorder="1" applyAlignment="1">
      <alignment vertical="center" wrapText="1"/>
    </xf>
    <xf numFmtId="0" fontId="28" fillId="32" borderId="250" xfId="0" applyFont="1" applyFill="1" applyBorder="1" applyAlignment="1">
      <alignment horizontal="center"/>
    </xf>
    <xf numFmtId="0" fontId="48" fillId="5" borderId="262" xfId="0" applyFont="1" applyFill="1" applyBorder="1" applyAlignment="1">
      <alignment horizontal="center"/>
    </xf>
    <xf numFmtId="10" fontId="0" fillId="0" borderId="98" xfId="16" applyNumberFormat="1" applyFont="1" applyFill="1" applyBorder="1" applyAlignment="1">
      <alignment horizontal="center" vertical="center"/>
    </xf>
    <xf numFmtId="10" fontId="9" fillId="0" borderId="98" xfId="16" applyNumberFormat="1" applyFont="1" applyFill="1" applyBorder="1" applyAlignment="1">
      <alignment horizontal="center" vertical="center"/>
    </xf>
    <xf numFmtId="173" fontId="0" fillId="8" borderId="98" xfId="0" applyNumberFormat="1" applyFill="1" applyBorder="1" applyAlignment="1">
      <alignment horizontal="center" vertical="center"/>
    </xf>
    <xf numFmtId="173" fontId="0" fillId="0" borderId="98" xfId="0" applyNumberFormat="1" applyBorder="1" applyAlignment="1">
      <alignment horizontal="center"/>
    </xf>
    <xf numFmtId="170" fontId="0" fillId="12" borderId="98" xfId="0" applyNumberFormat="1" applyFill="1" applyBorder="1" applyAlignment="1">
      <alignment horizontal="center"/>
    </xf>
    <xf numFmtId="170" fontId="0" fillId="9" borderId="98" xfId="0" applyNumberFormat="1" applyFill="1" applyBorder="1" applyAlignment="1">
      <alignment horizontal="center"/>
    </xf>
    <xf numFmtId="170" fontId="0" fillId="9" borderId="97" xfId="0" applyNumberFormat="1" applyFill="1" applyBorder="1" applyAlignment="1">
      <alignment horizontal="center"/>
    </xf>
    <xf numFmtId="2" fontId="0" fillId="9" borderId="96" xfId="0" applyNumberFormat="1" applyFill="1" applyBorder="1" applyAlignment="1">
      <alignment horizontal="center"/>
    </xf>
    <xf numFmtId="0" fontId="48" fillId="15" borderId="76" xfId="0" applyFont="1" applyFill="1" applyBorder="1" applyAlignment="1">
      <alignment horizontal="center" vertical="center" wrapText="1"/>
    </xf>
    <xf numFmtId="0" fontId="0" fillId="32" borderId="265" xfId="0" applyFill="1" applyBorder="1"/>
    <xf numFmtId="174" fontId="0" fillId="0" borderId="266" xfId="0" applyNumberFormat="1" applyBorder="1" applyAlignment="1">
      <alignment horizontal="center"/>
    </xf>
    <xf numFmtId="174" fontId="0" fillId="0" borderId="266" xfId="0" applyNumberFormat="1" applyBorder="1" applyAlignment="1">
      <alignment horizontal="center" wrapText="1"/>
    </xf>
    <xf numFmtId="0" fontId="0" fillId="32" borderId="266" xfId="0" applyFill="1" applyBorder="1"/>
    <xf numFmtId="174" fontId="0" fillId="0" borderId="267" xfId="0" applyNumberFormat="1" applyBorder="1" applyAlignment="1">
      <alignment horizontal="center"/>
    </xf>
    <xf numFmtId="173" fontId="35" fillId="8" borderId="98" xfId="0" applyNumberFormat="1" applyFont="1" applyFill="1" applyBorder="1" applyAlignment="1">
      <alignment horizontal="center" vertical="center"/>
    </xf>
    <xf numFmtId="0" fontId="99" fillId="0" borderId="0" xfId="0" applyFont="1"/>
    <xf numFmtId="0" fontId="49" fillId="10" borderId="243" xfId="0" applyFont="1" applyFill="1" applyBorder="1" applyAlignment="1">
      <alignment horizontal="center" vertical="center" wrapText="1"/>
    </xf>
    <xf numFmtId="0" fontId="28" fillId="11" borderId="42" xfId="0" applyFont="1" applyFill="1" applyBorder="1" applyAlignment="1">
      <alignment horizontal="center" vertical="center"/>
    </xf>
    <xf numFmtId="0" fontId="10" fillId="9" borderId="262" xfId="0" applyFont="1" applyFill="1" applyBorder="1" applyAlignment="1">
      <alignment horizontal="center" vertical="center" wrapText="1"/>
    </xf>
    <xf numFmtId="0" fontId="48" fillId="5" borderId="262" xfId="0" applyFont="1" applyFill="1" applyBorder="1" applyAlignment="1">
      <alignment horizontal="center"/>
    </xf>
    <xf numFmtId="0" fontId="48" fillId="5" borderId="263" xfId="0" applyFont="1" applyFill="1" applyBorder="1" applyAlignment="1">
      <alignment horizontal="center"/>
    </xf>
    <xf numFmtId="0" fontId="10" fillId="0" borderId="262" xfId="0" applyFont="1" applyBorder="1" applyAlignment="1">
      <alignment horizontal="center" vertical="center" wrapText="1"/>
    </xf>
    <xf numFmtId="0" fontId="10" fillId="0" borderId="263" xfId="0" applyFont="1" applyBorder="1" applyAlignment="1">
      <alignment horizontal="center" vertical="center" wrapText="1"/>
    </xf>
    <xf numFmtId="0" fontId="47" fillId="18" borderId="10" xfId="0" applyFont="1" applyFill="1" applyBorder="1" applyAlignment="1">
      <alignment horizontal="center"/>
    </xf>
    <xf numFmtId="0" fontId="47" fillId="18" borderId="0" xfId="0" applyFont="1" applyFill="1" applyAlignment="1">
      <alignment horizontal="center"/>
    </xf>
    <xf numFmtId="0" fontId="47" fillId="18" borderId="12" xfId="0" applyFont="1" applyFill="1" applyBorder="1" applyAlignment="1">
      <alignment horizontal="center"/>
    </xf>
    <xf numFmtId="0" fontId="28" fillId="32" borderId="54" xfId="0" applyFont="1" applyFill="1" applyBorder="1" applyAlignment="1">
      <alignment horizontal="center"/>
    </xf>
    <xf numFmtId="0" fontId="28" fillId="32" borderId="63" xfId="0" applyFont="1" applyFill="1" applyBorder="1" applyAlignment="1">
      <alignment horizontal="center"/>
    </xf>
    <xf numFmtId="0" fontId="48" fillId="5" borderId="54" xfId="0" applyFont="1" applyFill="1" applyBorder="1" applyAlignment="1">
      <alignment horizontal="center"/>
    </xf>
    <xf numFmtId="0" fontId="48" fillId="5" borderId="63" xfId="0" applyFont="1" applyFill="1" applyBorder="1" applyAlignment="1">
      <alignment horizontal="center"/>
    </xf>
    <xf numFmtId="0" fontId="9" fillId="0" borderId="161" xfId="0" applyFont="1" applyBorder="1" applyAlignment="1">
      <alignment horizontal="left" vertical="center" wrapText="1"/>
    </xf>
    <xf numFmtId="0" fontId="69" fillId="0" borderId="156" xfId="0" applyFont="1" applyBorder="1" applyAlignment="1">
      <alignment horizontal="left" vertical="center"/>
    </xf>
    <xf numFmtId="0" fontId="69" fillId="0" borderId="157" xfId="0" applyFont="1" applyBorder="1" applyAlignment="1">
      <alignment horizontal="left" vertical="center"/>
    </xf>
    <xf numFmtId="0" fontId="69" fillId="0" borderId="162" xfId="0" applyFont="1" applyBorder="1" applyAlignment="1">
      <alignment horizontal="left" vertical="center"/>
    </xf>
    <xf numFmtId="0" fontId="69" fillId="0" borderId="0" xfId="0" applyFont="1" applyAlignment="1">
      <alignment horizontal="left" vertical="center"/>
    </xf>
    <xf numFmtId="0" fontId="69" fillId="0" borderId="158" xfId="0" applyFont="1" applyBorder="1" applyAlignment="1">
      <alignment horizontal="left" vertical="center"/>
    </xf>
    <xf numFmtId="0" fontId="69" fillId="0" borderId="163" xfId="0" applyFont="1" applyBorder="1" applyAlignment="1">
      <alignment horizontal="left" vertical="center"/>
    </xf>
    <xf numFmtId="0" fontId="69" fillId="0" borderId="159" xfId="0" applyFont="1" applyBorder="1" applyAlignment="1">
      <alignment horizontal="left" vertical="center"/>
    </xf>
    <xf numFmtId="0" fontId="69" fillId="0" borderId="160" xfId="0" applyFont="1" applyBorder="1" applyAlignment="1">
      <alignment horizontal="left" vertical="center"/>
    </xf>
    <xf numFmtId="0" fontId="9" fillId="0" borderId="156" xfId="0" applyFont="1" applyBorder="1" applyAlignment="1">
      <alignment horizontal="left" vertical="center"/>
    </xf>
    <xf numFmtId="0" fontId="9" fillId="0" borderId="157" xfId="0" applyFont="1" applyBorder="1" applyAlignment="1">
      <alignment horizontal="left" vertical="center"/>
    </xf>
    <xf numFmtId="0" fontId="9" fillId="0" borderId="162" xfId="0" applyFont="1" applyBorder="1" applyAlignment="1">
      <alignment horizontal="left" vertical="center"/>
    </xf>
    <xf numFmtId="0" fontId="0" fillId="0" borderId="0" xfId="0" applyAlignment="1">
      <alignment horizontal="left" vertical="center"/>
    </xf>
    <xf numFmtId="0" fontId="9" fillId="0" borderId="158" xfId="0" applyFont="1" applyBorder="1" applyAlignment="1">
      <alignment horizontal="left" vertical="center"/>
    </xf>
    <xf numFmtId="0" fontId="9" fillId="0" borderId="163" xfId="0" applyFont="1" applyBorder="1" applyAlignment="1">
      <alignment horizontal="left" vertical="center"/>
    </xf>
    <xf numFmtId="0" fontId="9" fillId="0" borderId="159" xfId="0" applyFont="1" applyBorder="1" applyAlignment="1">
      <alignment horizontal="left" vertical="center"/>
    </xf>
    <xf numFmtId="0" fontId="9" fillId="0" borderId="160" xfId="0" applyFont="1" applyBorder="1" applyAlignment="1">
      <alignment horizontal="left" vertical="center"/>
    </xf>
    <xf numFmtId="0" fontId="0" fillId="0" borderId="237" xfId="0" applyBorder="1" applyAlignment="1">
      <alignment horizontal="left" vertical="center" wrapText="1"/>
    </xf>
    <xf numFmtId="0" fontId="69" fillId="0" borderId="10" xfId="0" applyFont="1" applyBorder="1" applyAlignment="1">
      <alignment horizontal="left" vertical="center"/>
    </xf>
    <xf numFmtId="0" fontId="69" fillId="0" borderId="238" xfId="0" applyFont="1" applyBorder="1" applyAlignment="1">
      <alignment horizontal="left" vertical="center"/>
    </xf>
    <xf numFmtId="0" fontId="9" fillId="0" borderId="2" xfId="0" applyFont="1" applyBorder="1" applyAlignment="1">
      <alignment horizontal="left" vertical="top" wrapText="1"/>
    </xf>
    <xf numFmtId="0" fontId="9" fillId="0" borderId="62" xfId="0" applyFont="1" applyBorder="1" applyAlignment="1">
      <alignment horizontal="left" vertical="top" wrapText="1"/>
    </xf>
    <xf numFmtId="0" fontId="0" fillId="0" borderId="239" xfId="0" applyBorder="1" applyAlignment="1">
      <alignment horizontal="left" vertical="top" wrapText="1"/>
    </xf>
    <xf numFmtId="0" fontId="9" fillId="0" borderId="48" xfId="0" applyFont="1" applyBorder="1" applyAlignment="1">
      <alignment horizontal="left" vertical="top" wrapText="1"/>
    </xf>
    <xf numFmtId="0" fontId="9" fillId="0" borderId="61" xfId="0" applyFont="1" applyBorder="1" applyAlignment="1">
      <alignment horizontal="left" vertical="top" wrapText="1"/>
    </xf>
    <xf numFmtId="0" fontId="0" fillId="0" borderId="240" xfId="0" applyBorder="1" applyAlignment="1">
      <alignment horizontal="left" vertical="top" wrapText="1"/>
    </xf>
    <xf numFmtId="0" fontId="0" fillId="0" borderId="241" xfId="0" applyBorder="1" applyAlignment="1">
      <alignment horizontal="left" vertical="top" wrapText="1"/>
    </xf>
    <xf numFmtId="0" fontId="0" fillId="0" borderId="242" xfId="0" applyBorder="1" applyAlignment="1">
      <alignment horizontal="left" vertical="top" wrapText="1"/>
    </xf>
    <xf numFmtId="0" fontId="48" fillId="31" borderId="64" xfId="0" applyFont="1" applyFill="1" applyBorder="1" applyAlignment="1">
      <alignment horizontal="center"/>
    </xf>
    <xf numFmtId="0" fontId="48" fillId="31" borderId="54" xfId="0" applyFont="1" applyFill="1" applyBorder="1" applyAlignment="1">
      <alignment horizontal="center"/>
    </xf>
    <xf numFmtId="0" fontId="9" fillId="0" borderId="65" xfId="0" applyFont="1" applyBorder="1" applyAlignment="1">
      <alignment horizontal="left"/>
    </xf>
    <xf numFmtId="0" fontId="9" fillId="0" borderId="66" xfId="0" applyFont="1" applyBorder="1" applyAlignment="1">
      <alignment horizontal="left"/>
    </xf>
    <xf numFmtId="0" fontId="9" fillId="0" borderId="65" xfId="0" applyFont="1" applyBorder="1" applyAlignment="1">
      <alignment horizontal="left" indent="1"/>
    </xf>
    <xf numFmtId="0" fontId="9" fillId="0" borderId="66" xfId="0" applyFont="1" applyBorder="1" applyAlignment="1">
      <alignment horizontal="left" indent="1"/>
    </xf>
    <xf numFmtId="169" fontId="46" fillId="0" borderId="262" xfId="16" applyNumberFormat="1" applyFont="1" applyFill="1" applyBorder="1" applyAlignment="1">
      <alignment horizontal="center" vertical="center"/>
    </xf>
    <xf numFmtId="169" fontId="46" fillId="0" borderId="264" xfId="16" applyNumberFormat="1" applyFont="1" applyFill="1" applyBorder="1" applyAlignment="1">
      <alignment horizontal="center" vertical="center"/>
    </xf>
    <xf numFmtId="0" fontId="14" fillId="0" borderId="65" xfId="0" applyFont="1" applyBorder="1" applyAlignment="1">
      <alignment horizontal="left"/>
    </xf>
    <xf numFmtId="0" fontId="14" fillId="0" borderId="66" xfId="0" applyFont="1" applyBorder="1" applyAlignment="1">
      <alignment horizontal="left"/>
    </xf>
    <xf numFmtId="0" fontId="0" fillId="0" borderId="65" xfId="0" applyBorder="1" applyAlignment="1">
      <alignment horizontal="left"/>
    </xf>
    <xf numFmtId="0" fontId="0" fillId="0" borderId="66" xfId="0" applyBorder="1" applyAlignment="1">
      <alignment horizontal="left"/>
    </xf>
    <xf numFmtId="0" fontId="9" fillId="16" borderId="65" xfId="0" applyFont="1" applyFill="1" applyBorder="1" applyAlignment="1">
      <alignment horizontal="left"/>
    </xf>
    <xf numFmtId="0" fontId="9" fillId="16" borderId="66" xfId="0" applyFont="1" applyFill="1" applyBorder="1" applyAlignment="1">
      <alignment horizontal="left"/>
    </xf>
    <xf numFmtId="0" fontId="28" fillId="32" borderId="64" xfId="0" applyFont="1" applyFill="1" applyBorder="1" applyAlignment="1">
      <alignment horizontal="center"/>
    </xf>
    <xf numFmtId="0" fontId="0" fillId="0" borderId="10" xfId="0" applyBorder="1" applyAlignment="1">
      <alignment horizontal="left" vertical="center"/>
    </xf>
    <xf numFmtId="0" fontId="0" fillId="0" borderId="238" xfId="0" applyBorder="1" applyAlignment="1">
      <alignment horizontal="left" vertical="center"/>
    </xf>
    <xf numFmtId="0" fontId="48" fillId="5" borderId="64" xfId="0" applyFont="1" applyFill="1" applyBorder="1" applyAlignment="1">
      <alignment horizontal="center"/>
    </xf>
    <xf numFmtId="0" fontId="28" fillId="0" borderId="161" xfId="0" applyFont="1" applyBorder="1" applyAlignment="1">
      <alignment horizontal="center"/>
    </xf>
    <xf numFmtId="0" fontId="28" fillId="0" borderId="156" xfId="0" applyFont="1" applyBorder="1" applyAlignment="1">
      <alignment horizontal="center"/>
    </xf>
    <xf numFmtId="0" fontId="28" fillId="0" borderId="234" xfId="0" applyFont="1" applyBorder="1" applyAlignment="1">
      <alignment horizontal="center"/>
    </xf>
    <xf numFmtId="0" fontId="28" fillId="0" borderId="162" xfId="0" applyFont="1" applyBorder="1" applyAlignment="1">
      <alignment horizontal="center"/>
    </xf>
    <xf numFmtId="0" fontId="28" fillId="0" borderId="0" xfId="0" applyFont="1" applyAlignment="1">
      <alignment horizontal="center"/>
    </xf>
    <xf numFmtId="0" fontId="28" fillId="0" borderId="12" xfId="0" applyFont="1" applyBorder="1" applyAlignment="1">
      <alignment horizontal="center"/>
    </xf>
    <xf numFmtId="0" fontId="28" fillId="0" borderId="163" xfId="0" applyFont="1" applyBorder="1" applyAlignment="1">
      <alignment horizontal="center"/>
    </xf>
    <xf numFmtId="0" fontId="28" fillId="0" borderId="159" xfId="0" applyFont="1" applyBorder="1" applyAlignment="1">
      <alignment horizontal="center"/>
    </xf>
    <xf numFmtId="0" fontId="28" fillId="0" borderId="235" xfId="0" applyFont="1" applyBorder="1" applyAlignment="1">
      <alignment horizontal="center"/>
    </xf>
    <xf numFmtId="0" fontId="10" fillId="0" borderId="57" xfId="0" applyFont="1" applyBorder="1" applyAlignment="1">
      <alignment horizontal="center" vertical="center"/>
    </xf>
    <xf numFmtId="0" fontId="10" fillId="0" borderId="18" xfId="0" applyFont="1" applyBorder="1" applyAlignment="1">
      <alignment horizontal="center" vertical="center"/>
    </xf>
    <xf numFmtId="0" fontId="10" fillId="0" borderId="58" xfId="0" applyFont="1" applyBorder="1" applyAlignment="1">
      <alignment horizontal="center" vertical="center"/>
    </xf>
    <xf numFmtId="0" fontId="28" fillId="32" borderId="34" xfId="0" applyFont="1" applyFill="1" applyBorder="1" applyAlignment="1">
      <alignment horizontal="center"/>
    </xf>
    <xf numFmtId="0" fontId="28" fillId="32" borderId="28" xfId="0" applyFont="1" applyFill="1" applyBorder="1" applyAlignment="1">
      <alignment horizontal="center"/>
    </xf>
    <xf numFmtId="9" fontId="14" fillId="8" borderId="26" xfId="16" applyFont="1" applyFill="1" applyBorder="1" applyAlignment="1">
      <alignment horizontal="left"/>
    </xf>
    <xf numFmtId="9" fontId="14" fillId="8" borderId="25" xfId="16" applyFont="1" applyFill="1" applyBorder="1" applyAlignment="1">
      <alignment horizontal="left"/>
    </xf>
    <xf numFmtId="0" fontId="28" fillId="32" borderId="26" xfId="0" applyFont="1" applyFill="1" applyBorder="1" applyAlignment="1">
      <alignment horizontal="center"/>
    </xf>
    <xf numFmtId="0" fontId="28" fillId="32" borderId="24" xfId="0" applyFont="1" applyFill="1" applyBorder="1" applyAlignment="1">
      <alignment horizontal="center"/>
    </xf>
    <xf numFmtId="14" fontId="14" fillId="0" borderId="26" xfId="0" applyNumberFormat="1" applyFont="1" applyBorder="1" applyAlignment="1">
      <alignment horizontal="center"/>
    </xf>
    <xf numFmtId="14" fontId="14" fillId="0" borderId="25" xfId="0" applyNumberFormat="1" applyFont="1" applyBorder="1" applyAlignment="1">
      <alignment horizontal="center"/>
    </xf>
    <xf numFmtId="0" fontId="9" fillId="0" borderId="19" xfId="0" applyFont="1" applyBorder="1" applyAlignment="1">
      <alignment horizontal="left"/>
    </xf>
    <xf numFmtId="0" fontId="9" fillId="0" borderId="19" xfId="0" quotePrefix="1" applyFont="1" applyBorder="1" applyAlignment="1">
      <alignment horizontal="left"/>
    </xf>
    <xf numFmtId="0" fontId="48" fillId="31" borderId="30" xfId="0" applyFont="1" applyFill="1" applyBorder="1" applyAlignment="1">
      <alignment horizontal="center" vertical="center" wrapText="1"/>
    </xf>
    <xf numFmtId="0" fontId="48" fillId="31" borderId="55" xfId="0" applyFont="1" applyFill="1" applyBorder="1" applyAlignment="1">
      <alignment horizontal="center" vertical="center" wrapText="1"/>
    </xf>
    <xf numFmtId="0" fontId="48" fillId="5" borderId="49" xfId="0" applyFont="1" applyFill="1" applyBorder="1" applyAlignment="1">
      <alignment horizontal="center"/>
    </xf>
    <xf numFmtId="0" fontId="48" fillId="5" borderId="50" xfId="0" applyFont="1" applyFill="1" applyBorder="1" applyAlignment="1">
      <alignment horizontal="center"/>
    </xf>
    <xf numFmtId="0" fontId="48" fillId="5" borderId="51" xfId="0" applyFont="1" applyFill="1" applyBorder="1" applyAlignment="1">
      <alignment horizontal="center"/>
    </xf>
    <xf numFmtId="168" fontId="0" fillId="0" borderId="217" xfId="0" applyNumberFormat="1" applyBorder="1" applyAlignment="1">
      <alignment horizontal="center"/>
    </xf>
    <xf numFmtId="168" fontId="0" fillId="0" borderId="247" xfId="0" applyNumberFormat="1" applyBorder="1" applyAlignment="1">
      <alignment horizontal="center"/>
    </xf>
    <xf numFmtId="0" fontId="22" fillId="0" borderId="22" xfId="0" applyFont="1" applyBorder="1" applyAlignment="1">
      <alignment horizontal="center" vertical="center" wrapText="1"/>
    </xf>
    <xf numFmtId="0" fontId="22" fillId="0" borderId="26" xfId="0" applyFont="1" applyBorder="1" applyAlignment="1">
      <alignment horizontal="center" vertical="center" wrapText="1"/>
    </xf>
    <xf numFmtId="0" fontId="48" fillId="5" borderId="34" xfId="0" applyFont="1" applyFill="1" applyBorder="1" applyAlignment="1">
      <alignment horizontal="center"/>
    </xf>
    <xf numFmtId="0" fontId="48" fillId="5" borderId="44" xfId="0" applyFont="1" applyFill="1" applyBorder="1" applyAlignment="1">
      <alignment horizontal="center"/>
    </xf>
    <xf numFmtId="0" fontId="48" fillId="5" borderId="22" xfId="0" applyFont="1" applyFill="1" applyBorder="1" applyAlignment="1">
      <alignment horizontal="center"/>
    </xf>
    <xf numFmtId="0" fontId="48" fillId="5" borderId="19" xfId="0" applyFont="1" applyFill="1" applyBorder="1" applyAlignment="1">
      <alignment horizontal="center"/>
    </xf>
    <xf numFmtId="0" fontId="48" fillId="5" borderId="29" xfId="0" applyFont="1" applyFill="1" applyBorder="1" applyAlignment="1">
      <alignment horizontal="center"/>
    </xf>
    <xf numFmtId="0" fontId="14" fillId="0" borderId="24" xfId="0" applyFont="1" applyBorder="1" applyAlignment="1">
      <alignment horizontal="center"/>
    </xf>
    <xf numFmtId="0" fontId="14" fillId="0" borderId="25" xfId="0" applyFont="1" applyBorder="1" applyAlignment="1">
      <alignment horizontal="center"/>
    </xf>
    <xf numFmtId="0" fontId="48" fillId="5" borderId="28" xfId="0" applyFont="1" applyFill="1" applyBorder="1" applyAlignment="1">
      <alignment horizontal="center"/>
    </xf>
    <xf numFmtId="168" fontId="0" fillId="0" borderId="218" xfId="0" applyNumberFormat="1" applyBorder="1" applyAlignment="1">
      <alignment horizontal="center"/>
    </xf>
    <xf numFmtId="168" fontId="0" fillId="0" borderId="248" xfId="0" applyNumberFormat="1" applyBorder="1" applyAlignment="1">
      <alignment horizontal="center"/>
    </xf>
    <xf numFmtId="0" fontId="22" fillId="0" borderId="22" xfId="0" applyFont="1" applyBorder="1" applyAlignment="1">
      <alignment horizontal="center" wrapText="1"/>
    </xf>
    <xf numFmtId="0" fontId="22" fillId="0" borderId="26" xfId="0" applyFont="1" applyBorder="1" applyAlignment="1">
      <alignment horizontal="center" wrapText="1"/>
    </xf>
    <xf numFmtId="0" fontId="67" fillId="8" borderId="19" xfId="0" applyFont="1" applyFill="1" applyBorder="1" applyAlignment="1">
      <alignment horizontal="center" vertical="center" wrapText="1"/>
    </xf>
    <xf numFmtId="0" fontId="35" fillId="8" borderId="251" xfId="0" applyFont="1" applyFill="1" applyBorder="1" applyAlignment="1">
      <alignment horizontal="left" vertical="center" wrapText="1"/>
    </xf>
    <xf numFmtId="0" fontId="0" fillId="8" borderId="252" xfId="0" applyFill="1" applyBorder="1" applyAlignment="1">
      <alignment horizontal="left" vertical="center" wrapText="1"/>
    </xf>
    <xf numFmtId="0" fontId="0" fillId="8" borderId="253" xfId="0" applyFill="1" applyBorder="1" applyAlignment="1">
      <alignment horizontal="left" vertical="center" wrapText="1"/>
    </xf>
    <xf numFmtId="0" fontId="48" fillId="5" borderId="249" xfId="0" applyFont="1" applyFill="1" applyBorder="1" applyAlignment="1">
      <alignment horizontal="center"/>
    </xf>
    <xf numFmtId="0" fontId="48" fillId="5" borderId="119" xfId="0" applyFont="1" applyFill="1" applyBorder="1" applyAlignment="1">
      <alignment horizontal="center"/>
    </xf>
    <xf numFmtId="0" fontId="47" fillId="18" borderId="261" xfId="0" applyFont="1" applyFill="1" applyBorder="1" applyAlignment="1">
      <alignment horizontal="center"/>
    </xf>
    <xf numFmtId="0" fontId="47" fillId="18" borderId="27" xfId="0" applyFont="1" applyFill="1" applyBorder="1" applyAlignment="1">
      <alignment horizontal="center"/>
    </xf>
    <xf numFmtId="0" fontId="47" fillId="18" borderId="236" xfId="0" applyFont="1" applyFill="1" applyBorder="1" applyAlignment="1">
      <alignment horizontal="center"/>
    </xf>
    <xf numFmtId="0" fontId="28" fillId="32" borderId="123" xfId="0" applyFont="1" applyFill="1" applyBorder="1" applyAlignment="1">
      <alignment horizontal="center"/>
    </xf>
    <xf numFmtId="0" fontId="28" fillId="32" borderId="137" xfId="0" applyFont="1" applyFill="1" applyBorder="1" applyAlignment="1">
      <alignment horizontal="center"/>
    </xf>
    <xf numFmtId="0" fontId="28" fillId="32" borderId="147" xfId="0" applyFont="1" applyFill="1" applyBorder="1" applyAlignment="1">
      <alignment horizontal="center"/>
    </xf>
    <xf numFmtId="0" fontId="9" fillId="8" borderId="26" xfId="0" applyFont="1" applyFill="1" applyBorder="1" applyAlignment="1">
      <alignment horizontal="left" vertical="center"/>
    </xf>
    <xf numFmtId="0" fontId="9" fillId="8" borderId="25" xfId="0" applyFont="1" applyFill="1" applyBorder="1" applyAlignment="1">
      <alignment horizontal="left" vertical="center"/>
    </xf>
    <xf numFmtId="167" fontId="10" fillId="12" borderId="262" xfId="0" applyNumberFormat="1" applyFont="1" applyFill="1" applyBorder="1" applyAlignment="1">
      <alignment horizontal="center" vertical="center"/>
    </xf>
    <xf numFmtId="167" fontId="10" fillId="12" borderId="264" xfId="0" applyNumberFormat="1" applyFont="1" applyFill="1" applyBorder="1" applyAlignment="1">
      <alignment horizontal="center" vertical="center"/>
    </xf>
    <xf numFmtId="0" fontId="46" fillId="8" borderId="262" xfId="0" applyFont="1" applyFill="1" applyBorder="1" applyAlignment="1">
      <alignment horizontal="center" vertical="center" wrapText="1"/>
    </xf>
    <xf numFmtId="0" fontId="46" fillId="8" borderId="264" xfId="0" applyFont="1" applyFill="1" applyBorder="1" applyAlignment="1">
      <alignment horizontal="center" vertical="center" wrapText="1"/>
    </xf>
    <xf numFmtId="169" fontId="46" fillId="12" borderId="262" xfId="16" applyNumberFormat="1" applyFont="1" applyFill="1" applyBorder="1" applyAlignment="1">
      <alignment horizontal="center" vertical="center"/>
    </xf>
    <xf numFmtId="169" fontId="46" fillId="12" borderId="264" xfId="16" applyNumberFormat="1" applyFont="1" applyFill="1" applyBorder="1" applyAlignment="1">
      <alignment horizontal="center" vertical="center"/>
    </xf>
    <xf numFmtId="0" fontId="35" fillId="8" borderId="136" xfId="0" applyFont="1" applyFill="1" applyBorder="1" applyAlignment="1">
      <alignment horizontal="left" vertical="center" wrapText="1"/>
    </xf>
    <xf numFmtId="0" fontId="35" fillId="8" borderId="119" xfId="0" applyFont="1" applyFill="1" applyBorder="1" applyAlignment="1">
      <alignment horizontal="left" vertical="center" wrapText="1"/>
    </xf>
    <xf numFmtId="0" fontId="35" fillId="8" borderId="254" xfId="0" applyFont="1" applyFill="1" applyBorder="1" applyAlignment="1">
      <alignment horizontal="left" vertical="center" wrapText="1"/>
    </xf>
    <xf numFmtId="0" fontId="9" fillId="8" borderId="255" xfId="0" applyFont="1" applyFill="1" applyBorder="1" applyAlignment="1">
      <alignment horizontal="left" vertical="center" wrapText="1"/>
    </xf>
    <xf numFmtId="0" fontId="0" fillId="8" borderId="256" xfId="0" applyFill="1" applyBorder="1" applyAlignment="1">
      <alignment horizontal="left" vertical="center" wrapText="1"/>
    </xf>
    <xf numFmtId="0" fontId="0" fillId="8" borderId="257" xfId="0" applyFill="1" applyBorder="1" applyAlignment="1">
      <alignment horizontal="left" vertical="center" wrapText="1"/>
    </xf>
    <xf numFmtId="0" fontId="9" fillId="8" borderId="136" xfId="0" applyFont="1" applyFill="1" applyBorder="1" applyAlignment="1">
      <alignment horizontal="left" vertical="center"/>
    </xf>
    <xf numFmtId="0" fontId="9" fillId="8" borderId="119" xfId="0" applyFont="1" applyFill="1" applyBorder="1" applyAlignment="1">
      <alignment horizontal="left" vertical="center"/>
    </xf>
    <xf numFmtId="0" fontId="9" fillId="8" borderId="254" xfId="0" applyFont="1" applyFill="1" applyBorder="1" applyAlignment="1">
      <alignment horizontal="left" vertical="center"/>
    </xf>
    <xf numFmtId="0" fontId="9" fillId="8" borderId="258" xfId="0" applyFont="1" applyFill="1" applyBorder="1" applyAlignment="1">
      <alignment horizontal="left" vertical="center"/>
    </xf>
    <xf numFmtId="0" fontId="0" fillId="8" borderId="259" xfId="0" applyFill="1" applyBorder="1" applyAlignment="1">
      <alignment horizontal="left" vertical="center"/>
    </xf>
    <xf numFmtId="0" fontId="0" fillId="8" borderId="260" xfId="0" applyFill="1" applyBorder="1" applyAlignment="1">
      <alignment horizontal="left" vertical="center"/>
    </xf>
    <xf numFmtId="0" fontId="48" fillId="5" borderId="10" xfId="0" applyFont="1" applyFill="1" applyBorder="1" applyAlignment="1">
      <alignment horizontal="center"/>
    </xf>
    <xf numFmtId="0" fontId="48" fillId="5" borderId="0" xfId="0" applyFont="1" applyFill="1" applyAlignment="1">
      <alignment horizontal="center"/>
    </xf>
    <xf numFmtId="0" fontId="48" fillId="5" borderId="120" xfId="0" applyFont="1" applyFill="1" applyBorder="1" applyAlignment="1">
      <alignment horizontal="center"/>
    </xf>
    <xf numFmtId="0" fontId="28" fillId="32" borderId="136" xfId="0" applyFont="1" applyFill="1" applyBorder="1" applyAlignment="1">
      <alignment horizontal="center"/>
    </xf>
    <xf numFmtId="0" fontId="28" fillId="32" borderId="119" xfId="0" applyFont="1" applyFill="1" applyBorder="1" applyAlignment="1">
      <alignment horizontal="center"/>
    </xf>
    <xf numFmtId="0" fontId="28" fillId="32" borderId="254" xfId="0" applyFont="1" applyFill="1" applyBorder="1" applyAlignment="1">
      <alignment horizontal="center"/>
    </xf>
    <xf numFmtId="0" fontId="34" fillId="0" borderId="0" xfId="11" applyFont="1" applyBorder="1" applyAlignment="1" applyProtection="1">
      <alignment horizontal="center" vertical="center" wrapText="1"/>
    </xf>
    <xf numFmtId="0" fontId="0" fillId="0" borderId="0" xfId="0" applyAlignment="1">
      <alignment horizontal="left" vertical="center" wrapText="1"/>
    </xf>
    <xf numFmtId="0" fontId="9" fillId="0" borderId="0" xfId="0" applyFont="1" applyAlignment="1">
      <alignment horizontal="left" vertical="center" wrapText="1"/>
    </xf>
    <xf numFmtId="0" fontId="9" fillId="0" borderId="12" xfId="0" applyFont="1" applyBorder="1" applyAlignment="1">
      <alignment horizontal="left" vertical="center" wrapText="1"/>
    </xf>
    <xf numFmtId="0" fontId="35" fillId="0" borderId="42" xfId="0" applyFont="1" applyBorder="1" applyAlignment="1">
      <alignment horizontal="left" vertical="center" wrapText="1"/>
    </xf>
    <xf numFmtId="0" fontId="9" fillId="0" borderId="42" xfId="0" applyFont="1" applyBorder="1" applyAlignment="1">
      <alignment horizontal="left" vertical="center" wrapText="1"/>
    </xf>
    <xf numFmtId="0" fontId="9" fillId="0" borderId="201" xfId="0" applyFont="1" applyBorder="1" applyAlignment="1">
      <alignment horizontal="left" vertical="center" wrapText="1"/>
    </xf>
    <xf numFmtId="0" fontId="32" fillId="5" borderId="75" xfId="0" applyFont="1" applyFill="1" applyBorder="1" applyAlignment="1">
      <alignment horizontal="center" vertical="center"/>
    </xf>
    <xf numFmtId="0" fontId="10" fillId="0" borderId="0" xfId="0" applyFont="1" applyAlignment="1">
      <alignment horizontal="center" vertical="center"/>
    </xf>
    <xf numFmtId="0" fontId="32" fillId="5" borderId="74" xfId="0" applyFont="1" applyFill="1" applyBorder="1" applyAlignment="1">
      <alignment horizontal="center"/>
    </xf>
    <xf numFmtId="0" fontId="32" fillId="5" borderId="75" xfId="0" applyFont="1" applyFill="1" applyBorder="1" applyAlignment="1">
      <alignment horizontal="center"/>
    </xf>
    <xf numFmtId="0" fontId="34" fillId="0" borderId="45" xfId="11" applyFont="1" applyBorder="1" applyAlignment="1" applyProtection="1">
      <alignment horizontal="left" vertical="center" wrapText="1"/>
    </xf>
    <xf numFmtId="0" fontId="34" fillId="0" borderId="0" xfId="11" applyFont="1" applyBorder="1" applyAlignment="1" applyProtection="1">
      <alignment horizontal="left" vertical="center" wrapText="1"/>
    </xf>
    <xf numFmtId="0" fontId="34" fillId="0" borderId="191" xfId="11" applyFont="1" applyBorder="1" applyAlignment="1" applyProtection="1">
      <alignment horizontal="left" vertical="center" wrapText="1"/>
    </xf>
    <xf numFmtId="0" fontId="9" fillId="0" borderId="74" xfId="0" applyFont="1" applyBorder="1" applyAlignment="1">
      <alignment horizontal="center" vertical="center" wrapText="1"/>
    </xf>
    <xf numFmtId="0" fontId="9" fillId="0" borderId="75" xfId="0" applyFont="1" applyBorder="1" applyAlignment="1">
      <alignment horizontal="center" vertical="center" wrapText="1"/>
    </xf>
    <xf numFmtId="0" fontId="9" fillId="0" borderId="76" xfId="0" applyFont="1" applyBorder="1" applyAlignment="1">
      <alignment horizontal="center" vertical="center" wrapText="1"/>
    </xf>
    <xf numFmtId="10" fontId="14" fillId="0" borderId="80" xfId="16" applyNumberFormat="1" applyFont="1" applyBorder="1" applyAlignment="1">
      <alignment horizontal="center"/>
    </xf>
    <xf numFmtId="10" fontId="14" fillId="0" borderId="82" xfId="16" applyNumberFormat="1" applyFont="1" applyBorder="1" applyAlignment="1">
      <alignment horizontal="center"/>
    </xf>
    <xf numFmtId="10" fontId="14" fillId="0" borderId="81" xfId="16" applyNumberFormat="1" applyFont="1" applyBorder="1" applyAlignment="1">
      <alignment horizontal="center"/>
    </xf>
    <xf numFmtId="0" fontId="72" fillId="0" borderId="233" xfId="0" applyFont="1" applyBorder="1" applyAlignment="1">
      <alignment horizontal="center"/>
    </xf>
    <xf numFmtId="0" fontId="72" fillId="0" borderId="92" xfId="0" applyFont="1" applyBorder="1" applyAlignment="1">
      <alignment horizontal="center"/>
    </xf>
    <xf numFmtId="0" fontId="72" fillId="14" borderId="188" xfId="0" applyFont="1" applyFill="1" applyBorder="1" applyAlignment="1">
      <alignment horizontal="center"/>
    </xf>
    <xf numFmtId="0" fontId="72" fillId="14" borderId="41" xfId="0" applyFont="1" applyFill="1" applyBorder="1" applyAlignment="1">
      <alignment horizontal="center"/>
    </xf>
    <xf numFmtId="10" fontId="14" fillId="14" borderId="188" xfId="16" applyNumberFormat="1" applyFont="1" applyFill="1" applyBorder="1" applyAlignment="1">
      <alignment horizontal="center"/>
    </xf>
    <xf numFmtId="10" fontId="14" fillId="14" borderId="41" xfId="16" applyNumberFormat="1" applyFont="1" applyFill="1" applyBorder="1" applyAlignment="1">
      <alignment horizontal="center"/>
    </xf>
    <xf numFmtId="0" fontId="14" fillId="14" borderId="188" xfId="0" applyFont="1" applyFill="1" applyBorder="1" applyAlignment="1">
      <alignment horizontal="center"/>
    </xf>
    <xf numFmtId="0" fontId="14" fillId="14" borderId="232" xfId="0" applyFont="1" applyFill="1" applyBorder="1" applyAlignment="1">
      <alignment horizontal="center"/>
    </xf>
    <xf numFmtId="0" fontId="34" fillId="0" borderId="191" xfId="11" applyFont="1" applyBorder="1" applyAlignment="1" applyProtection="1">
      <alignment horizontal="center" vertical="center" wrapText="1"/>
    </xf>
    <xf numFmtId="0" fontId="14" fillId="14" borderId="70" xfId="0" applyFont="1" applyFill="1" applyBorder="1" applyAlignment="1">
      <alignment horizontal="center"/>
    </xf>
    <xf numFmtId="0" fontId="14" fillId="14" borderId="71" xfId="0" applyFont="1" applyFill="1" applyBorder="1" applyAlignment="1">
      <alignment horizontal="center"/>
    </xf>
    <xf numFmtId="0" fontId="14" fillId="14" borderId="72" xfId="0" applyFont="1" applyFill="1" applyBorder="1" applyAlignment="1">
      <alignment horizontal="center"/>
    </xf>
    <xf numFmtId="0" fontId="14" fillId="24" borderId="188" xfId="0" applyFont="1" applyFill="1" applyBorder="1" applyAlignment="1">
      <alignment horizontal="center"/>
    </xf>
    <xf numFmtId="0" fontId="14" fillId="24" borderId="232" xfId="0" applyFont="1" applyFill="1" applyBorder="1" applyAlignment="1">
      <alignment horizontal="center"/>
    </xf>
    <xf numFmtId="0" fontId="14" fillId="0" borderId="233" xfId="0" applyFont="1" applyBorder="1" applyAlignment="1">
      <alignment horizontal="center"/>
    </xf>
    <xf numFmtId="0" fontId="14" fillId="0" borderId="92" xfId="0" applyFont="1" applyBorder="1" applyAlignment="1">
      <alignment horizontal="center"/>
    </xf>
    <xf numFmtId="0" fontId="14" fillId="0" borderId="80" xfId="0" applyFont="1" applyBorder="1" applyAlignment="1">
      <alignment horizontal="center"/>
    </xf>
    <xf numFmtId="0" fontId="14" fillId="0" borderId="81" xfId="0" applyFont="1" applyBorder="1" applyAlignment="1">
      <alignment horizontal="center"/>
    </xf>
    <xf numFmtId="0" fontId="14" fillId="0" borderId="231" xfId="0" applyFont="1" applyBorder="1" applyAlignment="1">
      <alignment horizontal="center"/>
    </xf>
    <xf numFmtId="0" fontId="14" fillId="0" borderId="186" xfId="0" applyFont="1" applyBorder="1" applyAlignment="1">
      <alignment horizontal="center"/>
    </xf>
    <xf numFmtId="0" fontId="96" fillId="8" borderId="52" xfId="0" applyFont="1" applyFill="1" applyBorder="1" applyAlignment="1">
      <alignment horizontal="center"/>
    </xf>
    <xf numFmtId="0" fontId="96" fillId="8" borderId="0" xfId="0" applyFont="1" applyFill="1" applyAlignment="1">
      <alignment horizontal="center"/>
    </xf>
    <xf numFmtId="0" fontId="96" fillId="8" borderId="53" xfId="0" applyFont="1" applyFill="1" applyBorder="1" applyAlignment="1">
      <alignment horizontal="center"/>
    </xf>
    <xf numFmtId="0" fontId="34" fillId="0" borderId="189" xfId="11" applyFont="1" applyBorder="1" applyAlignment="1" applyProtection="1">
      <alignment horizontal="center" vertical="center"/>
    </xf>
    <xf numFmtId="0" fontId="34" fillId="0" borderId="190" xfId="11" applyFont="1" applyBorder="1" applyAlignment="1" applyProtection="1">
      <alignment horizontal="center" vertical="center"/>
    </xf>
    <xf numFmtId="0" fontId="34" fillId="0" borderId="43" xfId="11" applyFont="1" applyBorder="1" applyAlignment="1" applyProtection="1">
      <alignment horizontal="center" vertical="center"/>
    </xf>
    <xf numFmtId="10" fontId="14" fillId="0" borderId="231" xfId="16" applyNumberFormat="1" applyFont="1" applyBorder="1" applyAlignment="1">
      <alignment horizontal="center"/>
    </xf>
    <xf numFmtId="10" fontId="14" fillId="0" borderId="156" xfId="16" applyNumberFormat="1" applyFont="1" applyBorder="1" applyAlignment="1">
      <alignment horizontal="center"/>
    </xf>
    <xf numFmtId="10" fontId="14" fillId="0" borderId="186" xfId="16" applyNumberFormat="1" applyFont="1" applyBorder="1" applyAlignment="1">
      <alignment horizontal="center"/>
    </xf>
    <xf numFmtId="0" fontId="72" fillId="0" borderId="80" xfId="0" applyFont="1" applyBorder="1" applyAlignment="1">
      <alignment horizontal="center"/>
    </xf>
    <xf numFmtId="0" fontId="72" fillId="0" borderId="81" xfId="0" applyFont="1" applyBorder="1" applyAlignment="1">
      <alignment horizontal="center"/>
    </xf>
    <xf numFmtId="0" fontId="72" fillId="0" borderId="231" xfId="0" applyFont="1" applyBorder="1" applyAlignment="1">
      <alignment horizontal="center"/>
    </xf>
    <xf numFmtId="0" fontId="72" fillId="0" borderId="186" xfId="0" applyFont="1" applyBorder="1" applyAlignment="1">
      <alignment horizontal="center"/>
    </xf>
    <xf numFmtId="10" fontId="14" fillId="0" borderId="233" xfId="16" applyNumberFormat="1" applyFont="1" applyBorder="1" applyAlignment="1">
      <alignment horizontal="center"/>
    </xf>
    <xf numFmtId="10" fontId="14" fillId="0" borderId="159" xfId="16" applyNumberFormat="1" applyFont="1" applyBorder="1" applyAlignment="1">
      <alignment horizontal="center"/>
    </xf>
    <xf numFmtId="10" fontId="14" fillId="0" borderId="92" xfId="16" applyNumberFormat="1" applyFont="1" applyBorder="1" applyAlignment="1">
      <alignment horizontal="center"/>
    </xf>
    <xf numFmtId="0" fontId="32" fillId="5" borderId="52" xfId="0" applyFont="1" applyFill="1" applyBorder="1" applyAlignment="1">
      <alignment horizontal="center"/>
    </xf>
    <xf numFmtId="0" fontId="32" fillId="5" borderId="0" xfId="0" applyFont="1" applyFill="1" applyAlignment="1">
      <alignment horizontal="center"/>
    </xf>
    <xf numFmtId="0" fontId="32" fillId="5" borderId="53" xfId="0" applyFont="1" applyFill="1" applyBorder="1" applyAlignment="1">
      <alignment horizontal="center"/>
    </xf>
    <xf numFmtId="0" fontId="47" fillId="5" borderId="0" xfId="0" applyFont="1" applyFill="1" applyAlignment="1">
      <alignment horizontal="center"/>
    </xf>
    <xf numFmtId="0" fontId="32" fillId="18" borderId="52" xfId="0" applyFont="1" applyFill="1" applyBorder="1" applyAlignment="1">
      <alignment horizontal="center"/>
    </xf>
    <xf numFmtId="0" fontId="32" fillId="18" borderId="0" xfId="0" applyFont="1" applyFill="1" applyAlignment="1">
      <alignment horizontal="center"/>
    </xf>
    <xf numFmtId="0" fontId="47" fillId="5" borderId="70" xfId="0" applyFont="1" applyFill="1" applyBorder="1" applyAlignment="1">
      <alignment horizontal="center"/>
    </xf>
    <xf numFmtId="0" fontId="47" fillId="5" borderId="71" xfId="0" applyFont="1" applyFill="1" applyBorder="1" applyAlignment="1">
      <alignment horizontal="center"/>
    </xf>
    <xf numFmtId="0" fontId="10" fillId="0" borderId="73" xfId="0" applyFont="1" applyBorder="1" applyAlignment="1">
      <alignment horizontal="center" vertical="center"/>
    </xf>
    <xf numFmtId="0" fontId="10" fillId="0" borderId="78" xfId="0" applyFont="1" applyBorder="1" applyAlignment="1">
      <alignment horizontal="center" vertical="center"/>
    </xf>
    <xf numFmtId="0" fontId="32" fillId="5" borderId="76" xfId="0" applyFont="1" applyFill="1" applyBorder="1" applyAlignment="1">
      <alignment horizontal="center"/>
    </xf>
    <xf numFmtId="0" fontId="9" fillId="0" borderId="95" xfId="0" applyFont="1" applyBorder="1" applyAlignment="1">
      <alignment horizontal="center" vertical="center" wrapText="1"/>
    </xf>
    <xf numFmtId="0" fontId="0" fillId="0" borderId="41" xfId="0" applyBorder="1" applyAlignment="1">
      <alignment horizontal="center" vertical="center" wrapText="1"/>
    </xf>
    <xf numFmtId="0" fontId="35" fillId="0" borderId="192" xfId="0" applyFont="1" applyBorder="1" applyAlignment="1">
      <alignment horizontal="center" vertical="center" wrapText="1"/>
    </xf>
    <xf numFmtId="0" fontId="0" fillId="0" borderId="18" xfId="0" applyBorder="1" applyAlignment="1">
      <alignment horizontal="center" vertical="center" wrapText="1"/>
    </xf>
    <xf numFmtId="0" fontId="35" fillId="0" borderId="196" xfId="0" applyFont="1" applyBorder="1" applyAlignment="1">
      <alignment horizontal="center" vertical="center" wrapText="1"/>
    </xf>
    <xf numFmtId="0" fontId="35" fillId="0" borderId="194" xfId="0" applyFont="1" applyBorder="1" applyAlignment="1">
      <alignment horizontal="center" vertical="center" wrapText="1"/>
    </xf>
    <xf numFmtId="0" fontId="35" fillId="0" borderId="195" xfId="0" applyFont="1" applyBorder="1" applyAlignment="1">
      <alignment horizontal="center" vertical="center" wrapText="1"/>
    </xf>
    <xf numFmtId="0" fontId="35" fillId="0" borderId="18" xfId="0" applyFont="1" applyBorder="1" applyAlignment="1">
      <alignment horizontal="center" vertical="center" wrapText="1"/>
    </xf>
    <xf numFmtId="0" fontId="35" fillId="0" borderId="197" xfId="0" applyFont="1" applyBorder="1" applyAlignment="1">
      <alignment horizontal="center" vertical="center" wrapText="1"/>
    </xf>
    <xf numFmtId="0" fontId="0" fillId="0" borderId="73" xfId="0" applyBorder="1" applyAlignment="1">
      <alignment horizontal="center" vertical="center" wrapText="1"/>
    </xf>
    <xf numFmtId="0" fontId="0" fillId="0" borderId="77" xfId="0" applyBorder="1" applyAlignment="1">
      <alignment horizontal="center" vertical="center" wrapText="1"/>
    </xf>
    <xf numFmtId="0" fontId="32" fillId="5" borderId="70" xfId="0" applyFont="1" applyFill="1" applyBorder="1" applyAlignment="1">
      <alignment horizontal="center"/>
    </xf>
    <xf numFmtId="0" fontId="32" fillId="5" borderId="71" xfId="0" applyFont="1" applyFill="1" applyBorder="1" applyAlignment="1">
      <alignment horizontal="center"/>
    </xf>
    <xf numFmtId="0" fontId="47" fillId="5" borderId="75" xfId="0" applyFont="1" applyFill="1" applyBorder="1" applyAlignment="1">
      <alignment horizontal="center"/>
    </xf>
    <xf numFmtId="0" fontId="47" fillId="5" borderId="76" xfId="0" applyFont="1" applyFill="1" applyBorder="1" applyAlignment="1">
      <alignment horizontal="center"/>
    </xf>
    <xf numFmtId="0" fontId="10" fillId="0" borderId="74" xfId="0" applyFont="1" applyBorder="1" applyAlignment="1">
      <alignment horizontal="center" vertical="center"/>
    </xf>
    <xf numFmtId="0" fontId="10" fillId="0" borderId="76" xfId="0" applyFont="1" applyBorder="1" applyAlignment="1">
      <alignment horizontal="center" vertical="center"/>
    </xf>
    <xf numFmtId="0" fontId="10" fillId="0" borderId="193" xfId="0" applyFont="1" applyBorder="1" applyAlignment="1">
      <alignment horizontal="center" vertical="center"/>
    </xf>
    <xf numFmtId="0" fontId="10" fillId="0" borderId="195" xfId="0" applyFont="1" applyBorder="1" applyAlignment="1">
      <alignment horizontal="center" vertical="center"/>
    </xf>
    <xf numFmtId="0" fontId="10" fillId="0" borderId="70" xfId="0" applyFont="1" applyBorder="1" applyAlignment="1">
      <alignment horizontal="center" vertical="center"/>
    </xf>
    <xf numFmtId="0" fontId="10" fillId="0" borderId="72" xfId="0" applyFont="1" applyBorder="1" applyAlignment="1">
      <alignment horizontal="center" vertical="center"/>
    </xf>
    <xf numFmtId="0" fontId="14" fillId="24" borderId="93" xfId="0" applyFont="1" applyFill="1" applyBorder="1" applyAlignment="1">
      <alignment horizontal="center"/>
    </xf>
    <xf numFmtId="0" fontId="9" fillId="0" borderId="79" xfId="0" applyFont="1" applyBorder="1" applyAlignment="1">
      <alignment horizontal="center" vertical="center" wrapText="1"/>
    </xf>
    <xf numFmtId="0" fontId="9" fillId="0" borderId="185" xfId="0" applyFont="1" applyBorder="1" applyAlignment="1">
      <alignment horizontal="center" vertical="center" wrapText="1"/>
    </xf>
    <xf numFmtId="0" fontId="14" fillId="14" borderId="74" xfId="0" applyFont="1" applyFill="1" applyBorder="1" applyAlignment="1">
      <alignment horizontal="center"/>
    </xf>
    <xf numFmtId="0" fontId="14" fillId="14" borderId="75" xfId="0" applyFont="1" applyFill="1" applyBorder="1" applyAlignment="1">
      <alignment horizontal="center"/>
    </xf>
    <xf numFmtId="0" fontId="14" fillId="24" borderId="41" xfId="0" applyFont="1" applyFill="1" applyBorder="1" applyAlignment="1">
      <alignment horizontal="center"/>
    </xf>
    <xf numFmtId="0" fontId="14" fillId="14" borderId="76" xfId="0" applyFont="1" applyFill="1" applyBorder="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95" fillId="0" borderId="106" xfId="0" applyFont="1" applyBorder="1" applyAlignment="1">
      <alignment horizontal="center" vertical="center" wrapText="1"/>
    </xf>
    <xf numFmtId="0" fontId="41" fillId="0" borderId="107" xfId="0" applyFont="1" applyBorder="1" applyAlignment="1">
      <alignment horizontal="center" vertical="center" wrapText="1"/>
    </xf>
    <xf numFmtId="0" fontId="41" fillId="0" borderId="205" xfId="0" applyFont="1" applyBorder="1" applyAlignment="1">
      <alignment horizontal="center" vertical="center" wrapText="1"/>
    </xf>
    <xf numFmtId="0" fontId="51" fillId="5" borderId="67" xfId="0" applyFont="1" applyFill="1" applyBorder="1" applyAlignment="1">
      <alignment horizontal="center"/>
    </xf>
    <xf numFmtId="0" fontId="51" fillId="5" borderId="204" xfId="0" applyFont="1" applyFill="1" applyBorder="1" applyAlignment="1">
      <alignment horizontal="center"/>
    </xf>
    <xf numFmtId="0" fontId="35" fillId="0" borderId="0" xfId="0" applyFont="1" applyAlignment="1">
      <alignment horizontal="center"/>
    </xf>
    <xf numFmtId="0" fontId="0" fillId="0" borderId="0" xfId="0" applyAlignment="1">
      <alignment horizontal="center"/>
    </xf>
    <xf numFmtId="2" fontId="0" fillId="0" borderId="0" xfId="26" applyNumberFormat="1" applyFont="1" applyAlignment="1">
      <alignment horizontal="center"/>
    </xf>
    <xf numFmtId="0" fontId="17" fillId="18" borderId="108" xfId="1" applyFill="1" applyBorder="1" applyAlignment="1">
      <alignment horizontal="center" vertical="center" readingOrder="1"/>
    </xf>
    <xf numFmtId="0" fontId="54" fillId="18" borderId="108" xfId="26" applyFont="1" applyFill="1" applyBorder="1" applyAlignment="1">
      <alignment horizontal="center"/>
    </xf>
    <xf numFmtId="0" fontId="0" fillId="0" borderId="0" xfId="26" applyFont="1" applyAlignment="1">
      <alignment horizontal="center"/>
    </xf>
    <xf numFmtId="0" fontId="9" fillId="40" borderId="136" xfId="0" applyFont="1" applyFill="1" applyBorder="1" applyAlignment="1">
      <alignment horizontal="center"/>
    </xf>
    <xf numFmtId="0" fontId="9" fillId="40" borderId="119" xfId="0" applyFont="1" applyFill="1" applyBorder="1" applyAlignment="1">
      <alignment horizontal="center"/>
    </xf>
    <xf numFmtId="0" fontId="9" fillId="40" borderId="0" xfId="0" applyFont="1" applyFill="1" applyAlignment="1">
      <alignment horizontal="center"/>
    </xf>
    <xf numFmtId="0" fontId="9" fillId="40" borderId="137" xfId="0" applyFont="1" applyFill="1" applyBorder="1" applyAlignment="1">
      <alignment horizontal="center"/>
    </xf>
    <xf numFmtId="0" fontId="9" fillId="40" borderId="175" xfId="0" applyFont="1" applyFill="1" applyBorder="1" applyAlignment="1">
      <alignment horizontal="center"/>
    </xf>
    <xf numFmtId="0" fontId="65" fillId="0" borderId="3" xfId="29" applyFont="1" applyBorder="1" applyAlignment="1">
      <alignment horizontal="center" vertical="center"/>
    </xf>
    <xf numFmtId="0" fontId="65" fillId="0" borderId="2" xfId="29" applyFont="1" applyBorder="1" applyAlignment="1">
      <alignment horizontal="center" vertical="center"/>
    </xf>
    <xf numFmtId="0" fontId="56" fillId="37" borderId="0" xfId="0" applyFont="1" applyFill="1" applyAlignment="1">
      <alignment horizontal="left" vertical="center"/>
    </xf>
    <xf numFmtId="0" fontId="56" fillId="37" borderId="137" xfId="0" applyFont="1" applyFill="1" applyBorder="1" applyAlignment="1">
      <alignment horizontal="left" vertical="center"/>
    </xf>
    <xf numFmtId="0" fontId="57" fillId="0" borderId="3" xfId="0" applyFont="1" applyBorder="1" applyAlignment="1">
      <alignment horizontal="center" vertical="center"/>
    </xf>
    <xf numFmtId="0" fontId="57" fillId="0" borderId="4" xfId="0" applyFont="1" applyBorder="1" applyAlignment="1">
      <alignment horizontal="center" vertical="center"/>
    </xf>
    <xf numFmtId="0" fontId="57" fillId="0" borderId="2" xfId="0" applyFont="1" applyBorder="1" applyAlignment="1">
      <alignment horizontal="center" vertical="center"/>
    </xf>
    <xf numFmtId="0" fontId="14" fillId="0" borderId="124" xfId="0" applyFont="1" applyBorder="1" applyAlignment="1">
      <alignment horizontal="center" vertical="center" wrapText="1"/>
    </xf>
    <xf numFmtId="0" fontId="57" fillId="0" borderId="125" xfId="0" applyFont="1" applyBorder="1" applyAlignment="1">
      <alignment horizontal="center" vertical="center" wrapText="1"/>
    </xf>
    <xf numFmtId="0" fontId="57" fillId="0" borderId="121" xfId="0" applyFont="1" applyBorder="1" applyAlignment="1">
      <alignment horizontal="center" vertical="center" wrapText="1"/>
    </xf>
    <xf numFmtId="0" fontId="57" fillId="0" borderId="122" xfId="0" applyFont="1" applyBorder="1" applyAlignment="1">
      <alignment horizontal="center" vertical="center" wrapText="1"/>
    </xf>
    <xf numFmtId="0" fontId="62" fillId="28" borderId="124" xfId="0" applyFont="1" applyFill="1" applyBorder="1" applyAlignment="1">
      <alignment horizontal="center"/>
    </xf>
    <xf numFmtId="0" fontId="62" fillId="28" borderId="0" xfId="0" applyFont="1" applyFill="1" applyAlignment="1">
      <alignment horizontal="center"/>
    </xf>
    <xf numFmtId="0" fontId="62" fillId="28" borderId="120" xfId="0" applyFont="1" applyFill="1" applyBorder="1" applyAlignment="1">
      <alignment horizontal="center"/>
    </xf>
    <xf numFmtId="0" fontId="55" fillId="12" borderId="124" xfId="0" applyFont="1" applyFill="1" applyBorder="1" applyAlignment="1">
      <alignment horizontal="center"/>
    </xf>
    <xf numFmtId="0" fontId="55" fillId="12" borderId="119" xfId="0" applyFont="1" applyFill="1" applyBorder="1" applyAlignment="1">
      <alignment horizontal="center"/>
    </xf>
    <xf numFmtId="0" fontId="55" fillId="12" borderId="137" xfId="0" applyFont="1" applyFill="1" applyBorder="1" applyAlignment="1">
      <alignment horizontal="center"/>
    </xf>
    <xf numFmtId="0" fontId="55" fillId="12" borderId="0" xfId="0" applyFont="1" applyFill="1" applyAlignment="1">
      <alignment horizontal="center"/>
    </xf>
    <xf numFmtId="0" fontId="55" fillId="12" borderId="120" xfId="0" applyFont="1" applyFill="1" applyBorder="1" applyAlignment="1">
      <alignment horizontal="center"/>
    </xf>
    <xf numFmtId="0" fontId="55" fillId="40" borderId="124" xfId="0" applyFont="1" applyFill="1" applyBorder="1" applyAlignment="1">
      <alignment horizontal="center"/>
    </xf>
    <xf numFmtId="0" fontId="55" fillId="40" borderId="119" xfId="0" applyFont="1" applyFill="1" applyBorder="1" applyAlignment="1">
      <alignment horizontal="center"/>
    </xf>
    <xf numFmtId="0" fontId="55" fillId="40" borderId="137" xfId="0" applyFont="1" applyFill="1" applyBorder="1" applyAlignment="1">
      <alignment horizontal="center"/>
    </xf>
    <xf numFmtId="0" fontId="55" fillId="40" borderId="147" xfId="0" applyFont="1" applyFill="1" applyBorder="1" applyAlignment="1">
      <alignment horizontal="center"/>
    </xf>
    <xf numFmtId="0" fontId="57" fillId="0" borderId="121" xfId="0" applyFont="1" applyBorder="1" applyAlignment="1">
      <alignment horizontal="center" vertical="center"/>
    </xf>
    <xf numFmtId="0" fontId="57" fillId="0" borderId="125" xfId="0" applyFont="1" applyBorder="1" applyAlignment="1">
      <alignment horizontal="center" vertical="center"/>
    </xf>
    <xf numFmtId="0" fontId="57" fillId="0" borderId="122" xfId="0" applyFont="1" applyBorder="1" applyAlignment="1">
      <alignment horizontal="center" vertical="center"/>
    </xf>
    <xf numFmtId="0" fontId="57" fillId="0" borderId="164" xfId="0" applyFont="1" applyBorder="1" applyAlignment="1">
      <alignment horizontal="center" vertical="center"/>
    </xf>
    <xf numFmtId="0" fontId="57" fillId="0" borderId="165" xfId="0" applyFont="1" applyBorder="1" applyAlignment="1">
      <alignment horizontal="center" vertical="center"/>
    </xf>
    <xf numFmtId="0" fontId="74" fillId="7" borderId="0" xfId="0" applyFont="1" applyFill="1" applyAlignment="1">
      <alignment horizontal="center"/>
    </xf>
    <xf numFmtId="0" fontId="9" fillId="24" borderId="0" xfId="0" applyFont="1" applyFill="1" applyAlignment="1">
      <alignment horizontal="center"/>
    </xf>
    <xf numFmtId="0" fontId="0" fillId="24" borderId="0" xfId="0" applyFill="1" applyAlignment="1">
      <alignment horizontal="center"/>
    </xf>
    <xf numFmtId="3" fontId="14" fillId="12" borderId="0" xfId="0" applyNumberFormat="1" applyFont="1" applyFill="1" applyAlignment="1">
      <alignment horizontal="center"/>
    </xf>
    <xf numFmtId="0" fontId="9" fillId="49" borderId="0" xfId="0" applyFont="1" applyFill="1" applyAlignment="1">
      <alignment horizontal="center"/>
    </xf>
    <xf numFmtId="0" fontId="0" fillId="49" borderId="0" xfId="0" applyFill="1" applyAlignment="1">
      <alignment horizontal="center"/>
    </xf>
    <xf numFmtId="0" fontId="45" fillId="0" borderId="0" xfId="0" applyFont="1" applyAlignment="1">
      <alignment horizontal="center"/>
    </xf>
    <xf numFmtId="0" fontId="10" fillId="0" borderId="0" xfId="0" applyFont="1" applyAlignment="1">
      <alignment horizontal="center"/>
    </xf>
    <xf numFmtId="0" fontId="40" fillId="0" borderId="0" xfId="0" applyFont="1" applyAlignment="1">
      <alignment horizontal="center"/>
    </xf>
    <xf numFmtId="0" fontId="36" fillId="0" borderId="0" xfId="0" applyFont="1" applyAlignment="1">
      <alignment horizontal="center"/>
    </xf>
    <xf numFmtId="1" fontId="36" fillId="0" borderId="0" xfId="0" applyNumberFormat="1" applyFont="1" applyAlignment="1">
      <alignment horizontal="center"/>
    </xf>
    <xf numFmtId="0" fontId="24" fillId="0" borderId="0" xfId="0" applyFont="1" applyAlignment="1">
      <alignment horizontal="center"/>
    </xf>
    <xf numFmtId="0" fontId="36" fillId="19" borderId="0" xfId="0" applyFont="1" applyFill="1" applyAlignment="1">
      <alignment horizontal="center"/>
    </xf>
    <xf numFmtId="4" fontId="36" fillId="19" borderId="0" xfId="0" applyNumberFormat="1" applyFont="1" applyFill="1" applyAlignment="1">
      <alignment horizontal="center"/>
    </xf>
    <xf numFmtId="0" fontId="88" fillId="52" borderId="46" xfId="35" applyFill="1" applyBorder="1" applyAlignment="1">
      <alignment horizontal="left"/>
    </xf>
    <xf numFmtId="0" fontId="88" fillId="52" borderId="1" xfId="35" applyFill="1" applyBorder="1" applyAlignment="1">
      <alignment horizontal="left"/>
    </xf>
    <xf numFmtId="0" fontId="88" fillId="52" borderId="229" xfId="35" applyFill="1" applyBorder="1" applyAlignment="1">
      <alignment horizontal="left"/>
    </xf>
    <xf numFmtId="0" fontId="88" fillId="52" borderId="35" xfId="35" applyFill="1" applyBorder="1" applyAlignment="1">
      <alignment horizontal="left"/>
    </xf>
    <xf numFmtId="0" fontId="88" fillId="52" borderId="5" xfId="35" applyFill="1" applyBorder="1" applyAlignment="1">
      <alignment horizontal="left"/>
    </xf>
    <xf numFmtId="0" fontId="88" fillId="52" borderId="230" xfId="35" applyFill="1" applyBorder="1" applyAlignment="1">
      <alignment horizontal="left"/>
    </xf>
    <xf numFmtId="15" fontId="86" fillId="52" borderId="168" xfId="38" applyNumberFormat="1" applyFont="1" applyFill="1" applyBorder="1" applyAlignment="1">
      <alignment horizontal="left"/>
    </xf>
    <xf numFmtId="15" fontId="86" fillId="52" borderId="219" xfId="38" applyNumberFormat="1" applyFont="1" applyFill="1" applyBorder="1" applyAlignment="1">
      <alignment horizontal="left"/>
    </xf>
    <xf numFmtId="15" fontId="86" fillId="52" borderId="228" xfId="38" applyNumberFormat="1" applyFont="1" applyFill="1" applyBorder="1" applyAlignment="1">
      <alignment horizontal="left"/>
    </xf>
    <xf numFmtId="0" fontId="89" fillId="52" borderId="46" xfId="38" applyFont="1" applyFill="1" applyBorder="1" applyAlignment="1">
      <alignment horizontal="left"/>
    </xf>
    <xf numFmtId="0" fontId="89" fillId="52" borderId="1" xfId="38" applyFont="1" applyFill="1" applyBorder="1" applyAlignment="1">
      <alignment horizontal="left"/>
    </xf>
    <xf numFmtId="0" fontId="89" fillId="52" borderId="47" xfId="38" applyFont="1" applyFill="1" applyBorder="1" applyAlignment="1">
      <alignment horizontal="left"/>
    </xf>
    <xf numFmtId="0" fontId="89" fillId="52" borderId="229" xfId="38" applyFont="1" applyFill="1" applyBorder="1" applyAlignment="1">
      <alignment horizontal="left"/>
    </xf>
    <xf numFmtId="15" fontId="88" fillId="52" borderId="46" xfId="35" applyNumberFormat="1" applyFill="1" applyBorder="1" applyAlignment="1">
      <alignment horizontal="left"/>
    </xf>
    <xf numFmtId="15" fontId="88" fillId="52" borderId="1" xfId="35" applyNumberFormat="1" applyFill="1" applyBorder="1" applyAlignment="1">
      <alignment horizontal="left"/>
    </xf>
    <xf numFmtId="15" fontId="88" fillId="52" borderId="229" xfId="35" applyNumberFormat="1" applyFill="1" applyBorder="1" applyAlignment="1">
      <alignment horizontal="left"/>
    </xf>
    <xf numFmtId="0" fontId="88" fillId="52" borderId="46" xfId="35" applyFill="1" applyBorder="1" applyAlignment="1"/>
    <xf numFmtId="0" fontId="88" fillId="52" borderId="1" xfId="35" applyFill="1" applyBorder="1" applyAlignment="1"/>
    <xf numFmtId="0" fontId="88" fillId="52" borderId="229" xfId="35" applyFill="1" applyBorder="1" applyAlignment="1"/>
    <xf numFmtId="0" fontId="14" fillId="0" borderId="3" xfId="0" applyFont="1" applyBorder="1" applyAlignment="1">
      <alignment horizontal="center"/>
    </xf>
    <xf numFmtId="0" fontId="14" fillId="0" borderId="2" xfId="0" applyFont="1" applyBorder="1" applyAlignment="1">
      <alignment horizontal="center"/>
    </xf>
    <xf numFmtId="0" fontId="14" fillId="0" borderId="35" xfId="0" applyFont="1" applyBorder="1" applyAlignment="1">
      <alignment horizontal="center"/>
    </xf>
    <xf numFmtId="0" fontId="14" fillId="0" borderId="5" xfId="0" applyFont="1" applyBorder="1" applyAlignment="1">
      <alignment horizontal="center"/>
    </xf>
    <xf numFmtId="0" fontId="14" fillId="0" borderId="36" xfId="0" applyFont="1" applyBorder="1" applyAlignment="1">
      <alignment horizontal="center"/>
    </xf>
    <xf numFmtId="0" fontId="88" fillId="52" borderId="222" xfId="35" applyFill="1" applyBorder="1" applyAlignment="1">
      <alignment horizontal="left"/>
    </xf>
    <xf numFmtId="15" fontId="86" fillId="52" borderId="168" xfId="34" applyNumberFormat="1" applyFont="1" applyFill="1" applyBorder="1" applyAlignment="1">
      <alignment horizontal="left"/>
    </xf>
    <xf numFmtId="15" fontId="86" fillId="52" borderId="219" xfId="34" applyNumberFormat="1" applyFont="1" applyFill="1" applyBorder="1" applyAlignment="1">
      <alignment horizontal="left"/>
    </xf>
    <xf numFmtId="0" fontId="87" fillId="7" borderId="189" xfId="34" applyFont="1" applyFill="1" applyBorder="1" applyAlignment="1">
      <alignment horizontal="center" vertical="top" wrapText="1"/>
    </xf>
    <xf numFmtId="0" fontId="87" fillId="7" borderId="43" xfId="34" applyFont="1" applyFill="1" applyBorder="1" applyAlignment="1">
      <alignment horizontal="center" vertical="top"/>
    </xf>
    <xf numFmtId="0" fontId="87" fillId="7" borderId="45" xfId="34" applyFont="1" applyFill="1" applyBorder="1" applyAlignment="1">
      <alignment horizontal="center" vertical="top"/>
    </xf>
    <xf numFmtId="0" fontId="87" fillId="7" borderId="191" xfId="34" applyFont="1" applyFill="1" applyBorder="1" applyAlignment="1">
      <alignment horizontal="center" vertical="top"/>
    </xf>
    <xf numFmtId="0" fontId="87" fillId="7" borderId="220" xfId="34" applyFont="1" applyFill="1" applyBorder="1" applyAlignment="1">
      <alignment horizontal="center" vertical="top"/>
    </xf>
    <xf numFmtId="0" fontId="87" fillId="7" borderId="145" xfId="34" applyFont="1" applyFill="1" applyBorder="1" applyAlignment="1">
      <alignment horizontal="center" vertical="top"/>
    </xf>
    <xf numFmtId="0" fontId="89" fillId="52" borderId="46" xfId="34" applyFont="1" applyFill="1" applyBorder="1" applyAlignment="1">
      <alignment horizontal="left"/>
    </xf>
    <xf numFmtId="0" fontId="89" fillId="52" borderId="1" xfId="34" applyFont="1" applyFill="1" applyBorder="1" applyAlignment="1">
      <alignment horizontal="left"/>
    </xf>
    <xf numFmtId="0" fontId="89" fillId="52" borderId="47" xfId="34" applyFont="1" applyFill="1" applyBorder="1" applyAlignment="1">
      <alignment horizontal="left"/>
    </xf>
    <xf numFmtId="0" fontId="11" fillId="52" borderId="46" xfId="11" applyFill="1" applyBorder="1" applyAlignment="1" applyProtection="1">
      <alignment horizontal="left"/>
    </xf>
    <xf numFmtId="0" fontId="0" fillId="0" borderId="10" xfId="0" applyBorder="1" applyAlignment="1"/>
  </cellXfs>
  <cellStyles count="40">
    <cellStyle name="blp_title_header_row_left" xfId="1" xr:uid="{00000000-0005-0000-0000-000000000000}"/>
    <cellStyle name="Comma" xfId="33" builtinId="3"/>
    <cellStyle name="Currency 2" xfId="37" xr:uid="{01A349DA-896F-3647-A8D8-DFA86B006E3D}"/>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Hyperlink" xfId="11" builtinId="8"/>
    <cellStyle name="Hyperlink 2" xfId="35" xr:uid="{1FB93B5F-FE9E-D14B-9CCA-8A10E21BD578}"/>
    <cellStyle name="Moneda 2" xfId="12" xr:uid="{00000000-0005-0000-0000-00000B000000}"/>
    <cellStyle name="Moneda 2 2" xfId="13" xr:uid="{00000000-0005-0000-0000-00000C000000}"/>
    <cellStyle name="Normal" xfId="0" builtinId="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4" xfId="21" xr:uid="{DBC68614-B0BC-4348-8A0D-C96562B201CF}"/>
    <cellStyle name="Normal 3" xfId="24" xr:uid="{371B90F0-6B8E-40BF-8358-D28B574437C9}"/>
    <cellStyle name="Normal 3 2" xfId="26" xr:uid="{41BD78A2-6B23-4ADD-839D-9D86F14E11A2}"/>
    <cellStyle name="Normal 3 3" xfId="29" xr:uid="{4CBFF9A4-05AD-4A91-8AF0-FA0B5B39E2EC}"/>
    <cellStyle name="Normal 4" xfId="34" xr:uid="{7DF30D28-37E1-494E-ADE8-B99E1A3566DC}"/>
    <cellStyle name="Normal 5" xfId="30" xr:uid="{E3BE1569-E214-4855-8BF5-B868B88B5743}"/>
    <cellStyle name="Normal 6" xfId="38" xr:uid="{54B65131-5B01-5840-AA47-7C44E65CE4AE}"/>
    <cellStyle name="Per cent 2" xfId="36" xr:uid="{AFCD1184-0799-5548-A0B5-C854AD01144F}"/>
    <cellStyle name="Per cent 3" xfId="39" xr:uid="{14FCBCAF-819C-7346-AE74-26E1763E0FBD}"/>
    <cellStyle name="Percent" xfId="16" builtinId="5"/>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3" xfId="19" xr:uid="{00000000-0005-0000-0000-000014000000}"/>
    <cellStyle name="Porcentaje 3 2" xfId="22" xr:uid="{59E732CE-B697-4AF7-8CEE-0C42EB60E78B}"/>
    <cellStyle name="Porcentaje 4 2" xfId="32" xr:uid="{C6A0E8B8-33DC-4334-89A4-99FF669E5EA8}"/>
    <cellStyle name="Porcentaje 5" xfId="31" xr:uid="{F07CEC0B-CE59-4BBC-A0C7-9B77A84167BF}"/>
  </cellStyles>
  <dxfs count="58">
    <dxf>
      <font>
        <b/>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2"/>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numFmt numFmtId="166"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66"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66"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numFmt numFmtId="166"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numFmt numFmtId="166"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9"/>
        <color auto="1"/>
        <name val="Geneva"/>
        <family val="2"/>
        <charset val="1"/>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0" defaultTableStyle="TableStyleMedium9" defaultPivotStyle="PivotStyleLight16"/>
  <colors>
    <mruColors>
      <color rgb="FF63CB97"/>
      <color rgb="FF1B7087"/>
      <color rgb="FFFF3399"/>
      <color rgb="FF1F497D"/>
      <color rgb="FFC5D9F1"/>
      <color rgb="FF3174C5"/>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 Target="richData/rdsupportingpropertybag.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95-4C49-84C7-5728DDC218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Segments!$C$16:$C$19</c:f>
              <c:strCache>
                <c:ptCount val="4"/>
                <c:pt idx="0">
                  <c:v>Mobility</c:v>
                </c:pt>
                <c:pt idx="1">
                  <c:v>Delivery</c:v>
                </c:pt>
                <c:pt idx="2">
                  <c:v>Freight</c:v>
                </c:pt>
                <c:pt idx="3">
                  <c:v>All other </c:v>
                </c:pt>
              </c:strCache>
            </c:strRef>
          </c:cat>
          <c:val>
            <c:numRef>
              <c:f>Segments!$D$16:$D$19</c:f>
              <c:numCache>
                <c:formatCode>"$"#,##0</c:formatCode>
                <c:ptCount val="4"/>
                <c:pt idx="0">
                  <c:v>14029</c:v>
                </c:pt>
                <c:pt idx="1">
                  <c:v>10901</c:v>
                </c:pt>
                <c:pt idx="2">
                  <c:v>6947</c:v>
                </c:pt>
                <c:pt idx="3">
                  <c:v>0</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7F-4E1B-B9BD-B2BD551485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7F-4E1B-B9BD-B2BD551485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Segments!$C$5:$C$8</c:f>
              <c:strCache>
                <c:ptCount val="4"/>
                <c:pt idx="0">
                  <c:v>North America (US &amp; Canada)</c:v>
                </c:pt>
                <c:pt idx="1">
                  <c:v>EMEA (Europe Middle East and Africa)</c:v>
                </c:pt>
                <c:pt idx="2">
                  <c:v>APAC (Asia Pacific)</c:v>
                </c:pt>
                <c:pt idx="3">
                  <c:v>Latin America</c:v>
                </c:pt>
              </c:strCache>
            </c:strRef>
          </c:cat>
          <c:val>
            <c:numRef>
              <c:f>Segments!$D$5:$D$8</c:f>
              <c:numCache>
                <c:formatCode>"$"#,##0</c:formatCode>
                <c:ptCount val="4"/>
                <c:pt idx="0">
                  <c:v>19500</c:v>
                </c:pt>
                <c:pt idx="1">
                  <c:v>7000</c:v>
                </c:pt>
                <c:pt idx="2">
                  <c:v>3500</c:v>
                </c:pt>
                <c:pt idx="3">
                  <c:v>2000</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ESG!$N$55</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ESG!$M$56:$M$64</c:f>
              <c:numCache>
                <c:formatCode>General</c:formatCode>
                <c:ptCount val="9"/>
              </c:numCache>
            </c:numRef>
          </c:cat>
          <c:val>
            <c:numRef>
              <c:f>ESG!$N$56:$N$64</c:f>
              <c:numCache>
                <c:formatCode>0.00</c:formatCode>
                <c:ptCount val="9"/>
              </c:numCache>
            </c:numRef>
          </c:val>
          <c:smooth val="0"/>
          <c:extLst>
            <c:ext xmlns:c16="http://schemas.microsoft.com/office/drawing/2014/chart" uri="{C3380CC4-5D6E-409C-BE32-E72D297353CC}">
              <c16:uniqueId val="{00000000-D00D-4823-9007-DC439E2C23DA}"/>
            </c:ext>
          </c:extLst>
        </c:ser>
        <c:ser>
          <c:idx val="1"/>
          <c:order val="1"/>
          <c:tx>
            <c:strRef>
              <c:f>ESG!$O$55</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ESG!$M$56:$M$64</c:f>
              <c:numCache>
                <c:formatCode>General</c:formatCode>
                <c:ptCount val="9"/>
              </c:numCache>
            </c:numRef>
          </c:cat>
          <c:val>
            <c:numRef>
              <c:f>ESG!$O$56:$O$64</c:f>
              <c:numCache>
                <c:formatCode>0.00</c:formatCode>
                <c:ptCount val="9"/>
              </c:numCache>
            </c:numRef>
          </c:val>
          <c:smooth val="0"/>
          <c:extLst>
            <c:ext xmlns:c16="http://schemas.microsoft.com/office/drawing/2014/chart" uri="{C3380CC4-5D6E-409C-BE32-E72D297353CC}">
              <c16:uniqueId val="{00000001-D00D-4823-9007-DC439E2C23DA}"/>
            </c:ext>
          </c:extLst>
        </c:ser>
        <c:ser>
          <c:idx val="3"/>
          <c:order val="3"/>
          <c:tx>
            <c:strRef>
              <c:f>ESG!$Q$55</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ESG!$M$56:$M$64</c:f>
              <c:numCache>
                <c:formatCode>General</c:formatCode>
                <c:ptCount val="9"/>
              </c:numCache>
            </c:numRef>
          </c:cat>
          <c:val>
            <c:numRef>
              <c:f>ESG!$Q$56:$Q$64</c:f>
              <c:numCache>
                <c:formatCode>0.00</c:formatCode>
                <c:ptCount val="9"/>
              </c:numCache>
            </c:numRef>
          </c:val>
          <c:smooth val="0"/>
          <c:extLst>
            <c:ext xmlns:c16="http://schemas.microsoft.com/office/drawing/2014/chart" uri="{C3380CC4-5D6E-409C-BE32-E72D297353CC}">
              <c16:uniqueId val="{00000003-D00D-4823-9007-DC439E2C23DA}"/>
            </c:ext>
          </c:extLst>
        </c:ser>
        <c:ser>
          <c:idx val="4"/>
          <c:order val="4"/>
          <c:tx>
            <c:strRef>
              <c:f>ESG!$R$55</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ESG!$M$56:$M$64</c:f>
              <c:numCache>
                <c:formatCode>General</c:formatCode>
                <c:ptCount val="9"/>
              </c:numCache>
            </c:numRef>
          </c:cat>
          <c:val>
            <c:numRef>
              <c:f>ESG!$R$56:$R$64</c:f>
              <c:numCache>
                <c:formatCode>0.00</c:formatCode>
                <c:ptCount val="9"/>
              </c:numCache>
            </c:numRef>
          </c:val>
          <c:smooth val="0"/>
          <c:extLst>
            <c:ext xmlns:c16="http://schemas.microsoft.com/office/drawing/2014/chart" uri="{C3380CC4-5D6E-409C-BE32-E72D297353CC}">
              <c16:uniqueId val="{00000004-D00D-4823-9007-DC439E2C23DA}"/>
            </c:ext>
          </c:extLst>
        </c:ser>
        <c:ser>
          <c:idx val="5"/>
          <c:order val="5"/>
          <c:tx>
            <c:strRef>
              <c:f>ESG!$S$55</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ESG!$M$56:$M$64</c:f>
              <c:numCache>
                <c:formatCode>General</c:formatCode>
                <c:ptCount val="9"/>
              </c:numCache>
            </c:numRef>
          </c:cat>
          <c:val>
            <c:numRef>
              <c:f>ESG!$S$56:$S$64</c:f>
              <c:numCache>
                <c:formatCode>0.00</c:formatCode>
                <c:ptCount val="9"/>
              </c:numCache>
            </c:numRef>
          </c:val>
          <c:smooth val="0"/>
          <c:extLst>
            <c:ext xmlns:c16="http://schemas.microsoft.com/office/drawing/2014/chart" uri="{C3380CC4-5D6E-409C-BE32-E72D297353CC}">
              <c16:uniqueId val="{00000005-D00D-4823-9007-DC439E2C23DA}"/>
            </c:ext>
          </c:extLst>
        </c:ser>
        <c:dLbls>
          <c:showLegendKey val="0"/>
          <c:showVal val="0"/>
          <c:showCatName val="0"/>
          <c:showSerName val="0"/>
          <c:showPercent val="0"/>
          <c:showBubbleSize val="0"/>
        </c:dLbls>
        <c:marker val="1"/>
        <c:smooth val="0"/>
        <c:axId val="73385855"/>
        <c:axId val="73386335"/>
        <c:extLst>
          <c:ext xmlns:c15="http://schemas.microsoft.com/office/drawing/2012/chart" uri="{02D57815-91ED-43cb-92C2-25804820EDAC}">
            <c15:filteredLineSeries>
              <c15:ser>
                <c:idx val="2"/>
                <c:order val="2"/>
                <c:tx>
                  <c:strRef>
                    <c:extLst>
                      <c:ext uri="{02D57815-91ED-43cb-92C2-25804820EDAC}">
                        <c15:formulaRef>
                          <c15:sqref>ESG!$P$55</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uri="{02D57815-91ED-43cb-92C2-25804820EDAC}">
                        <c15:formulaRef>
                          <c15:sqref>ESG!$M$56:$M$64</c15:sqref>
                        </c15:formulaRef>
                      </c:ext>
                    </c:extLst>
                    <c:numCache>
                      <c:formatCode>General</c:formatCode>
                      <c:ptCount val="9"/>
                    </c:numCache>
                  </c:numRef>
                </c:cat>
                <c:val>
                  <c:numRef>
                    <c:extLst>
                      <c:ext uri="{02D57815-91ED-43cb-92C2-25804820EDAC}">
                        <c15:formulaRef>
                          <c15:sqref>ESG!$P$56:$P$64</c15:sqref>
                        </c15:formulaRef>
                      </c:ext>
                    </c:extLst>
                    <c:numCache>
                      <c:formatCode>0.00</c:formatCode>
                      <c:ptCount val="9"/>
                    </c:numCache>
                  </c:numRef>
                </c:val>
                <c:smooth val="0"/>
                <c:extLst>
                  <c:ext xmlns:c16="http://schemas.microsoft.com/office/drawing/2014/chart" uri="{C3380CC4-5D6E-409C-BE32-E72D297353CC}">
                    <c16:uniqueId val="{00000002-D00D-4823-9007-DC439E2C23DA}"/>
                  </c:ext>
                </c:extLst>
              </c15:ser>
            </c15:filteredLineSeries>
          </c:ext>
        </c:extLst>
      </c:lineChart>
      <c:catAx>
        <c:axId val="733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6335"/>
        <c:crosses val="autoZero"/>
        <c:auto val="1"/>
        <c:lblAlgn val="ctr"/>
        <c:lblOffset val="100"/>
        <c:noMultiLvlLbl val="0"/>
      </c:catAx>
      <c:valAx>
        <c:axId val="7338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ESG!$N$67</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ESG!$M$68:$M$76</c:f>
              <c:numCache>
                <c:formatCode>General</c:formatCode>
                <c:ptCount val="9"/>
              </c:numCache>
            </c:numRef>
          </c:cat>
          <c:val>
            <c:numRef>
              <c:f>ESG!$N$68:$N$76</c:f>
              <c:numCache>
                <c:formatCode>0.00</c:formatCode>
                <c:ptCount val="9"/>
              </c:numCache>
            </c:numRef>
          </c:val>
          <c:smooth val="0"/>
          <c:extLst>
            <c:ext xmlns:c16="http://schemas.microsoft.com/office/drawing/2014/chart" uri="{C3380CC4-5D6E-409C-BE32-E72D297353CC}">
              <c16:uniqueId val="{00000000-5789-4750-89D4-9EEBF96780C0}"/>
            </c:ext>
          </c:extLst>
        </c:ser>
        <c:ser>
          <c:idx val="3"/>
          <c:order val="3"/>
          <c:tx>
            <c:strRef>
              <c:f>ESG!$Q$67</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ESG!$M$68:$M$76</c:f>
              <c:numCache>
                <c:formatCode>General</c:formatCode>
                <c:ptCount val="9"/>
              </c:numCache>
            </c:numRef>
          </c:cat>
          <c:val>
            <c:numRef>
              <c:f>ESG!$Q$68:$Q$76</c:f>
              <c:numCache>
                <c:formatCode>0.00</c:formatCode>
                <c:ptCount val="9"/>
              </c:numCache>
            </c:numRef>
          </c:val>
          <c:smooth val="0"/>
          <c:extLst>
            <c:ext xmlns:c16="http://schemas.microsoft.com/office/drawing/2014/chart" uri="{C3380CC4-5D6E-409C-BE32-E72D297353CC}">
              <c16:uniqueId val="{00000003-5789-4750-89D4-9EEBF96780C0}"/>
            </c:ext>
          </c:extLst>
        </c:ser>
        <c:ser>
          <c:idx val="4"/>
          <c:order val="4"/>
          <c:tx>
            <c:strRef>
              <c:f>ESG!$R$67</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ESG!$M$68:$M$76</c:f>
              <c:numCache>
                <c:formatCode>General</c:formatCode>
                <c:ptCount val="9"/>
              </c:numCache>
            </c:numRef>
          </c:cat>
          <c:val>
            <c:numRef>
              <c:f>ESG!$R$68:$R$76</c:f>
              <c:numCache>
                <c:formatCode>0.00</c:formatCode>
                <c:ptCount val="9"/>
              </c:numCache>
            </c:numRef>
          </c:val>
          <c:smooth val="0"/>
          <c:extLst>
            <c:ext xmlns:c16="http://schemas.microsoft.com/office/drawing/2014/chart" uri="{C3380CC4-5D6E-409C-BE32-E72D297353CC}">
              <c16:uniqueId val="{00000004-5789-4750-89D4-9EEBF96780C0}"/>
            </c:ext>
          </c:extLst>
        </c:ser>
        <c:dLbls>
          <c:showLegendKey val="0"/>
          <c:showVal val="0"/>
          <c:showCatName val="0"/>
          <c:showSerName val="0"/>
          <c:showPercent val="0"/>
          <c:showBubbleSize val="0"/>
        </c:dLbls>
        <c:marker val="1"/>
        <c:smooth val="0"/>
        <c:axId val="1301543471"/>
        <c:axId val="45963695"/>
        <c:extLst>
          <c:ext xmlns:c15="http://schemas.microsoft.com/office/drawing/2012/chart" uri="{02D57815-91ED-43cb-92C2-25804820EDAC}">
            <c15:filteredLineSeries>
              <c15:ser>
                <c:idx val="1"/>
                <c:order val="1"/>
                <c:tx>
                  <c:strRef>
                    <c:extLst>
                      <c:ext uri="{02D57815-91ED-43cb-92C2-25804820EDAC}">
                        <c15:formulaRef>
                          <c15:sqref>ESG!$O$67</c15:sqref>
                        </c15:formulaRef>
                      </c:ext>
                    </c:extLst>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uri="{02D57815-91ED-43cb-92C2-25804820EDAC}">
                        <c15:formulaRef>
                          <c15:sqref>ESG!$M$68:$M$76</c15:sqref>
                        </c15:formulaRef>
                      </c:ext>
                    </c:extLst>
                    <c:numCache>
                      <c:formatCode>General</c:formatCode>
                      <c:ptCount val="9"/>
                    </c:numCache>
                  </c:numRef>
                </c:cat>
                <c:val>
                  <c:numRef>
                    <c:extLst>
                      <c:ext uri="{02D57815-91ED-43cb-92C2-25804820EDAC}">
                        <c15:formulaRef>
                          <c15:sqref>ESG!$O$68:$O$76</c15:sqref>
                        </c15:formulaRef>
                      </c:ext>
                    </c:extLst>
                    <c:numCache>
                      <c:formatCode>0.00</c:formatCode>
                      <c:ptCount val="9"/>
                    </c:numCache>
                  </c:numRef>
                </c:val>
                <c:smooth val="0"/>
                <c:extLst>
                  <c:ext xmlns:c16="http://schemas.microsoft.com/office/drawing/2014/chart" uri="{C3380CC4-5D6E-409C-BE32-E72D297353CC}">
                    <c16:uniqueId val="{00000001-5789-4750-89D4-9EEBF96780C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ESG!$P$67</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ESG!$P$68:$P$76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2-5789-4750-89D4-9EEBF96780C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ESG!$S$67</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ESG!$S$68:$S$76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5-5789-4750-89D4-9EEBF96780C0}"/>
                  </c:ext>
                </c:extLst>
              </c15:ser>
            </c15:filteredLineSeries>
          </c:ext>
        </c:extLst>
      </c:lineChart>
      <c:catAx>
        <c:axId val="13015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3695"/>
        <c:crosses val="autoZero"/>
        <c:auto val="1"/>
        <c:lblAlgn val="ctr"/>
        <c:lblOffset val="100"/>
        <c:noMultiLvlLbl val="0"/>
      </c:catAx>
      <c:valAx>
        <c:axId val="45963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4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Energy</a:t>
            </a:r>
            <a:r>
              <a:rPr lang="pt-PT" baseline="0"/>
              <a:t> Consumption (Gigajoules)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ESG!$N$79</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ESG!$M$80:$M$88</c:f>
              <c:numCache>
                <c:formatCode>General</c:formatCode>
                <c:ptCount val="9"/>
              </c:numCache>
            </c:numRef>
          </c:cat>
          <c:val>
            <c:numRef>
              <c:f>ESG!$N$80:$N$88</c:f>
              <c:numCache>
                <c:formatCode>0.00</c:formatCode>
                <c:ptCount val="9"/>
              </c:numCache>
            </c:numRef>
          </c:val>
          <c:smooth val="0"/>
          <c:extLst>
            <c:ext xmlns:c16="http://schemas.microsoft.com/office/drawing/2014/chart" uri="{C3380CC4-5D6E-409C-BE32-E72D297353CC}">
              <c16:uniqueId val="{00000000-917B-4C45-979C-FFDB55C82DDB}"/>
            </c:ext>
          </c:extLst>
        </c:ser>
        <c:ser>
          <c:idx val="1"/>
          <c:order val="1"/>
          <c:tx>
            <c:strRef>
              <c:f>ESG!$O$79</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ESG!$M$80:$M$88</c:f>
              <c:numCache>
                <c:formatCode>General</c:formatCode>
                <c:ptCount val="9"/>
              </c:numCache>
            </c:numRef>
          </c:cat>
          <c:val>
            <c:numRef>
              <c:f>ESG!$O$80:$O$88</c:f>
              <c:numCache>
                <c:formatCode>0.00</c:formatCode>
                <c:ptCount val="9"/>
              </c:numCache>
            </c:numRef>
          </c:val>
          <c:smooth val="0"/>
          <c:extLst>
            <c:ext xmlns:c16="http://schemas.microsoft.com/office/drawing/2014/chart" uri="{C3380CC4-5D6E-409C-BE32-E72D297353CC}">
              <c16:uniqueId val="{00000001-917B-4C45-979C-FFDB55C82DDB}"/>
            </c:ext>
          </c:extLst>
        </c:ser>
        <c:ser>
          <c:idx val="2"/>
          <c:order val="2"/>
          <c:tx>
            <c:strRef>
              <c:f>ESG!$P$79</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ESG!$M$80:$M$88</c:f>
              <c:numCache>
                <c:formatCode>General</c:formatCode>
                <c:ptCount val="9"/>
              </c:numCache>
            </c:numRef>
          </c:cat>
          <c:val>
            <c:numRef>
              <c:f>ESG!$P$80:$P$88</c:f>
              <c:numCache>
                <c:formatCode>0.00</c:formatCode>
                <c:ptCount val="9"/>
              </c:numCache>
            </c:numRef>
          </c:val>
          <c:smooth val="0"/>
          <c:extLst>
            <c:ext xmlns:c16="http://schemas.microsoft.com/office/drawing/2014/chart" uri="{C3380CC4-5D6E-409C-BE32-E72D297353CC}">
              <c16:uniqueId val="{00000002-917B-4C45-979C-FFDB55C82DDB}"/>
            </c:ext>
          </c:extLst>
        </c:ser>
        <c:ser>
          <c:idx val="3"/>
          <c:order val="3"/>
          <c:tx>
            <c:strRef>
              <c:f>ESG!$Q$79</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ESG!$M$80:$M$88</c:f>
              <c:numCache>
                <c:formatCode>General</c:formatCode>
                <c:ptCount val="9"/>
              </c:numCache>
            </c:numRef>
          </c:cat>
          <c:val>
            <c:numRef>
              <c:f>ESG!$Q$80:$Q$88</c:f>
              <c:numCache>
                <c:formatCode>0.00</c:formatCode>
                <c:ptCount val="9"/>
              </c:numCache>
            </c:numRef>
          </c:val>
          <c:smooth val="0"/>
          <c:extLst>
            <c:ext xmlns:c16="http://schemas.microsoft.com/office/drawing/2014/chart" uri="{C3380CC4-5D6E-409C-BE32-E72D297353CC}">
              <c16:uniqueId val="{00000003-917B-4C45-979C-FFDB55C82DDB}"/>
            </c:ext>
          </c:extLst>
        </c:ser>
        <c:ser>
          <c:idx val="4"/>
          <c:order val="4"/>
          <c:tx>
            <c:strRef>
              <c:f>ESG!$R$79</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ESG!$M$80:$M$88</c:f>
              <c:numCache>
                <c:formatCode>General</c:formatCode>
                <c:ptCount val="9"/>
              </c:numCache>
            </c:numRef>
          </c:cat>
          <c:val>
            <c:numRef>
              <c:f>ESG!$R$80:$R$88</c:f>
              <c:numCache>
                <c:formatCode>0.00</c:formatCode>
                <c:ptCount val="9"/>
              </c:numCache>
            </c:numRef>
          </c:val>
          <c:smooth val="0"/>
          <c:extLst>
            <c:ext xmlns:c16="http://schemas.microsoft.com/office/drawing/2014/chart" uri="{C3380CC4-5D6E-409C-BE32-E72D297353CC}">
              <c16:uniqueId val="{00000004-917B-4C45-979C-FFDB55C82DDB}"/>
            </c:ext>
          </c:extLst>
        </c:ser>
        <c:ser>
          <c:idx val="5"/>
          <c:order val="5"/>
          <c:tx>
            <c:strRef>
              <c:f>ESG!$S$79</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ESG!$M$80:$M$88</c:f>
              <c:numCache>
                <c:formatCode>General</c:formatCode>
                <c:ptCount val="9"/>
              </c:numCache>
            </c:numRef>
          </c:cat>
          <c:val>
            <c:numRef>
              <c:f>ESG!$S$80:$S$88</c:f>
              <c:numCache>
                <c:formatCode>0.00</c:formatCode>
                <c:ptCount val="9"/>
              </c:numCache>
            </c:numRef>
          </c:val>
          <c:smooth val="0"/>
          <c:extLst>
            <c:ext xmlns:c16="http://schemas.microsoft.com/office/drawing/2014/chart" uri="{C3380CC4-5D6E-409C-BE32-E72D297353CC}">
              <c16:uniqueId val="{00000005-917B-4C45-979C-FFDB55C82DDB}"/>
            </c:ext>
          </c:extLst>
        </c:ser>
        <c:dLbls>
          <c:showLegendKey val="0"/>
          <c:showVal val="0"/>
          <c:showCatName val="0"/>
          <c:showSerName val="0"/>
          <c:showPercent val="0"/>
          <c:showBubbleSize val="0"/>
        </c:dLbls>
        <c:marker val="1"/>
        <c:smooth val="0"/>
        <c:axId val="365935231"/>
        <c:axId val="365961631"/>
      </c:lineChart>
      <c:catAx>
        <c:axId val="3659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1631"/>
        <c:crosses val="autoZero"/>
        <c:auto val="1"/>
        <c:lblAlgn val="ctr"/>
        <c:lblOffset val="100"/>
        <c:noMultiLvlLbl val="0"/>
      </c:catAx>
      <c:valAx>
        <c:axId val="36596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ESG!$N$91</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ESG!$M$92:$M$100</c:f>
              <c:numCache>
                <c:formatCode>General</c:formatCode>
                <c:ptCount val="9"/>
              </c:numCache>
            </c:numRef>
          </c:cat>
          <c:val>
            <c:numRef>
              <c:f>ESG!$N$92:$N$100</c:f>
              <c:numCache>
                <c:formatCode>0.00</c:formatCode>
                <c:ptCount val="9"/>
              </c:numCache>
            </c:numRef>
          </c:val>
          <c:smooth val="0"/>
          <c:extLst>
            <c:ext xmlns:c16="http://schemas.microsoft.com/office/drawing/2014/chart" uri="{C3380CC4-5D6E-409C-BE32-E72D297353CC}">
              <c16:uniqueId val="{00000000-FF9A-4ECA-A844-2C82FDFD8493}"/>
            </c:ext>
          </c:extLst>
        </c:ser>
        <c:ser>
          <c:idx val="1"/>
          <c:order val="1"/>
          <c:tx>
            <c:strRef>
              <c:f>ESG!$O$91</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ESG!$M$92:$M$100</c:f>
              <c:numCache>
                <c:formatCode>General</c:formatCode>
                <c:ptCount val="9"/>
              </c:numCache>
            </c:numRef>
          </c:cat>
          <c:val>
            <c:numRef>
              <c:f>ESG!$O$92:$O$100</c:f>
              <c:numCache>
                <c:formatCode>0.00</c:formatCode>
                <c:ptCount val="9"/>
              </c:numCache>
            </c:numRef>
          </c:val>
          <c:smooth val="0"/>
          <c:extLst>
            <c:ext xmlns:c16="http://schemas.microsoft.com/office/drawing/2014/chart" uri="{C3380CC4-5D6E-409C-BE32-E72D297353CC}">
              <c16:uniqueId val="{00000001-FF9A-4ECA-A844-2C82FDFD8493}"/>
            </c:ext>
          </c:extLst>
        </c:ser>
        <c:ser>
          <c:idx val="2"/>
          <c:order val="2"/>
          <c:tx>
            <c:strRef>
              <c:f>ESG!$P$91</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ESG!$M$92:$M$100</c:f>
              <c:numCache>
                <c:formatCode>General</c:formatCode>
                <c:ptCount val="9"/>
              </c:numCache>
            </c:numRef>
          </c:cat>
          <c:val>
            <c:numRef>
              <c:f>ESG!$P$92:$P$100</c:f>
              <c:numCache>
                <c:formatCode>0.00</c:formatCode>
                <c:ptCount val="9"/>
              </c:numCache>
            </c:numRef>
          </c:val>
          <c:smooth val="0"/>
          <c:extLst>
            <c:ext xmlns:c16="http://schemas.microsoft.com/office/drawing/2014/chart" uri="{C3380CC4-5D6E-409C-BE32-E72D297353CC}">
              <c16:uniqueId val="{00000002-FF9A-4ECA-A844-2C82FDFD8493}"/>
            </c:ext>
          </c:extLst>
        </c:ser>
        <c:ser>
          <c:idx val="3"/>
          <c:order val="3"/>
          <c:tx>
            <c:strRef>
              <c:f>ESG!$Q$91</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ESG!$M$92:$M$100</c:f>
              <c:numCache>
                <c:formatCode>General</c:formatCode>
                <c:ptCount val="9"/>
              </c:numCache>
            </c:numRef>
          </c:cat>
          <c:val>
            <c:numRef>
              <c:f>ESG!$Q$92:$Q$100</c:f>
              <c:numCache>
                <c:formatCode>0.00</c:formatCode>
                <c:ptCount val="9"/>
              </c:numCache>
            </c:numRef>
          </c:val>
          <c:smooth val="0"/>
          <c:extLst>
            <c:ext xmlns:c16="http://schemas.microsoft.com/office/drawing/2014/chart" uri="{C3380CC4-5D6E-409C-BE32-E72D297353CC}">
              <c16:uniqueId val="{00000003-FF9A-4ECA-A844-2C82FDFD8493}"/>
            </c:ext>
          </c:extLst>
        </c:ser>
        <c:ser>
          <c:idx val="4"/>
          <c:order val="4"/>
          <c:tx>
            <c:strRef>
              <c:f>ESG!$R$91</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ESG!$M$92:$M$100</c:f>
              <c:numCache>
                <c:formatCode>General</c:formatCode>
                <c:ptCount val="9"/>
              </c:numCache>
            </c:numRef>
          </c:cat>
          <c:val>
            <c:numRef>
              <c:f>ESG!$R$92:$R$100</c:f>
              <c:numCache>
                <c:formatCode>0.00</c:formatCode>
                <c:ptCount val="9"/>
              </c:numCache>
            </c:numRef>
          </c:val>
          <c:smooth val="0"/>
          <c:extLst>
            <c:ext xmlns:c16="http://schemas.microsoft.com/office/drawing/2014/chart" uri="{C3380CC4-5D6E-409C-BE32-E72D297353CC}">
              <c16:uniqueId val="{00000004-FF9A-4ECA-A844-2C82FDFD8493}"/>
            </c:ext>
          </c:extLst>
        </c:ser>
        <c:dLbls>
          <c:showLegendKey val="0"/>
          <c:showVal val="0"/>
          <c:showCatName val="0"/>
          <c:showSerName val="0"/>
          <c:showPercent val="0"/>
          <c:showBubbleSize val="0"/>
        </c:dLbls>
        <c:marker val="1"/>
        <c:smooth val="0"/>
        <c:axId val="365962591"/>
        <c:axId val="365934271"/>
        <c:extLst>
          <c:ext xmlns:c15="http://schemas.microsoft.com/office/drawing/2012/chart" uri="{02D57815-91ED-43cb-92C2-25804820EDAC}">
            <c15:filteredLineSeries>
              <c15:ser>
                <c:idx val="5"/>
                <c:order val="5"/>
                <c:tx>
                  <c:strRef>
                    <c:extLst>
                      <c:ext uri="{02D57815-91ED-43cb-92C2-25804820EDAC}">
                        <c15:formulaRef>
                          <c15:sqref>ESG!$S$91</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c:ext uri="{02D57815-91ED-43cb-92C2-25804820EDAC}">
                        <c15:formulaRef>
                          <c15:sqref>ESG!$M$92:$M$100</c15:sqref>
                        </c15:formulaRef>
                      </c:ext>
                    </c:extLst>
                    <c:numCache>
                      <c:formatCode>General</c:formatCode>
                      <c:ptCount val="9"/>
                    </c:numCache>
                  </c:numRef>
                </c:cat>
                <c:val>
                  <c:numRef>
                    <c:extLst>
                      <c:ext uri="{02D57815-91ED-43cb-92C2-25804820EDAC}">
                        <c15:formulaRef>
                          <c15:sqref>ESG!$S$92:$S$100</c15:sqref>
                        </c15:formulaRef>
                      </c:ext>
                    </c:extLst>
                    <c:numCache>
                      <c:formatCode>0.00</c:formatCode>
                      <c:ptCount val="9"/>
                    </c:numCache>
                  </c:numRef>
                </c:val>
                <c:smooth val="0"/>
                <c:extLst>
                  <c:ext xmlns:c16="http://schemas.microsoft.com/office/drawing/2014/chart" uri="{C3380CC4-5D6E-409C-BE32-E72D297353CC}">
                    <c16:uniqueId val="{00000005-FF9A-4ECA-A844-2C82FDFD8493}"/>
                  </c:ext>
                </c:extLst>
              </c15:ser>
            </c15:filteredLineSeries>
          </c:ext>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ESG!$N$55</c:f>
              <c:strCache>
                <c:ptCount val="1"/>
              </c:strCache>
            </c:strRef>
          </c:tx>
          <c:spPr>
            <a:solidFill>
              <a:schemeClr val="accent1"/>
            </a:solidFill>
            <a:ln>
              <a:noFill/>
            </a:ln>
            <a:effectLst/>
          </c:spPr>
          <c:invertIfNegative val="0"/>
          <c:cat>
            <c:numRef>
              <c:f>ESG!$M$56:$M$64</c:f>
              <c:numCache>
                <c:formatCode>General</c:formatCode>
                <c:ptCount val="9"/>
              </c:numCache>
            </c:numRef>
          </c:cat>
          <c:val>
            <c:numRef>
              <c:f>ESG!$N$56:$N$64</c:f>
              <c:numCache>
                <c:formatCode>0.00</c:formatCode>
                <c:ptCount val="9"/>
              </c:numCache>
            </c:numRef>
          </c:val>
          <c:extLst>
            <c:ext xmlns:c16="http://schemas.microsoft.com/office/drawing/2014/chart" uri="{C3380CC4-5D6E-409C-BE32-E72D297353CC}">
              <c16:uniqueId val="{00000000-169B-4A38-9A2B-56B8D0ECDFB5}"/>
            </c:ext>
          </c:extLst>
        </c:ser>
        <c:dLbls>
          <c:showLegendKey val="0"/>
          <c:showVal val="0"/>
          <c:showCatName val="0"/>
          <c:showSerName val="0"/>
          <c:showPercent val="0"/>
          <c:showBubbleSize val="0"/>
        </c:dLbls>
        <c:gapWidth val="219"/>
        <c:overlap val="-27"/>
        <c:axId val="1445126127"/>
        <c:axId val="1445124687"/>
      </c:barChart>
      <c:catAx>
        <c:axId val="144512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24687"/>
        <c:crosses val="autoZero"/>
        <c:auto val="1"/>
        <c:lblAlgn val="ctr"/>
        <c:lblOffset val="100"/>
        <c:noMultiLvlLbl val="0"/>
      </c:catAx>
      <c:valAx>
        <c:axId val="1445124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26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ESG!$N$67</c:f>
              <c:strCache>
                <c:ptCount val="1"/>
              </c:strCache>
            </c:strRef>
          </c:tx>
          <c:spPr>
            <a:solidFill>
              <a:schemeClr val="accent1"/>
            </a:solidFill>
            <a:ln>
              <a:noFill/>
            </a:ln>
            <a:effectLst/>
          </c:spPr>
          <c:invertIfNegative val="0"/>
          <c:cat>
            <c:numRef>
              <c:extLst>
                <c:ext xmlns:c15="http://schemas.microsoft.com/office/drawing/2012/chart" uri="{02D57815-91ED-43cb-92C2-25804820EDAC}">
                  <c15:fullRef>
                    <c15:sqref>ESG!$M$68:$M$76</c15:sqref>
                  </c15:fullRef>
                </c:ext>
              </c:extLst>
              <c:f>ESG!$M$72:$M$76</c:f>
              <c:numCache>
                <c:formatCode>General</c:formatCode>
                <c:ptCount val="5"/>
              </c:numCache>
            </c:numRef>
          </c:cat>
          <c:val>
            <c:numRef>
              <c:extLst>
                <c:ext xmlns:c15="http://schemas.microsoft.com/office/drawing/2012/chart" uri="{02D57815-91ED-43cb-92C2-25804820EDAC}">
                  <c15:fullRef>
                    <c15:sqref>ESG!$N$68:$N$76</c15:sqref>
                  </c15:fullRef>
                </c:ext>
              </c:extLst>
              <c:f>ESG!$N$72:$N$76</c:f>
              <c:numCache>
                <c:formatCode>0.00</c:formatCode>
                <c:ptCount val="5"/>
              </c:numCache>
            </c:numRef>
          </c:val>
          <c:extLst>
            <c:ext xmlns:c16="http://schemas.microsoft.com/office/drawing/2014/chart" uri="{C3380CC4-5D6E-409C-BE32-E72D297353CC}">
              <c16:uniqueId val="{00000000-3D9B-44C8-833F-95AC35BCD001}"/>
            </c:ext>
          </c:extLst>
        </c:ser>
        <c:dLbls>
          <c:showLegendKey val="0"/>
          <c:showVal val="0"/>
          <c:showCatName val="0"/>
          <c:showSerName val="0"/>
          <c:showPercent val="0"/>
          <c:showBubbleSize val="0"/>
        </c:dLbls>
        <c:gapWidth val="219"/>
        <c:overlap val="-27"/>
        <c:axId val="1470986783"/>
        <c:axId val="1470987743"/>
      </c:barChart>
      <c:catAx>
        <c:axId val="147098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87743"/>
        <c:crosses val="autoZero"/>
        <c:auto val="1"/>
        <c:lblAlgn val="ctr"/>
        <c:lblOffset val="100"/>
        <c:noMultiLvlLbl val="0"/>
      </c:catAx>
      <c:valAx>
        <c:axId val="1470987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8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Energy Consumption (Gigajoules)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ESG!$N$79</c:f>
              <c:strCache>
                <c:ptCount val="1"/>
              </c:strCache>
            </c:strRef>
          </c:tx>
          <c:spPr>
            <a:solidFill>
              <a:schemeClr val="accent1"/>
            </a:solidFill>
            <a:ln>
              <a:noFill/>
            </a:ln>
            <a:effectLst/>
          </c:spPr>
          <c:invertIfNegative val="0"/>
          <c:cat>
            <c:numRef>
              <c:f>ESG!$M$80:$M$88</c:f>
              <c:numCache>
                <c:formatCode>General</c:formatCode>
                <c:ptCount val="9"/>
              </c:numCache>
            </c:numRef>
          </c:cat>
          <c:val>
            <c:numRef>
              <c:f>ESG!$N$80:$N$88</c:f>
              <c:numCache>
                <c:formatCode>0.00</c:formatCode>
                <c:ptCount val="9"/>
              </c:numCache>
            </c:numRef>
          </c:val>
          <c:extLst>
            <c:ext xmlns:c16="http://schemas.microsoft.com/office/drawing/2014/chart" uri="{C3380CC4-5D6E-409C-BE32-E72D297353CC}">
              <c16:uniqueId val="{00000000-74A3-4257-8CD9-3D43181C0268}"/>
            </c:ext>
          </c:extLst>
        </c:ser>
        <c:dLbls>
          <c:showLegendKey val="0"/>
          <c:showVal val="0"/>
          <c:showCatName val="0"/>
          <c:showSerName val="0"/>
          <c:showPercent val="0"/>
          <c:showBubbleSize val="0"/>
        </c:dLbls>
        <c:gapWidth val="219"/>
        <c:overlap val="-27"/>
        <c:axId val="1243430415"/>
        <c:axId val="1243431375"/>
      </c:barChart>
      <c:catAx>
        <c:axId val="124343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31375"/>
        <c:crosses val="autoZero"/>
        <c:auto val="1"/>
        <c:lblAlgn val="ctr"/>
        <c:lblOffset val="100"/>
        <c:noMultiLvlLbl val="0"/>
      </c:catAx>
      <c:valAx>
        <c:axId val="1243431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3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ESG!$N$91</c:f>
              <c:strCache>
                <c:ptCount val="1"/>
              </c:strCache>
            </c:strRef>
          </c:tx>
          <c:spPr>
            <a:solidFill>
              <a:schemeClr val="accent1"/>
            </a:solidFill>
            <a:ln>
              <a:noFill/>
            </a:ln>
            <a:effectLst/>
          </c:spPr>
          <c:invertIfNegative val="0"/>
          <c:cat>
            <c:numRef>
              <c:extLst>
                <c:ext xmlns:c15="http://schemas.microsoft.com/office/drawing/2012/chart" uri="{02D57815-91ED-43cb-92C2-25804820EDAC}">
                  <c15:fullRef>
                    <c15:sqref>ESG!$M$92:$M$100</c15:sqref>
                  </c15:fullRef>
                </c:ext>
              </c:extLst>
              <c:f>ESG!$M$94:$M$100</c:f>
              <c:numCache>
                <c:formatCode>General</c:formatCode>
                <c:ptCount val="7"/>
              </c:numCache>
            </c:numRef>
          </c:cat>
          <c:val>
            <c:numRef>
              <c:extLst>
                <c:ext xmlns:c15="http://schemas.microsoft.com/office/drawing/2012/chart" uri="{02D57815-91ED-43cb-92C2-25804820EDAC}">
                  <c15:fullRef>
                    <c15:sqref>ESG!$N$92:$N$100</c15:sqref>
                  </c15:fullRef>
                </c:ext>
              </c:extLst>
              <c:f>ESG!$N$94:$N$100</c:f>
              <c:numCache>
                <c:formatCode>0.00</c:formatCode>
                <c:ptCount val="7"/>
              </c:numCache>
            </c:numRef>
          </c:val>
          <c:extLst>
            <c:ext xmlns:c16="http://schemas.microsoft.com/office/drawing/2014/chart" uri="{C3380CC4-5D6E-409C-BE32-E72D297353CC}">
              <c16:uniqueId val="{00000000-6E89-4CC8-BF3B-4330161D9A38}"/>
            </c:ext>
          </c:extLst>
        </c:ser>
        <c:dLbls>
          <c:showLegendKey val="0"/>
          <c:showVal val="0"/>
          <c:showCatName val="0"/>
          <c:showSerName val="0"/>
          <c:showPercent val="0"/>
          <c:showBubbleSize val="0"/>
        </c:dLbls>
        <c:gapWidth val="219"/>
        <c:overlap val="-27"/>
        <c:axId val="1474061615"/>
        <c:axId val="1474062575"/>
      </c:barChart>
      <c:catAx>
        <c:axId val="147406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62575"/>
        <c:crosses val="autoZero"/>
        <c:auto val="1"/>
        <c:lblAlgn val="ctr"/>
        <c:lblOffset val="100"/>
        <c:noMultiLvlLbl val="0"/>
      </c:catAx>
      <c:valAx>
        <c:axId val="1474062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6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7.png"/><Relationship Id="rId5" Type="http://schemas.openxmlformats.org/officeDocument/2006/relationships/image" Target="../media/image6.jpe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tmp"/><Relationship Id="rId2" Type="http://schemas.openxmlformats.org/officeDocument/2006/relationships/image" Target="../media/image13.tmp"/><Relationship Id="rId1" Type="http://schemas.openxmlformats.org/officeDocument/2006/relationships/image" Target="../media/image12.tmp"/></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13</xdr:row>
      <xdr:rowOff>0</xdr:rowOff>
    </xdr:from>
    <xdr:to>
      <xdr:col>13</xdr:col>
      <xdr:colOff>304800</xdr:colOff>
      <xdr:row>14</xdr:row>
      <xdr:rowOff>160523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13</xdr:row>
      <xdr:rowOff>0</xdr:rowOff>
    </xdr:from>
    <xdr:to>
      <xdr:col>13</xdr:col>
      <xdr:colOff>304800</xdr:colOff>
      <xdr:row>14</xdr:row>
      <xdr:rowOff>160523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13</xdr:row>
      <xdr:rowOff>0</xdr:rowOff>
    </xdr:from>
    <xdr:to>
      <xdr:col>13</xdr:col>
      <xdr:colOff>304800</xdr:colOff>
      <xdr:row>14</xdr:row>
      <xdr:rowOff>160523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63499</xdr:colOff>
      <xdr:row>79</xdr:row>
      <xdr:rowOff>52917</xdr:rowOff>
    </xdr:from>
    <xdr:to>
      <xdr:col>12</xdr:col>
      <xdr:colOff>2000249</xdr:colOff>
      <xdr:row>102</xdr:row>
      <xdr:rowOff>148167</xdr:rowOff>
    </xdr:to>
    <xdr:pic>
      <xdr:nvPicPr>
        <xdr:cNvPr id="7" name="Picture 1">
          <a:extLst>
            <a:ext uri="{FF2B5EF4-FFF2-40B4-BE49-F238E27FC236}">
              <a16:creationId xmlns:a16="http://schemas.microsoft.com/office/drawing/2014/main" id="{8CBCB35B-A1BD-D563-B334-392D7F15740D}"/>
            </a:ext>
          </a:extLst>
        </xdr:cNvPr>
        <xdr:cNvPicPr>
          <a:picLocks noChangeAspect="1"/>
        </xdr:cNvPicPr>
      </xdr:nvPicPr>
      <xdr:blipFill rotWithShape="1">
        <a:blip xmlns:r="http://schemas.openxmlformats.org/officeDocument/2006/relationships" r:embed="rId1"/>
        <a:srcRect l="2583" t="3760" r="14514" b="4826"/>
        <a:stretch/>
      </xdr:blipFill>
      <xdr:spPr>
        <a:xfrm>
          <a:off x="7683499" y="15409334"/>
          <a:ext cx="8636000" cy="3746500"/>
        </a:xfrm>
        <a:prstGeom prst="rect">
          <a:avLst/>
        </a:prstGeom>
      </xdr:spPr>
    </xdr:pic>
    <xdr:clientData/>
  </xdr:twoCellAnchor>
  <xdr:twoCellAnchor editAs="oneCell">
    <xdr:from>
      <xdr:col>9</xdr:col>
      <xdr:colOff>255905</xdr:colOff>
      <xdr:row>57</xdr:row>
      <xdr:rowOff>41030</xdr:rowOff>
    </xdr:from>
    <xdr:to>
      <xdr:col>12</xdr:col>
      <xdr:colOff>1746250</xdr:colOff>
      <xdr:row>77</xdr:row>
      <xdr:rowOff>123826</xdr:rowOff>
    </xdr:to>
    <xdr:pic>
      <xdr:nvPicPr>
        <xdr:cNvPr id="16" name="Picture 2">
          <a:extLst>
            <a:ext uri="{FF2B5EF4-FFF2-40B4-BE49-F238E27FC236}">
              <a16:creationId xmlns:a16="http://schemas.microsoft.com/office/drawing/2014/main" id="{BB8EB6F5-FD8E-8DFA-565E-E53B52DF8D84}"/>
            </a:ext>
          </a:extLst>
        </xdr:cNvPr>
        <xdr:cNvPicPr>
          <a:picLocks noChangeAspect="1"/>
        </xdr:cNvPicPr>
      </xdr:nvPicPr>
      <xdr:blipFill>
        <a:blip xmlns:r="http://schemas.openxmlformats.org/officeDocument/2006/relationships" r:embed="rId2"/>
        <a:stretch>
          <a:fillRect/>
        </a:stretch>
      </xdr:blipFill>
      <xdr:spPr>
        <a:xfrm>
          <a:off x="11562080" y="11556755"/>
          <a:ext cx="4490720" cy="3549896"/>
        </a:xfrm>
        <a:prstGeom prst="rect">
          <a:avLst/>
        </a:prstGeom>
      </xdr:spPr>
    </xdr:pic>
    <xdr:clientData/>
  </xdr:twoCellAnchor>
  <xdr:twoCellAnchor editAs="oneCell">
    <xdr:from>
      <xdr:col>0</xdr:col>
      <xdr:colOff>10584</xdr:colOff>
      <xdr:row>2</xdr:row>
      <xdr:rowOff>262465</xdr:rowOff>
    </xdr:from>
    <xdr:to>
      <xdr:col>3</xdr:col>
      <xdr:colOff>48684</xdr:colOff>
      <xdr:row>12</xdr:row>
      <xdr:rowOff>13757</xdr:rowOff>
    </xdr:to>
    <xdr:pic>
      <xdr:nvPicPr>
        <xdr:cNvPr id="3" name="Picture 2">
          <a:extLst>
            <a:ext uri="{FF2B5EF4-FFF2-40B4-BE49-F238E27FC236}">
              <a16:creationId xmlns:a16="http://schemas.microsoft.com/office/drawing/2014/main" id="{A565F1E8-D141-B5FC-5861-94695F763C08}"/>
            </a:ext>
          </a:extLst>
        </xdr:cNvPr>
        <xdr:cNvPicPr>
          <a:picLocks noChangeAspect="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0584" y="601132"/>
          <a:ext cx="3033183" cy="23865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22</xdr:row>
      <xdr:rowOff>0</xdr:rowOff>
    </xdr:from>
    <xdr:to>
      <xdr:col>11</xdr:col>
      <xdr:colOff>657225</xdr:colOff>
      <xdr:row>28</xdr:row>
      <xdr:rowOff>695325</xdr:rowOff>
    </xdr:to>
    <xdr:graphicFrame macro="">
      <xdr:nvGraphicFramePr>
        <xdr:cNvPr id="5"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638175</xdr:colOff>
      <xdr:row>22</xdr:row>
      <xdr:rowOff>0</xdr:rowOff>
    </xdr:from>
    <xdr:to>
      <xdr:col>15</xdr:col>
      <xdr:colOff>752475</xdr:colOff>
      <xdr:row>28</xdr:row>
      <xdr:rowOff>695325</xdr:rowOff>
    </xdr:to>
    <xdr:graphicFrame macro="">
      <xdr:nvGraphicFramePr>
        <xdr:cNvPr id="6"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638175</xdr:colOff>
      <xdr:row>21</xdr:row>
      <xdr:rowOff>247650</xdr:rowOff>
    </xdr:from>
    <xdr:to>
      <xdr:col>11</xdr:col>
      <xdr:colOff>647700</xdr:colOff>
      <xdr:row>29</xdr:row>
      <xdr:rowOff>0</xdr:rowOff>
    </xdr:to>
    <xdr:cxnSp macro="">
      <xdr:nvCxnSpPr>
        <xdr:cNvPr id="2"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077700" y="350520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476250</xdr:colOff>
      <xdr:row>41</xdr:row>
      <xdr:rowOff>85725</xdr:rowOff>
    </xdr:from>
    <xdr:to>
      <xdr:col>13</xdr:col>
      <xdr:colOff>238125</xdr:colOff>
      <xdr:row>44</xdr:row>
      <xdr:rowOff>9525</xdr:rowOff>
    </xdr:to>
    <xdr:sp macro="" textlink="">
      <xdr:nvSpPr>
        <xdr:cNvPr id="32"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9A7F258B-F9AD-6876-BB0C-F39E8E2CB6BB}"/>
            </a:ext>
          </a:extLst>
        </xdr:cNvPr>
        <xdr:cNvSpPr/>
      </xdr:nvSpPr>
      <xdr:spPr bwMode="auto">
        <a:xfrm>
          <a:off x="12677775" y="8486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18</xdr:col>
      <xdr:colOff>19050</xdr:colOff>
      <xdr:row>54</xdr:row>
      <xdr:rowOff>47625</xdr:rowOff>
    </xdr:from>
    <xdr:to>
      <xdr:col>19</xdr:col>
      <xdr:colOff>209550</xdr:colOff>
      <xdr:row>60</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19</xdr:col>
      <xdr:colOff>361193</xdr:colOff>
      <xdr:row>10</xdr:row>
      <xdr:rowOff>46606</xdr:rowOff>
    </xdr:from>
    <xdr:to>
      <xdr:col>22</xdr:col>
      <xdr:colOff>3688</xdr:colOff>
      <xdr:row>20</xdr:row>
      <xdr:rowOff>2301</xdr:rowOff>
    </xdr:to>
    <xdr:pic>
      <xdr:nvPicPr>
        <xdr:cNvPr id="4" name="Picture 3">
          <a:extLst>
            <a:ext uri="{FF2B5EF4-FFF2-40B4-BE49-F238E27FC236}">
              <a16:creationId xmlns:a16="http://schemas.microsoft.com/office/drawing/2014/main" id="{719C818A-D3FD-EAF0-E7FA-5BC10C7ECE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356973" y="1689450"/>
          <a:ext cx="2167155" cy="2167155"/>
        </a:xfrm>
        <a:prstGeom prst="rect">
          <a:avLst/>
        </a:prstGeom>
      </xdr:spPr>
    </xdr:pic>
    <xdr:clientData/>
  </xdr:twoCellAnchor>
  <xdr:twoCellAnchor editAs="oneCell">
    <xdr:from>
      <xdr:col>22</xdr:col>
      <xdr:colOff>419450</xdr:colOff>
      <xdr:row>10</xdr:row>
      <xdr:rowOff>11651</xdr:rowOff>
    </xdr:from>
    <xdr:to>
      <xdr:col>24</xdr:col>
      <xdr:colOff>757428</xdr:colOff>
      <xdr:row>20</xdr:row>
      <xdr:rowOff>176</xdr:rowOff>
    </xdr:to>
    <xdr:pic>
      <xdr:nvPicPr>
        <xdr:cNvPr id="8" name="Picture 7">
          <a:extLst>
            <a:ext uri="{FF2B5EF4-FFF2-40B4-BE49-F238E27FC236}">
              <a16:creationId xmlns:a16="http://schemas.microsoft.com/office/drawing/2014/main" id="{7E6DA56D-302B-6701-A2F8-FECD49007D3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036789" y="1654495"/>
          <a:ext cx="2190460" cy="2190460"/>
        </a:xfrm>
        <a:prstGeom prst="rect">
          <a:avLst/>
        </a:prstGeom>
      </xdr:spPr>
    </xdr:pic>
    <xdr:clientData/>
  </xdr:twoCellAnchor>
  <xdr:twoCellAnchor editAs="oneCell">
    <xdr:from>
      <xdr:col>16</xdr:col>
      <xdr:colOff>1473</xdr:colOff>
      <xdr:row>12</xdr:row>
      <xdr:rowOff>151467</xdr:rowOff>
    </xdr:from>
    <xdr:to>
      <xdr:col>18</xdr:col>
      <xdr:colOff>582033</xdr:colOff>
      <xdr:row>20</xdr:row>
      <xdr:rowOff>2870</xdr:rowOff>
    </xdr:to>
    <xdr:pic>
      <xdr:nvPicPr>
        <xdr:cNvPr id="10" name="Picture 9">
          <a:extLst>
            <a:ext uri="{FF2B5EF4-FFF2-40B4-BE49-F238E27FC236}">
              <a16:creationId xmlns:a16="http://schemas.microsoft.com/office/drawing/2014/main" id="{F646FA8D-7051-3155-67B8-860A3A7BAD7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455234" y="2213761"/>
          <a:ext cx="3248726" cy="1624363"/>
        </a:xfrm>
        <a:prstGeom prst="rect">
          <a:avLst/>
        </a:prstGeom>
      </xdr:spPr>
    </xdr:pic>
    <xdr:clientData/>
  </xdr:twoCellAnchor>
  <xdr:twoCellAnchor editAs="oneCell">
    <xdr:from>
      <xdr:col>18</xdr:col>
      <xdr:colOff>171835</xdr:colOff>
      <xdr:row>2</xdr:row>
      <xdr:rowOff>78624</xdr:rowOff>
    </xdr:from>
    <xdr:to>
      <xdr:col>20</xdr:col>
      <xdr:colOff>570918</xdr:colOff>
      <xdr:row>7</xdr:row>
      <xdr:rowOff>196714</xdr:rowOff>
    </xdr:to>
    <xdr:pic>
      <xdr:nvPicPr>
        <xdr:cNvPr id="12" name="Picture 11">
          <a:extLst>
            <a:ext uri="{FF2B5EF4-FFF2-40B4-BE49-F238E27FC236}">
              <a16:creationId xmlns:a16="http://schemas.microsoft.com/office/drawing/2014/main" id="{D0AEE0AC-44E0-D9B0-FDFA-F11E23EF4DC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293762" y="439817"/>
          <a:ext cx="2146789" cy="1187890"/>
        </a:xfrm>
        <a:prstGeom prst="rect">
          <a:avLst/>
        </a:prstGeom>
      </xdr:spPr>
    </xdr:pic>
    <xdr:clientData/>
  </xdr:twoCellAnchor>
  <xdr:twoCellAnchor editAs="oneCell">
    <xdr:from>
      <xdr:col>20</xdr:col>
      <xdr:colOff>468332</xdr:colOff>
      <xdr:row>2</xdr:row>
      <xdr:rowOff>23302</xdr:rowOff>
    </xdr:from>
    <xdr:to>
      <xdr:col>25</xdr:col>
      <xdr:colOff>311</xdr:colOff>
      <xdr:row>7</xdr:row>
      <xdr:rowOff>116513</xdr:rowOff>
    </xdr:to>
    <xdr:pic>
      <xdr:nvPicPr>
        <xdr:cNvPr id="14" name="Picture 13">
          <a:extLst>
            <a:ext uri="{FF2B5EF4-FFF2-40B4-BE49-F238E27FC236}">
              <a16:creationId xmlns:a16="http://schemas.microsoft.com/office/drawing/2014/main" id="{E421578C-BF2C-A235-E254-3FC05065ED2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2337965" y="384495"/>
          <a:ext cx="3871020" cy="1153486"/>
        </a:xfrm>
        <a:prstGeom prst="rect">
          <a:avLst/>
        </a:prstGeom>
      </xdr:spPr>
    </xdr:pic>
    <xdr:clientData/>
  </xdr:twoCellAnchor>
  <xdr:twoCellAnchor editAs="oneCell">
    <xdr:from>
      <xdr:col>16</xdr:col>
      <xdr:colOff>11651</xdr:colOff>
      <xdr:row>1</xdr:row>
      <xdr:rowOff>267981</xdr:rowOff>
    </xdr:from>
    <xdr:to>
      <xdr:col>18</xdr:col>
      <xdr:colOff>198073</xdr:colOff>
      <xdr:row>12</xdr:row>
      <xdr:rowOff>169269</xdr:rowOff>
    </xdr:to>
    <xdr:pic>
      <xdr:nvPicPr>
        <xdr:cNvPr id="16" name="Picture 15">
          <a:extLst>
            <a:ext uri="{FF2B5EF4-FFF2-40B4-BE49-F238E27FC236}">
              <a16:creationId xmlns:a16="http://schemas.microsoft.com/office/drawing/2014/main" id="{8214E23F-945A-A895-70ED-A650D3C4E42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7465412" y="361192"/>
          <a:ext cx="2854588" cy="1870371"/>
        </a:xfrm>
        <a:prstGeom prst="rect">
          <a:avLst/>
        </a:prstGeom>
      </xdr:spPr>
    </xdr:pic>
    <xdr:clientData/>
  </xdr:twoCellAnchor>
  <xdr:twoCellAnchor editAs="oneCell">
    <xdr:from>
      <xdr:col>8</xdr:col>
      <xdr:colOff>38100</xdr:colOff>
      <xdr:row>29</xdr:row>
      <xdr:rowOff>200025</xdr:rowOff>
    </xdr:from>
    <xdr:to>
      <xdr:col>15</xdr:col>
      <xdr:colOff>742950</xdr:colOff>
      <xdr:row>41</xdr:row>
      <xdr:rowOff>20484</xdr:rowOff>
    </xdr:to>
    <xdr:pic>
      <xdr:nvPicPr>
        <xdr:cNvPr id="3" name="Picture 2">
          <a:extLst>
            <a:ext uri="{FF2B5EF4-FFF2-40B4-BE49-F238E27FC236}">
              <a16:creationId xmlns:a16="http://schemas.microsoft.com/office/drawing/2014/main" id="{82539A6B-9BCC-72D2-E75B-D845585EBF6D}"/>
            </a:ext>
            <a:ext uri="{147F2762-F138-4A5C-976F-8EAC2B608ADB}">
              <a16:predDERef xmlns:a16="http://schemas.microsoft.com/office/drawing/2014/main" pred="{8214E23F-945A-A895-70ED-A650D3C4E42B}"/>
            </a:ext>
          </a:extLst>
        </xdr:cNvPr>
        <xdr:cNvPicPr>
          <a:picLocks noChangeAspect="1"/>
        </xdr:cNvPicPr>
      </xdr:nvPicPr>
      <xdr:blipFill>
        <a:blip xmlns:r="http://schemas.openxmlformats.org/officeDocument/2006/relationships" r:embed="rId9"/>
        <a:stretch>
          <a:fillRect/>
        </a:stretch>
      </xdr:blipFill>
      <xdr:spPr>
        <a:xfrm>
          <a:off x="8924925" y="8943975"/>
          <a:ext cx="6305550" cy="4200525"/>
        </a:xfrm>
        <a:prstGeom prst="rect">
          <a:avLst/>
        </a:prstGeom>
      </xdr:spPr>
    </xdr:pic>
    <xdr:clientData/>
  </xdr:twoCellAnchor>
  <xdr:twoCellAnchor editAs="oneCell">
    <xdr:from>
      <xdr:col>8</xdr:col>
      <xdr:colOff>19050</xdr:colOff>
      <xdr:row>33</xdr:row>
      <xdr:rowOff>0</xdr:rowOff>
    </xdr:from>
    <xdr:to>
      <xdr:col>15</xdr:col>
      <xdr:colOff>723900</xdr:colOff>
      <xdr:row>45</xdr:row>
      <xdr:rowOff>8890</xdr:rowOff>
    </xdr:to>
    <xdr:pic>
      <xdr:nvPicPr>
        <xdr:cNvPr id="7" name="Picture 6">
          <a:extLst>
            <a:ext uri="{FF2B5EF4-FFF2-40B4-BE49-F238E27FC236}">
              <a16:creationId xmlns:a16="http://schemas.microsoft.com/office/drawing/2014/main" id="{1101CE3F-2B96-A4F4-BB18-936BBC86C208}"/>
            </a:ext>
            <a:ext uri="{147F2762-F138-4A5C-976F-8EAC2B608ADB}">
              <a16:predDERef xmlns:a16="http://schemas.microsoft.com/office/drawing/2014/main" pred="{82539A6B-9BCC-72D2-E75B-D845585EBF6D}"/>
            </a:ext>
          </a:extLst>
        </xdr:cNvPr>
        <xdr:cNvPicPr>
          <a:picLocks noChangeAspect="1"/>
        </xdr:cNvPicPr>
      </xdr:nvPicPr>
      <xdr:blipFill>
        <a:blip xmlns:r="http://schemas.openxmlformats.org/officeDocument/2006/relationships" r:embed="rId10"/>
        <a:stretch>
          <a:fillRect/>
        </a:stretch>
      </xdr:blipFill>
      <xdr:spPr>
        <a:xfrm>
          <a:off x="8905875" y="13411200"/>
          <a:ext cx="6305550" cy="411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6</xdr:col>
      <xdr:colOff>0</xdr:colOff>
      <xdr:row>19</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11</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 uri="{147F2762-F138-4A5C-976F-8EAC2B608ADB}">
              <a16:predDERef xmlns:a16="http://schemas.microsoft.com/office/drawing/2014/main" pred="{A23DF9CB-ABDC-4CBC-941E-C3A1E6B7BDD7}"/>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33</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 uri="{147F2762-F138-4A5C-976F-8EAC2B608ADB}">
              <a16:predDERef xmlns:a16="http://schemas.microsoft.com/office/drawing/2014/main" pred="{290ADD27-FE0C-4C99-AF77-3098E89BD849}"/>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19</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 uri="{147F2762-F138-4A5C-976F-8EAC2B608ADB}">
              <a16:predDERef xmlns:a16="http://schemas.microsoft.com/office/drawing/2014/main" pred="{76C615DC-9449-489C-838D-7501FF91B816}"/>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11</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 uri="{147F2762-F138-4A5C-976F-8EAC2B608ADB}">
              <a16:predDERef xmlns:a16="http://schemas.microsoft.com/office/drawing/2014/main" pred="{3816F209-593F-4972-8238-056F7A06C2DB}"/>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33</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 uri="{147F2762-F138-4A5C-976F-8EAC2B608ADB}">
              <a16:predDERef xmlns:a16="http://schemas.microsoft.com/office/drawing/2014/main" pred="{5D67A490-620E-4BB6-ACF8-2FBAECF65CB2}"/>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200025</xdr:colOff>
      <xdr:row>1</xdr:row>
      <xdr:rowOff>47625</xdr:rowOff>
    </xdr:from>
    <xdr:to>
      <xdr:col>1</xdr:col>
      <xdr:colOff>1905000</xdr:colOff>
      <xdr:row>1</xdr:row>
      <xdr:rowOff>1000125</xdr:rowOff>
    </xdr:to>
    <xdr:pic>
      <xdr:nvPicPr>
        <xdr:cNvPr id="66" name="Imagem 4">
          <a:extLst>
            <a:ext uri="{FF2B5EF4-FFF2-40B4-BE49-F238E27FC236}">
              <a16:creationId xmlns:a16="http://schemas.microsoft.com/office/drawing/2014/main" id="{DE4802CF-BBB4-A420-2092-F3C36AECA3E1}"/>
            </a:ext>
            <a:ext uri="{147F2762-F138-4A5C-976F-8EAC2B608ADB}">
              <a16:predDERef xmlns:a16="http://schemas.microsoft.com/office/drawing/2014/main" pred="{71A499F7-7BCB-43D8-AAAA-8629B391E887}"/>
            </a:ext>
          </a:extLst>
        </xdr:cNvPr>
        <xdr:cNvPicPr>
          <a:picLocks noChangeAspect="1"/>
        </xdr:cNvPicPr>
      </xdr:nvPicPr>
      <xdr:blipFill>
        <a:blip xmlns:r="http://schemas.openxmlformats.org/officeDocument/2006/relationships" r:embed="rId1"/>
        <a:stretch>
          <a:fillRect/>
        </a:stretch>
      </xdr:blipFill>
      <xdr:spPr>
        <a:xfrm>
          <a:off x="228600" y="219075"/>
          <a:ext cx="1704975" cy="952500"/>
        </a:xfrm>
        <a:prstGeom prst="rect">
          <a:avLst/>
        </a:prstGeom>
      </xdr:spPr>
    </xdr:pic>
    <xdr:clientData/>
  </xdr:twoCellAnchor>
  <xdr:twoCellAnchor editAs="oneCell">
    <xdr:from>
      <xdr:col>1</xdr:col>
      <xdr:colOff>266700</xdr:colOff>
      <xdr:row>1</xdr:row>
      <xdr:rowOff>1009650</xdr:rowOff>
    </xdr:from>
    <xdr:to>
      <xdr:col>1</xdr:col>
      <xdr:colOff>1838325</xdr:colOff>
      <xdr:row>2</xdr:row>
      <xdr:rowOff>1019175</xdr:rowOff>
    </xdr:to>
    <xdr:pic>
      <xdr:nvPicPr>
        <xdr:cNvPr id="65" name="Imagem 6">
          <a:extLst>
            <a:ext uri="{FF2B5EF4-FFF2-40B4-BE49-F238E27FC236}">
              <a16:creationId xmlns:a16="http://schemas.microsoft.com/office/drawing/2014/main" id="{E7B9C6F2-3408-C93F-0702-B112AD0D8436}"/>
            </a:ext>
            <a:ext uri="{147F2762-F138-4A5C-976F-8EAC2B608ADB}">
              <a16:predDERef xmlns:a16="http://schemas.microsoft.com/office/drawing/2014/main" pred="{DE4802CF-BBB4-A420-2092-F3C36AECA3E1}"/>
            </a:ext>
          </a:extLst>
        </xdr:cNvPr>
        <xdr:cNvPicPr>
          <a:picLocks noChangeAspect="1"/>
        </xdr:cNvPicPr>
      </xdr:nvPicPr>
      <xdr:blipFill>
        <a:blip xmlns:r="http://schemas.openxmlformats.org/officeDocument/2006/relationships" r:embed="rId2"/>
        <a:stretch>
          <a:fillRect/>
        </a:stretch>
      </xdr:blipFill>
      <xdr:spPr>
        <a:xfrm>
          <a:off x="295275" y="1181100"/>
          <a:ext cx="1571625" cy="1038225"/>
        </a:xfrm>
        <a:prstGeom prst="rect">
          <a:avLst/>
        </a:prstGeom>
      </xdr:spPr>
    </xdr:pic>
    <xdr:clientData/>
  </xdr:twoCellAnchor>
  <xdr:twoCellAnchor editAs="oneCell">
    <xdr:from>
      <xdr:col>1</xdr:col>
      <xdr:colOff>257175</xdr:colOff>
      <xdr:row>2</xdr:row>
      <xdr:rowOff>1009650</xdr:rowOff>
    </xdr:from>
    <xdr:to>
      <xdr:col>1</xdr:col>
      <xdr:colOff>1838325</xdr:colOff>
      <xdr:row>4</xdr:row>
      <xdr:rowOff>9525</xdr:rowOff>
    </xdr:to>
    <xdr:pic>
      <xdr:nvPicPr>
        <xdr:cNvPr id="64" name="Imagem 8">
          <a:extLst>
            <a:ext uri="{FF2B5EF4-FFF2-40B4-BE49-F238E27FC236}">
              <a16:creationId xmlns:a16="http://schemas.microsoft.com/office/drawing/2014/main" id="{6E087581-A6A0-EA0D-F540-ADA26BFDA4E6}"/>
            </a:ext>
            <a:ext uri="{147F2762-F138-4A5C-976F-8EAC2B608ADB}">
              <a16:predDERef xmlns:a16="http://schemas.microsoft.com/office/drawing/2014/main" pred="{E7B9C6F2-3408-C93F-0702-B112AD0D8436}"/>
            </a:ext>
          </a:extLst>
        </xdr:cNvPr>
        <xdr:cNvPicPr>
          <a:picLocks noChangeAspect="1"/>
        </xdr:cNvPicPr>
      </xdr:nvPicPr>
      <xdr:blipFill>
        <a:blip xmlns:r="http://schemas.openxmlformats.org/officeDocument/2006/relationships" r:embed="rId3"/>
        <a:stretch>
          <a:fillRect/>
        </a:stretch>
      </xdr:blipFill>
      <xdr:spPr>
        <a:xfrm>
          <a:off x="285750" y="2219325"/>
          <a:ext cx="1581150" cy="1057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262618</xdr:colOff>
      <xdr:row>1</xdr:row>
      <xdr:rowOff>147864</xdr:rowOff>
    </xdr:from>
    <xdr:to>
      <xdr:col>21</xdr:col>
      <xdr:colOff>1179739</xdr:colOff>
      <xdr:row>7</xdr:row>
      <xdr:rowOff>401864</xdr:rowOff>
    </xdr:to>
    <xdr:graphicFrame macro="">
      <xdr:nvGraphicFramePr>
        <xdr:cNvPr id="310" name="Gráfico 8">
          <a:extLst>
            <a:ext uri="{FF2B5EF4-FFF2-40B4-BE49-F238E27FC236}">
              <a16:creationId xmlns:a16="http://schemas.microsoft.com/office/drawing/2014/main" id="{834A8E00-B31D-EC7A-4166-66F40E641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234042</xdr:colOff>
      <xdr:row>7</xdr:row>
      <xdr:rowOff>486228</xdr:rowOff>
    </xdr:from>
    <xdr:to>
      <xdr:col>21</xdr:col>
      <xdr:colOff>1145720</xdr:colOff>
      <xdr:row>12</xdr:row>
      <xdr:rowOff>435428</xdr:rowOff>
    </xdr:to>
    <xdr:graphicFrame macro="">
      <xdr:nvGraphicFramePr>
        <xdr:cNvPr id="301" name="Gráfico 9">
          <a:extLst>
            <a:ext uri="{FF2B5EF4-FFF2-40B4-BE49-F238E27FC236}">
              <a16:creationId xmlns:a16="http://schemas.microsoft.com/office/drawing/2014/main" id="{CF12CB32-795F-7528-355F-ABE1EF8A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210911</xdr:colOff>
      <xdr:row>12</xdr:row>
      <xdr:rowOff>481693</xdr:rowOff>
    </xdr:from>
    <xdr:to>
      <xdr:col>21</xdr:col>
      <xdr:colOff>1122589</xdr:colOff>
      <xdr:row>19</xdr:row>
      <xdr:rowOff>75293</xdr:rowOff>
    </xdr:to>
    <xdr:graphicFrame macro="">
      <xdr:nvGraphicFramePr>
        <xdr:cNvPr id="284" name="Gráfico 10">
          <a:extLst>
            <a:ext uri="{FF2B5EF4-FFF2-40B4-BE49-F238E27FC236}">
              <a16:creationId xmlns:a16="http://schemas.microsoft.com/office/drawing/2014/main" id="{E53AAB4F-BCF1-AFDB-6C67-D6DB06F29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200025</xdr:colOff>
      <xdr:row>19</xdr:row>
      <xdr:rowOff>117929</xdr:rowOff>
    </xdr:from>
    <xdr:to>
      <xdr:col>21</xdr:col>
      <xdr:colOff>1111703</xdr:colOff>
      <xdr:row>26</xdr:row>
      <xdr:rowOff>486229</xdr:rowOff>
    </xdr:to>
    <xdr:graphicFrame macro="">
      <xdr:nvGraphicFramePr>
        <xdr:cNvPr id="271" name="Gráfico 11">
          <a:extLst>
            <a:ext uri="{FF2B5EF4-FFF2-40B4-BE49-F238E27FC236}">
              <a16:creationId xmlns:a16="http://schemas.microsoft.com/office/drawing/2014/main" id="{278A061F-1821-F77F-C4FB-83DCDAE4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39914</xdr:colOff>
      <xdr:row>1</xdr:row>
      <xdr:rowOff>156029</xdr:rowOff>
    </xdr:from>
    <xdr:to>
      <xdr:col>26</xdr:col>
      <xdr:colOff>582386</xdr:colOff>
      <xdr:row>7</xdr:row>
      <xdr:rowOff>404586</xdr:rowOff>
    </xdr:to>
    <xdr:graphicFrame macro="">
      <xdr:nvGraphicFramePr>
        <xdr:cNvPr id="234" name="Gráfico 9">
          <a:extLst>
            <a:ext uri="{FF2B5EF4-FFF2-40B4-BE49-F238E27FC236}">
              <a16:creationId xmlns:a16="http://schemas.microsoft.com/office/drawing/2014/main" id="{329C4E22-EDA8-2790-78BC-2BB380AED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29028</xdr:colOff>
      <xdr:row>7</xdr:row>
      <xdr:rowOff>486231</xdr:rowOff>
    </xdr:from>
    <xdr:to>
      <xdr:col>26</xdr:col>
      <xdr:colOff>571500</xdr:colOff>
      <xdr:row>12</xdr:row>
      <xdr:rowOff>440871</xdr:rowOff>
    </xdr:to>
    <xdr:graphicFrame macro="">
      <xdr:nvGraphicFramePr>
        <xdr:cNvPr id="225" name="Gráfico 10">
          <a:extLst>
            <a:ext uri="{FF2B5EF4-FFF2-40B4-BE49-F238E27FC236}">
              <a16:creationId xmlns:a16="http://schemas.microsoft.com/office/drawing/2014/main" id="{1704079C-BD96-E47C-AB2B-4E42B2B1C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29030</xdr:colOff>
      <xdr:row>12</xdr:row>
      <xdr:rowOff>489857</xdr:rowOff>
    </xdr:from>
    <xdr:to>
      <xdr:col>26</xdr:col>
      <xdr:colOff>571502</xdr:colOff>
      <xdr:row>19</xdr:row>
      <xdr:rowOff>67129</xdr:rowOff>
    </xdr:to>
    <xdr:graphicFrame macro="">
      <xdr:nvGraphicFramePr>
        <xdr:cNvPr id="253" name="Gráfico 11">
          <a:extLst>
            <a:ext uri="{FF2B5EF4-FFF2-40B4-BE49-F238E27FC236}">
              <a16:creationId xmlns:a16="http://schemas.microsoft.com/office/drawing/2014/main" id="{DFB6DC05-2790-57DD-8CC3-C444109A2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7256</xdr:colOff>
      <xdr:row>19</xdr:row>
      <xdr:rowOff>161471</xdr:rowOff>
    </xdr:from>
    <xdr:to>
      <xdr:col>26</xdr:col>
      <xdr:colOff>549728</xdr:colOff>
      <xdr:row>26</xdr:row>
      <xdr:rowOff>491672</xdr:rowOff>
    </xdr:to>
    <xdr:graphicFrame macro="">
      <xdr:nvGraphicFramePr>
        <xdr:cNvPr id="262" name="Gráfico 12">
          <a:extLst>
            <a:ext uri="{FF2B5EF4-FFF2-40B4-BE49-F238E27FC236}">
              <a16:creationId xmlns:a16="http://schemas.microsoft.com/office/drawing/2014/main" id="{6B9A0A37-C244-6591-5EF5-1AD985372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VID TITA" id="{6D2C5BD9-1C3E-4972-9F97-1CA81A3CC14E}" userId="S::david.tita@aln.iseg.ulisboa.pt::2b554b1a-dfdf-4fc2-8414-05963e9f059c" providerId="AD"/>
  <person displayName="VASCO AFONSO" id="{25685B3D-DEEB-794E-B072-872B8292B547}" userId="S::vascoafonso@aln.iseg.ulisboa.pt::bf69b550-7f67-43ba-9b86-a5be0f9d539a"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7">
  <rv s="0">
    <v>https://www.bing.com/financeapi/forcetrigger?t=bptw77&amp;q=XNYS%3aUBER&amp;form=skydnc</v>
    <v>Learn more on Bing</v>
  </rv>
  <rv s="1">
    <v>pt-BR</v>
    <v>bptw77</v>
    <v>268435456</v>
    <v>1</v>
    <v>Da plataforma Refinitiv</v>
    <v>0</v>
    <v>1</v>
    <v>UBER TECHNOLOGIES, INC. (XNYS:UBER)</v>
    <v>3</v>
    <v>4</v>
    <v>Finance</v>
    <v>5</v>
    <v>87</v>
    <v>54.84</v>
    <v>XNYS</v>
    <v>2089009000</v>
    <v>75.540000000000006</v>
    <v>2010</v>
    <v>72.47</v>
    <v>1.365</v>
    <v>New York Stock Exchange</v>
    <v>149468600000</v>
    <v>A Uber Technologies, Inc. (Uber) desenvolve e opera aplicativos de tecnologia que suportam uma variedade de ofertas em sua plataforma. Seus segmentos operacionais incluem Passeios, Comem, Frete, Outras Apostas, e Advanced Technologies Group (ATG) e Outros Programas de Tecnologia. Os produtos Rides conectam os consumidores com os motoristas que oferecem passeios em uma variedade de veículos, como carros, riquixás de automóveis ou táxis. A oferta Eats permite que os consumidores procurem restaurantes, solicitem uma refeição e entreguem a refeição. O frete conecta transportadoras com remetentes em sua plataforma e permite agendar uma remessa. O segmento de Outras Apostas consiste em várias ofertas de estágio de investimento, incluindo nova oferta de mobilidade que se refere a produtos que fornecem aos consumidores acesso a viagens através de uma variedade de modos, incluindo scooters eletrônicos. O segmento ATG e outros programas de tecnologia é responsável pelo desenvolvimento e comercialização de tecnologias de veículos autônomos e de compartilhamento de passeios.</v>
    <v>XNYS</v>
    <v>73.02</v>
    <v>31100</v>
    <v>45736.603856006252</v>
    <v>0</v>
    <v>18858672</v>
    <v>USD</v>
    <v>UBER TECHNOLOGIES, INC.</v>
    <v>UBER TECHNOLOGIES, INC.</v>
    <v>15.934699999999999</v>
    <v>72.62</v>
    <v>75.319999999999993</v>
    <v>1725 3Rd Street, SAN FRANCISCO, CA, 94158 US</v>
    <v>Software &amp; IT Services</v>
    <v>UBER</v>
    <v>Ações</v>
    <v>UBER TECHNOLOGIES, INC. (XNYS:UBER)</v>
    <v>2.2999999999999998</v>
    <v>3.1497999999999998E-2</v>
    <v>3996737</v>
  </rv>
  <rv s="2">
    <v>1</v>
  </rv>
  <rv s="0">
    <v>https://www.bing.com/financeapi/forcetrigger?t=bshkrw&amp;q=XLON%3a0A1U&amp;form=skydnc</v>
    <v>Learn more on Bing</v>
  </rv>
  <rv s="3">
    <v>pt-BR</v>
    <v>bshkrw</v>
    <v>268435456</v>
    <v>1</v>
    <v>Da plataforma Refinitiv</v>
    <v>6</v>
    <v>7</v>
    <v>UBER TECHNOLOGIES, INC. (XLON:0A1U)</v>
    <v>3</v>
    <v>8</v>
    <v>Finance</v>
    <v>9</v>
    <v>82.3</v>
    <v>26.248000000000001</v>
    <v>XLON</v>
    <v>2089009000</v>
    <v>2010</v>
    <v>1.365</v>
    <v>London Stock Exchange</v>
    <v>152539400000</v>
    <v>A Uber Technologies, Inc. (Uber) desenvolve e opera aplicativos de tecnologia que suportam uma variedade de ofertas em sua plataforma. Seus segmentos operacionais incluem Passeios, Comem, Frete, Outras Apostas, e Advanced Technologies Group (ATG) e Outros Programas de Tecnologia. Os produtos Rides conectam os consumidores com os motoristas que oferecem passeios em uma variedade de veículos, como carros, riquixás de automóveis ou táxis. A oferta Eats permite que os consumidores procurem restaurantes, solicitem uma refeição e entreguem a refeição. O frete conecta transportadoras com remetentes em sua plataforma e permite agendar uma remessa. O segmento de Outras Apostas consiste em várias ofertas de estágio de investimento, incluindo nova oferta de mobilidade que se refere a produtos que fornecem aos consumidores acesso a viagens através de uma variedade de modos, incluindo scooters eletrônicos. O segmento ATG e outros programas de tecnologia é responsável pelo desenvolvimento e comercialização de tecnologias de veículos autônomos e de compartilhamento de passeios.</v>
    <v>XLON</v>
    <v>72.599999999999994</v>
    <v>31100</v>
    <v>45736.592321735938</v>
    <v>3</v>
    <v>18174370</v>
    <v>USD</v>
    <v>UBER TECHNOLOGIES, INC.</v>
    <v>UBER TECHNOLOGIES, INC.</v>
    <v>15.8432</v>
    <v>74.84</v>
    <v>1725 3Rd Street, SAN FRANCISCO, CA, 94158 US</v>
    <v>Software &amp; IT Services</v>
    <v>0A1U</v>
    <v>Ações</v>
    <v>UBER TECHNOLOGIES, INC. (XLON:0A1U)</v>
    <v>2.2400000000000002</v>
    <v>3.0853999999999999E-2</v>
    <v>7532</v>
  </rv>
  <rv s="2">
    <v>4</v>
  </rv>
  <rv s="0">
    <v>https://www.bing.com/financeapi/forcetrigger?t=c2k8hw&amp;q=OTCM%3aDIDIY&amp;form=skydnc</v>
    <v>Learn more on Bing</v>
  </rv>
  <rv s="1">
    <v>pt-BR</v>
    <v>c2k8hw</v>
    <v>268435456</v>
    <v>1</v>
    <v>Da plataforma Refinitiv</v>
    <v>0</v>
    <v>1</v>
    <v>DiDi Global (OTCM:DIDIY)</v>
    <v>3</v>
    <v>4</v>
    <v>Finance</v>
    <v>10</v>
    <v>5.47</v>
    <v>0.32</v>
    <v>OTCM</v>
    <v>4892229000</v>
    <v>4.99</v>
    <v>2013</v>
    <v>4.78</v>
    <v>0.45839999999999997</v>
    <v>OTC Markets</v>
    <v>23724864535</v>
    <v>DiDi Global Inc is a China-based company principally engaged in the operation of mobility technology platform. The Company is focused on shared mobility, providing consumers with a range of mobility services. The Company operates in three segments: China Mobility, International and Other Initiatives. The China Mobility segment mainly comprises of ride hailing, taxi hailing, chauffeur and hitch services. The International segment includes ride hailing and food delivery services in international markets, outside of China. The Other Initiatives mainly consist of bike and electric bike (e-bike) sharing, intra-city freight, community group buying, autonomous driving, financial services and auto solutions, such as charging, refueling, maintenance and repair.</v>
    <v>OTCM</v>
    <v>4.8499999999999996</v>
    <v>19328</v>
    <v>45736.593353240627</v>
    <v>6</v>
    <v>10738540</v>
    <v>USD</v>
    <v>DiDi Global</v>
    <v>DiDi Global</v>
    <v>93.721299999999999</v>
    <v>4.84</v>
    <v>4.8494999999999999</v>
    <v>Didi Xinchenghai, Building 1, Yard 6,, North Ring Rd, Tangjialing, Haidian Dist, BEIJING, BEIJING, 100193 CN</v>
    <v>Passenger Transportation Services</v>
    <v>DIDIY</v>
    <v>Ações</v>
    <v>DiDi Global (OTCM:DIDIY)</v>
    <v>-5.0000000000000001E-4</v>
    <v>-1.031E-4</v>
    <v>3263374</v>
  </rv>
  <rv s="2">
    <v>7</v>
  </rv>
  <rv s="0">
    <v>https://www.bing.com/financeapi/forcetrigger?t=b6m84c&amp;q=XNAS%3aLYFT&amp;form=skydnc</v>
    <v>Learn more on Bing</v>
  </rv>
  <rv s="1">
    <v>pt-BR</v>
    <v>b6m84c</v>
    <v>268435456</v>
    <v>1</v>
    <v>Da plataforma Refinitiv</v>
    <v>0</v>
    <v>1</v>
    <v>Lyft (XNAS:LYFT)</v>
    <v>3</v>
    <v>4</v>
    <v>Finance</v>
    <v>5</v>
    <v>20.82</v>
    <v>8.9250000000000007</v>
    <v>XNAS</v>
    <v>418008500</v>
    <v>12.095000000000001</v>
    <v>2007</v>
    <v>11.57</v>
    <v>2.1463000000000001</v>
    <v>Nasdaq Stock Market</v>
    <v>5026552212</v>
    <v>Lyft, Inc. is a multimodal transportation network in the United States and Canada. It offers access to a variety of transportation options through its platform and mobile-based applications. The Lyft Platform provides a marketplace where drivers can be matched with riders via the Lyft App, where it operates as a transportation network company. Transportation options through its platform and mobile-based applications are substantially comprised of its ridesharing marketplace that connects drivers and riders in cities across the United States and in certain cities in Canada, Lyft’s network of bikes and scooters, and the Express Drive program, where drivers can enter into short-term rental agreements with its subsidiary, Flexdrive Services, LLC or a third party for vehicles that may be used to provide ridesharing services on the Lyft Platform. It makes the ridesharing marketplace available to organizations through Lyft Business offerings, such as the Concierge and Lyft Pass programs.</v>
    <v>XNAS</v>
    <v>11.72</v>
    <v>2934</v>
    <v>45736.603810173438</v>
    <v>9</v>
    <v>21464629</v>
    <v>USD</v>
    <v>Lyft</v>
    <v>Lyft</v>
    <v>256.6798</v>
    <v>11.64</v>
    <v>12.025</v>
    <v>185 Berry Street, Suite 400, SAN FRANCISCO, CA, 94107 US</v>
    <v>Software &amp; IT Services</v>
    <v>LYFT</v>
    <v>Ações</v>
    <v>Lyft (XNAS:LYFT)</v>
    <v>0.30499999999999999</v>
    <v>2.6023999999999999E-2</v>
    <v>2409174</v>
  </rv>
  <rv s="2">
    <v>10</v>
  </rv>
  <rv s="0">
    <v>https://www.bing.com/financeapi/forcetrigger?t=bwyo5r&amp;q=XNAS%3aGRAB&amp;form=skydnc</v>
    <v>Learn more on Bing</v>
  </rv>
  <rv s="1">
    <v>pt-BR</v>
    <v>bwyo5r</v>
    <v>268435456</v>
    <v>1</v>
    <v>Da plataforma Refinitiv</v>
    <v>0</v>
    <v>1</v>
    <v>Grab Hldg (XNAS:GRAB)</v>
    <v>3</v>
    <v>4</v>
    <v>Finance</v>
    <v>5</v>
    <v>5.72</v>
    <v>2.98</v>
    <v>XNAS</v>
    <v>4074138000</v>
    <v>4.72</v>
    <v>2021</v>
    <v>4.63</v>
    <v>0.85529999999999995</v>
    <v>Nasdaq Stock Market</v>
    <v>18863258940</v>
    <v>Grab Holdings Limited operates as superapp based on gross merchandize value (GMV) in food deliveries, mobility, and the digital financial services sectors. The Company operates across the deliveries, mobility, and digital financial services sectors in over 700 cities in eight countries in the Southeast Asia region including Cambodia, Indonesia, Malaysia, Myanmar, the Philippines, Singapore, Thailand, and Vietnam. Its application enables people each day to access its driver and merchant-partners to order food or groceries, send packages, hail a ride or taxi, pay for online purchases or access services such as lending and insurance. Its financial services offerings include digital solutions offered by and with its partners to address the financial needs of driver and merchant partners and consumers, including digital payments, lending, receivables factoring, insurance distribution and wealth management in selected markets.</v>
    <v>XNAS</v>
    <v>4.71</v>
    <v>11267</v>
    <v>45736.603804767969</v>
    <v>12</v>
    <v>46364933</v>
    <v>USD</v>
    <v>Grab Hldg</v>
    <v>Grab Hldg</v>
    <v>0</v>
    <v>4.71</v>
    <v>4.63</v>
    <v>9 Straits View, Marina One West Tower #23-07/12, 018937 SG</v>
    <v>Software &amp; IT Services</v>
    <v>GRAB</v>
    <v>Ações</v>
    <v>Grab Hldg (XNAS:GRAB)</v>
    <v>-0.08</v>
    <v>-1.6985E-2</v>
    <v>2942700</v>
  </rv>
  <rv s="2">
    <v>13</v>
  </rv>
  <rv s="4">
    <v>en-US</v>
    <v>bwyo5r</v>
    <v>268435456</v>
    <v>1</v>
    <v>Powered by Refinitiv</v>
    <v>11</v>
    <v>12</v>
    <v>GRAB HOLDINGS LIMITED (XNAS:GRAB)</v>
    <v>3</v>
    <v>13</v>
    <v>Finance</v>
    <v>14</v>
    <v>5.72</v>
    <v>2.98</v>
    <v>0.85529999999999995</v>
    <v>-0.08</v>
    <v>-1.6985E-2</v>
    <v>USD</v>
    <v>Grab Holdings Limited operates as superapp based on gross merchandize value (GMV) in food deliveries, mobility, and the digital financial services sectors. The Company operates across the deliveries, mobility, and digital financial services sectors in over 700 cities in eight countries in the Southeast Asia region including Cambodia, Indonesia, Malaysia, Myanmar, the Philippines, Singapore, Thailand, and Vietnam. Its application enables people each day to access its driver and merchant-partners to order food or groceries, send packages, hail a ride or taxi, pay for online purchases or access services such as lending and insurance. Its financial services offerings include digital solutions offered by and with its partners to address the financial needs of driver and merchant partners and consumers, including digital payments, lending, receivables factoring, insurance distribution and wealth management in selected markets.</v>
    <v>11267</v>
    <v>Nasdaq Stock Market</v>
    <v>XNAS</v>
    <v>XNAS</v>
    <v>9 Straits View, Marina One West Tower #23-07/12, 018937 SG</v>
    <v>4.72</v>
    <v>Software &amp; IT Services</v>
    <v>Stock</v>
    <v>45736.603804767969</v>
    <v>12</v>
    <v>4.63</v>
    <v>18863258940</v>
    <v>GRAB HOLDINGS LIMITED</v>
    <v>GRAB HOLDINGS LIMITED</v>
    <v>4.71</v>
    <v>0</v>
    <v>4.71</v>
    <v>4.63</v>
    <v>4074138000</v>
    <v>GRAB</v>
    <v>GRAB HOLDINGS LIMITED (XNAS:GRAB)</v>
    <v>2942700</v>
    <v>46364933</v>
    <v>2021</v>
  </rv>
  <rv s="2">
    <v>15</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no de incorporação"/>
    <k n="Beta"/>
    <k n="Bolsa" t="s"/>
    <k n="Capitalização de mercado"/>
    <k n="Descrição" t="s"/>
    <k n="ExchangeID" t="s"/>
    <k n="Fechamento anterior"/>
    <k n="Funcionários"/>
    <k n="Hora da última transação"/>
    <k n="LearnMoreOnLink" t="r"/>
    <k n="Média de volume"/>
    <k n="Moeda" t="s"/>
    <k n="Nome" t="s"/>
    <k n="Nome oficial" t="s"/>
    <k n="P/E"/>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3">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5">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1</v>
      <v>3</v>
      <v>2</v>
      <v>2</v>
      <v>4</v>
      <v>2</v>
      <v>2</v>
      <v>4</v>
      <v>5</v>
      <v>4</v>
      <v>6</v>
      <v>2</v>
      <v>2</v>
      <v>7</v>
      <v>4</v>
      <v>2</v>
      <v>8</v>
      <v>9</v>
    </spb>
    <spb s="5">
      <v>Tempo Real Nasdaq Última venda</v>
      <v xml:space="preserve">do fechamento anterior </v>
      <v>Origem : Nasdaq Última venda</v>
      <v xml:space="preserve">do fechamento anterior </v>
      <v>GMT</v>
    </spb>
    <spb s="6">
      <v>P/E</v>
      <v>Beta</v>
      <v>Name</v>
      <v>Headquarters</v>
      <v>Exchange</v>
      <v>Currency</v>
      <v>Price</v>
      <v>Industry</v>
      <v>Volume</v>
      <v>Change</v>
      <v>Description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1</v>
      <v>Name</v>
      <v>LearnMoreOnLink</v>
    </spb>
    <spb s="7">
      <v>1</v>
      <v>1</v>
      <v>3</v>
      <v>2</v>
      <v>4</v>
      <v>2</v>
      <v>4</v>
      <v>5</v>
      <v>4</v>
      <v>6</v>
      <v>2</v>
      <v>2</v>
      <v>7</v>
      <v>4</v>
      <v>2</v>
      <v>8</v>
      <v>9</v>
    </spb>
    <spb s="5">
      <v>Atraso de 15 minutos</v>
      <v xml:space="preserve">do fechamento anterior </v>
      <v>LSE</v>
      <v xml:space="preserve">do fechamento anterior </v>
      <v>GMT</v>
    </spb>
    <spb s="8">
      <v>Atraso de 15 minutos</v>
      <v xml:space="preserve">do fechamento anterior </v>
      <v xml:space="preserve">do fechamento anterior </v>
      <v>GMT</v>
    </spb>
    <spb s="9">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2</v>
      <v>Name</v>
      <v>LearnMoreOnLink</v>
    </spb>
    <spb s="10">
      <v>2</v>
      <v>1</v>
      <v>1</v>
      <v>2</v>
      <v>3</v>
      <v>2</v>
      <v>2</v>
      <v>2</v>
      <v>4</v>
      <v>4</v>
      <v>5</v>
      <v>8</v>
      <v>2</v>
      <v>2</v>
      <v>2</v>
      <v>4</v>
      <v>9</v>
      <v>7</v>
      <v>6</v>
      <v>4</v>
    </spb>
    <spb s="11">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12">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P/E" t="s"/>
    <k n="Beta" t="s"/>
    <k n="Nome" t="s"/>
    <k n="Sede" t="s"/>
    <k n="Bolsa" t="s"/>
    <k n="Moeda" t="s"/>
    <k n="Preço" t="s"/>
    <k n="Setor" t="s"/>
    <k n="Volume" t="s"/>
    <k n="Variação" t="s"/>
    <k n="Descrição"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Beta" t="i"/>
    <k n="Nome" t="i"/>
    <k n="Preço" t="i"/>
    <k n="Volume" t="i"/>
    <k n="Variação"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m/d/yyyy\ h:mm"/>
    </x:dxf>
    <x:dxf>
      <x:numFmt numFmtId="0" formatCode="General"/>
    </x:dxf>
  </dxfs>
  <richProperties>
    <rPr n="NumberFormat" t="s"/>
    <rPr n="IsTitleField" t="b"/>
  </richProperties>
  <richStyles>
    <rSty dxfid="0">
      <rpv i="0">#,##0.00</rpv>
    </rSty>
    <rSty dxfid="6">
      <rpv i="0">_([$$-en-US]* #,##0.00_);_([$$-en-US]* (#,##0.00);_([$$-en-US]* "-"??_);_(@_)</rpv>
    </rSty>
    <rSty>
      <rpv i="1">1</rpv>
    </rSty>
    <rSty dxfid="1">
      <rpv i="0">#,##0</rpv>
    </rSty>
    <rSty dxfid="2"/>
    <rSty dxfid="3">
      <rpv i="0">0.00</rpv>
    </rSty>
    <rSty dxfid="4">
      <rpv i="0">0</rpv>
    </rSty>
    <rSty dxfid="6">
      <rpv i="0">_([$$-en-US]* #,##0_);_([$$-en-US]* (#,##0);_([$$-en-US]* "-"_);_(@_)</rpv>
    </rSty>
    <rSty dxfid="5"/>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FDC50A-B43B-3E4A-8A09-F6D8174A06B1}" name="Table13" displayName="Table13" ref="A8:F104" totalsRowShown="0" dataDxfId="26" headerRowBorderDxfId="24" tableBorderDxfId="25">
  <autoFilter ref="A8:F104" xr:uid="{47F847EC-0454-1C48-B428-75CB4714DE17}"/>
  <tableColumns count="6">
    <tableColumn id="1" xr3:uid="{41251513-367B-F549-8228-BB5FC11CF248}" name="Industry Name" dataDxfId="23"/>
    <tableColumn id="2" xr3:uid="{4FFA8CED-F95A-5B4D-8EB2-733BDD4FA1D0}" name="Number of Firms" dataDxfId="22"/>
    <tableColumn id="3" xr3:uid="{4F38A932-9263-8D43-AAD9-A541092E6926}" name="CAGR in Net Income- Last 5 years" dataDxfId="21"/>
    <tableColumn id="4" xr3:uid="{11BC1DDA-8DD6-E64D-9446-9C82B391D159}" name="CAGR in Revenues- Last 5 years" dataDxfId="20"/>
    <tableColumn id="5" xr3:uid="{B875CD52-C78D-6949-93DB-AF3D7E4D93A8}" name="Expected Growth in Revenues - Next 2 years" dataDxfId="19"/>
    <tableColumn id="6" xr3:uid="{3B7F051E-3D83-1345-BB04-951A5B529C84}" name="Expected Growth in EPS - Next 5 years" dataDxfId="1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94178A-D327-914F-9ED2-5C285D16E959}" name="Table1" displayName="Table1" ref="A8:N104" totalsRowShown="0" headerRowDxfId="17" headerRowBorderDxfId="15" tableBorderDxfId="16" totalsRowBorderDxfId="14">
  <autoFilter ref="A8:N104" xr:uid="{F6AC0E90-5E3D-6544-8269-3F6DB595B0A7}"/>
  <tableColumns count="14">
    <tableColumn id="1" xr3:uid="{B51B732B-0A0E-AA4D-B058-CACB07803BEB}" name="Industry name" dataDxfId="13"/>
    <tableColumn id="2" xr3:uid="{906DB399-6386-5F40-8958-12502300D1F4}" name="Number of firms" dataDxfId="12"/>
    <tableColumn id="3" xr3:uid="{E28FEB43-F60B-1D42-B4DE-7A6794DC8CBE}" name="  Dividends " dataDxfId="11"/>
    <tableColumn id="4" xr3:uid="{AF447317-5C73-9643-B989-77F40878FCC3}" name=" Net Income " dataDxfId="10"/>
    <tableColumn id="5" xr3:uid="{24655748-B50C-0D43-9C02-2C34891A5C20}" name="Payout" dataDxfId="9"/>
    <tableColumn id="6" xr3:uid="{3091643C-7153-CE40-90EC-1DA386BBC519}" name="Dividends + Buybacks" dataDxfId="8"/>
    <tableColumn id="7" xr3:uid="{4EEB62E7-905B-3847-B4B9-0F49DDBCECAF}" name="Cash Return as % of Net Income" dataDxfId="7"/>
    <tableColumn id="8" xr3:uid="{ECE181C9-C031-1F4F-9AA3-34DD4285DC0A}" name="Dividends + Buybacks - Stock Issuances" dataDxfId="6"/>
    <tableColumn id="9" xr3:uid="{F0D4FD7C-6291-8242-B6FB-04C3D92B6BB7}" name="FCFE (before debt cash flows)" dataDxfId="5"/>
    <tableColumn id="10" xr3:uid="{2D2BFA8D-AA81-5B46-9CBB-22E7F57366A4}" name="FCFE (after debt cash flows)" dataDxfId="4"/>
    <tableColumn id="11" xr3:uid="{FC8D9ECF-57D1-C24B-BCE4-18DB51E21208}" name="Net Cash Returned/FCFE (pre-debt)" dataDxfId="3"/>
    <tableColumn id="12" xr3:uid="{D88FA799-BDF1-714A-8204-5A05F260ED47}" name="Net Cash Returned/FCFE (post-debt)" dataDxfId="2"/>
    <tableColumn id="13" xr3:uid="{004EA443-F1D5-2943-9108-BD2C20742DF3}" name="Net Cash Returned/ Net Income" dataDxfId="1"/>
    <tableColumn id="14" xr3:uid="{EA2CD231-2685-0F49-B20D-D22EE2C4762D}" name="Cash/ Firm Value" dataDxfId="0"/>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threadedComments/threadedComment2.xml><?xml version="1.0" encoding="utf-8"?>
<ThreadedComments xmlns="http://schemas.microsoft.com/office/spreadsheetml/2018/threadedcomments" xmlns:x="http://schemas.openxmlformats.org/spreadsheetml/2006/main">
  <threadedComment ref="G22" dT="2023-09-14T11:29:22.76" personId="{25685B3D-DEEB-794E-B072-872B8292B547}" id="{0A58B102-058A-6540-A9B4-386407E8B307}">
    <text xml:space="preserve">Este valor ta a causar o problema rever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file:///./Users/franciscopuebla/Desktop/UBER.K%20-%20Segments.fld/sheet002.ht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hyperlink" Target="file:///./Users/franciscopuebla/Desktop/UBER.K%20-%20Segments.fld/sheet002.htm" TargetMode="External"/><Relationship Id="rId2" Type="http://schemas.openxmlformats.org/officeDocument/2006/relationships/hyperlink" Target="file:///./Users/franciscopuebla/Desktop/UBER.K%20-%20Segments.fld/sheet002.htm" TargetMode="External"/><Relationship Id="rId1" Type="http://schemas.openxmlformats.org/officeDocument/2006/relationships/hyperlink" Target="https://www.fortunebusinessinsights.com/ride-sharing-market-103336"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hyperlink" Target="http://www.stern.nyu.edu/~adamodar/New_Home_Page/data.html"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table" Target="../tables/table1.x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stern.nyu.edu/~adamodar/New_Home_Page/data.html"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table" Target="../tables/table2.x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s://pages.stern.nyu.edu/~adamodar/pc/datasets/indname.x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X104"/>
  <sheetViews>
    <sheetView showGridLines="0" topLeftCell="A17" zoomScale="90" zoomScaleNormal="90" workbookViewId="0">
      <selection activeCell="H37" sqref="H37:H40"/>
    </sheetView>
  </sheetViews>
  <sheetFormatPr defaultColWidth="11.42578125" defaultRowHeight="12.95"/>
  <cols>
    <col min="1" max="1" width="0.28515625" customWidth="1"/>
    <col min="2" max="2" width="21.140625" bestFit="1" customWidth="1"/>
    <col min="3" max="3" width="23.42578125" customWidth="1"/>
    <col min="4" max="4" width="32" customWidth="1"/>
    <col min="5" max="5" width="20.28515625" bestFit="1" customWidth="1"/>
    <col min="6" max="6" width="17" bestFit="1" customWidth="1"/>
    <col min="7" max="7" width="13.42578125" bestFit="1" customWidth="1"/>
    <col min="8" max="8" width="24.85546875" customWidth="1"/>
    <col min="9" max="9" width="17.140625" customWidth="1"/>
    <col min="10" max="10" width="10.28515625" customWidth="1"/>
    <col min="11" max="11" width="13.85546875" customWidth="1"/>
    <col min="12" max="12" width="20.85546875" bestFit="1" customWidth="1"/>
    <col min="13" max="13" width="31" customWidth="1"/>
  </cols>
  <sheetData>
    <row r="1" spans="2:24" ht="3.75" customHeight="1" thickBot="1"/>
    <row r="2" spans="2:24" ht="22.5" customHeight="1">
      <c r="B2" s="455">
        <v>45039</v>
      </c>
      <c r="C2" s="328" t="s">
        <v>0</v>
      </c>
      <c r="D2" s="456"/>
      <c r="E2" s="911" t="e" vm="1">
        <f>Inputs!H3</f>
        <v>#VALUE!</v>
      </c>
      <c r="F2" s="912"/>
      <c r="G2" s="912"/>
      <c r="H2" s="912"/>
      <c r="I2" s="912"/>
      <c r="J2" s="912"/>
      <c r="K2" s="913"/>
      <c r="L2" s="329" t="s">
        <v>1</v>
      </c>
      <c r="M2" s="543" t="s">
        <v>2</v>
      </c>
    </row>
    <row r="3" spans="2:24" ht="26.25" customHeight="1">
      <c r="B3" s="931"/>
      <c r="C3" s="932"/>
      <c r="D3" s="924" t="s">
        <v>3</v>
      </c>
      <c r="E3" s="924"/>
      <c r="F3" s="924"/>
      <c r="G3" s="924"/>
      <c r="H3" s="924" t="s">
        <v>4</v>
      </c>
      <c r="I3" s="924"/>
      <c r="J3" s="924"/>
      <c r="K3" s="924"/>
      <c r="L3" s="924"/>
      <c r="M3" s="925"/>
    </row>
    <row r="4" spans="2:24" ht="14.1">
      <c r="B4" s="931"/>
      <c r="C4" s="932"/>
      <c r="D4" s="945" t="s">
        <v>5</v>
      </c>
      <c r="E4" s="945"/>
      <c r="F4" s="945"/>
      <c r="G4" s="945"/>
      <c r="H4" s="130" t="s">
        <v>6</v>
      </c>
      <c r="I4" s="131" t="s">
        <v>7</v>
      </c>
      <c r="J4" s="131" t="s">
        <v>8</v>
      </c>
      <c r="K4" s="131" t="s">
        <v>9</v>
      </c>
      <c r="L4" s="131" t="s">
        <v>10</v>
      </c>
      <c r="M4" s="132" t="s">
        <v>11</v>
      </c>
    </row>
    <row r="5" spans="2:24" ht="26.1">
      <c r="B5" s="931"/>
      <c r="C5" s="932"/>
      <c r="D5" s="945"/>
      <c r="E5" s="945"/>
      <c r="F5" s="945"/>
      <c r="G5" s="945"/>
      <c r="H5" s="440" t="s">
        <v>12</v>
      </c>
      <c r="I5" s="440" t="s">
        <v>13</v>
      </c>
      <c r="J5" s="440">
        <v>73</v>
      </c>
      <c r="K5" s="440">
        <v>4</v>
      </c>
      <c r="L5" s="440" t="s">
        <v>14</v>
      </c>
      <c r="M5" s="330" t="s">
        <v>15</v>
      </c>
    </row>
    <row r="6" spans="2:24" ht="20.25" customHeight="1">
      <c r="B6" s="931"/>
      <c r="C6" s="932"/>
      <c r="D6" s="945"/>
      <c r="E6" s="945"/>
      <c r="F6" s="945"/>
      <c r="G6" s="945"/>
      <c r="H6" s="440" t="s">
        <v>16</v>
      </c>
      <c r="I6" s="440" t="s">
        <v>17</v>
      </c>
      <c r="J6" s="440">
        <v>63</v>
      </c>
      <c r="K6" s="440">
        <v>5</v>
      </c>
      <c r="L6" s="440" t="s">
        <v>14</v>
      </c>
      <c r="M6" s="330" t="s">
        <v>18</v>
      </c>
    </row>
    <row r="7" spans="2:24" ht="14.1">
      <c r="B7" s="931"/>
      <c r="C7" s="932"/>
      <c r="D7" s="945"/>
      <c r="E7" s="945"/>
      <c r="F7" s="945"/>
      <c r="G7" s="945"/>
      <c r="H7" s="440" t="s">
        <v>19</v>
      </c>
      <c r="I7" s="440" t="s">
        <v>13</v>
      </c>
      <c r="J7" s="440">
        <v>52</v>
      </c>
      <c r="K7" s="440">
        <v>5</v>
      </c>
      <c r="L7" s="440" t="s">
        <v>20</v>
      </c>
      <c r="M7" s="330" t="s">
        <v>21</v>
      </c>
    </row>
    <row r="8" spans="2:24" ht="26.1">
      <c r="B8" s="931"/>
      <c r="C8" s="932"/>
      <c r="D8" s="945"/>
      <c r="E8" s="945"/>
      <c r="F8" s="945"/>
      <c r="G8" s="945"/>
      <c r="H8" s="440" t="s">
        <v>22</v>
      </c>
      <c r="I8" s="440" t="s">
        <v>17</v>
      </c>
      <c r="J8" s="440">
        <v>63</v>
      </c>
      <c r="K8" s="440">
        <v>5</v>
      </c>
      <c r="L8" s="440" t="s">
        <v>14</v>
      </c>
      <c r="M8" s="330" t="s">
        <v>23</v>
      </c>
    </row>
    <row r="9" spans="2:24" ht="19.5" customHeight="1">
      <c r="B9" s="931"/>
      <c r="C9" s="932"/>
      <c r="D9" s="945"/>
      <c r="E9" s="945"/>
      <c r="F9" s="945"/>
      <c r="G9" s="945"/>
      <c r="H9" s="440" t="s">
        <v>24</v>
      </c>
      <c r="I9" s="440" t="s">
        <v>13</v>
      </c>
      <c r="J9" s="440">
        <v>66</v>
      </c>
      <c r="K9" s="440">
        <v>5</v>
      </c>
      <c r="L9" s="440" t="s">
        <v>14</v>
      </c>
      <c r="M9" s="330" t="s">
        <v>25</v>
      </c>
    </row>
    <row r="10" spans="2:24" ht="21" customHeight="1">
      <c r="B10" s="931"/>
      <c r="C10" s="932"/>
      <c r="D10" s="945"/>
      <c r="E10" s="945"/>
      <c r="F10" s="945"/>
      <c r="G10" s="945"/>
      <c r="H10" s="440" t="s">
        <v>26</v>
      </c>
      <c r="I10" s="440" t="s">
        <v>13</v>
      </c>
      <c r="J10" s="440">
        <v>46</v>
      </c>
      <c r="K10" s="440">
        <v>5</v>
      </c>
      <c r="L10" s="440" t="s">
        <v>14</v>
      </c>
      <c r="M10" s="330" t="s">
        <v>27</v>
      </c>
    </row>
    <row r="11" spans="2:24" ht="17.25" customHeight="1">
      <c r="B11" s="931"/>
      <c r="C11" s="932"/>
      <c r="D11" s="945"/>
      <c r="E11" s="945"/>
      <c r="F11" s="945"/>
      <c r="G11" s="945"/>
      <c r="H11" s="440" t="s">
        <v>28</v>
      </c>
      <c r="I11" s="440" t="s">
        <v>17</v>
      </c>
      <c r="J11" s="440">
        <v>52</v>
      </c>
      <c r="K11" s="440">
        <v>3</v>
      </c>
      <c r="L11" s="440" t="s">
        <v>14</v>
      </c>
      <c r="M11" s="330" t="s">
        <v>29</v>
      </c>
    </row>
    <row r="12" spans="2:24" ht="18" customHeight="1">
      <c r="B12" s="931"/>
      <c r="C12" s="932"/>
      <c r="D12" s="945"/>
      <c r="E12" s="945"/>
      <c r="F12" s="945"/>
      <c r="G12" s="945"/>
      <c r="H12" s="440" t="s">
        <v>30</v>
      </c>
      <c r="I12" s="440" t="s">
        <v>13</v>
      </c>
      <c r="J12" s="440">
        <v>67</v>
      </c>
      <c r="K12" s="440">
        <v>3</v>
      </c>
      <c r="L12" s="440" t="s">
        <v>14</v>
      </c>
      <c r="M12" s="330" t="s">
        <v>31</v>
      </c>
      <c r="P12" s="457"/>
      <c r="X12" s="11"/>
    </row>
    <row r="13" spans="2:24" ht="18" customHeight="1">
      <c r="B13" s="931"/>
      <c r="C13" s="932"/>
      <c r="D13" s="945"/>
      <c r="E13" s="945"/>
      <c r="F13" s="945"/>
      <c r="G13" s="945"/>
      <c r="H13" s="440" t="s">
        <v>32</v>
      </c>
      <c r="I13" s="440" t="s">
        <v>17</v>
      </c>
      <c r="J13" s="440">
        <v>54</v>
      </c>
      <c r="K13" s="440">
        <v>2</v>
      </c>
      <c r="L13" s="440" t="s">
        <v>14</v>
      </c>
      <c r="M13" s="330" t="s">
        <v>33</v>
      </c>
      <c r="X13" s="11"/>
    </row>
    <row r="14" spans="2:24" ht="14.1">
      <c r="B14" s="943" t="s">
        <v>34</v>
      </c>
      <c r="C14" s="944"/>
      <c r="D14" s="945"/>
      <c r="E14" s="945"/>
      <c r="F14" s="945"/>
      <c r="G14" s="945"/>
      <c r="H14" s="440" t="s">
        <v>35</v>
      </c>
      <c r="I14" s="440" t="s">
        <v>13</v>
      </c>
      <c r="J14" s="440">
        <v>61</v>
      </c>
      <c r="K14" s="440">
        <v>2</v>
      </c>
      <c r="L14" s="440" t="s">
        <v>14</v>
      </c>
      <c r="M14" s="330" t="s">
        <v>36</v>
      </c>
    </row>
    <row r="15" spans="2:24" ht="18">
      <c r="B15" s="849" t="s">
        <v>37</v>
      </c>
      <c r="C15" s="850"/>
      <c r="D15" s="850"/>
      <c r="E15" s="850"/>
      <c r="F15" s="850"/>
      <c r="G15" s="850"/>
      <c r="H15" s="850"/>
      <c r="I15" s="850"/>
      <c r="J15" s="850"/>
      <c r="K15" s="850"/>
      <c r="L15" s="850"/>
      <c r="M15" s="851"/>
    </row>
    <row r="16" spans="2:24" ht="15.95">
      <c r="B16" s="935" t="s">
        <v>38</v>
      </c>
      <c r="C16" s="936"/>
      <c r="D16" s="933" t="s">
        <v>39</v>
      </c>
      <c r="E16" s="937"/>
      <c r="F16" s="926" t="s">
        <v>40</v>
      </c>
      <c r="G16" s="927"/>
      <c r="H16" s="928"/>
      <c r="I16" s="933" t="s">
        <v>41</v>
      </c>
      <c r="J16" s="940"/>
      <c r="K16" s="937"/>
      <c r="L16" s="933" t="s">
        <v>42</v>
      </c>
      <c r="M16" s="934"/>
    </row>
    <row r="17" spans="1:14">
      <c r="B17" s="542" t="s">
        <v>43</v>
      </c>
      <c r="C17" s="144">
        <v>47.24</v>
      </c>
      <c r="D17" s="13" t="s">
        <v>44</v>
      </c>
      <c r="E17" s="142">
        <f>_xlfn.XLOOKUP(D17,'Fin. Data'!A:A,'Fin. Data'!B:B,,0)</f>
        <v>32109</v>
      </c>
      <c r="F17" s="914" t="s">
        <v>45</v>
      </c>
      <c r="G17" s="915"/>
      <c r="H17" s="124" t="s">
        <v>46</v>
      </c>
      <c r="I17" t="s">
        <v>47</v>
      </c>
      <c r="J17" s="938">
        <v>2022</v>
      </c>
      <c r="K17" s="939"/>
      <c r="L17" s="12" t="s">
        <v>48</v>
      </c>
      <c r="M17" s="812">
        <f>1-0.17%</f>
        <v>0.99829999999999997</v>
      </c>
    </row>
    <row r="18" spans="1:14" ht="12.75" customHeight="1">
      <c r="B18" s="542" t="s">
        <v>49</v>
      </c>
      <c r="C18" s="370">
        <v>2009557000</v>
      </c>
      <c r="D18" s="12" t="s">
        <v>50</v>
      </c>
      <c r="E18" s="142">
        <f>_xlfn.XLOOKUP(D18,'Fin. Data'!A:A,'Fin. Data'!B:B,,0)</f>
        <v>23605</v>
      </c>
      <c r="F18" s="929" t="str">
        <f>+Segments!C5</f>
        <v>North America (US &amp; Canada)</v>
      </c>
      <c r="G18" s="930"/>
      <c r="H18" s="820">
        <f>+Segments!B5</f>
        <v>0.609375</v>
      </c>
      <c r="I18" s="12" t="s">
        <v>51</v>
      </c>
      <c r="J18" s="920" t="s">
        <v>52</v>
      </c>
      <c r="K18" s="921"/>
      <c r="L18" s="12" t="s">
        <v>53</v>
      </c>
      <c r="M18" s="809">
        <v>1.6999999999999999E-3</v>
      </c>
    </row>
    <row r="19" spans="1:14" ht="12.75" customHeight="1">
      <c r="B19" s="542" t="s">
        <v>54</v>
      </c>
      <c r="C19" s="55">
        <f>C17*C18/1000000</f>
        <v>94931.472680000006</v>
      </c>
      <c r="D19" s="12" t="s">
        <v>55</v>
      </c>
      <c r="E19" s="583">
        <f>_xlfn.XLOOKUP("Cash &amp; Eq.",'Fin. Data'!A:A,'Fin. Data'!B:B,,0)*1000000/C18</f>
        <v>2.0939938503859308</v>
      </c>
      <c r="F19" s="929" t="str">
        <f>+Segments!C6</f>
        <v>EMEA (Europe Middle East and Africa)</v>
      </c>
      <c r="G19" s="930"/>
      <c r="H19" s="820">
        <f>+Segments!B6</f>
        <v>0.21875</v>
      </c>
      <c r="I19" s="922" t="s">
        <v>56</v>
      </c>
      <c r="J19" s="922"/>
      <c r="K19" s="142">
        <f>_xlfn.XLOOKUP(I19,'Fin. Data'!A:A,'Fin. Data'!B:B,,0)</f>
        <v>6144</v>
      </c>
      <c r="L19" s="8" t="s">
        <v>57</v>
      </c>
      <c r="M19" s="810">
        <v>1.22</v>
      </c>
    </row>
    <row r="20" spans="1:14" ht="12.75" customHeight="1">
      <c r="B20" s="541" t="s">
        <v>58</v>
      </c>
      <c r="C20" s="55">
        <f>'Fin. Data'!B58</f>
        <v>11139</v>
      </c>
      <c r="D20" s="12" t="s">
        <v>59</v>
      </c>
      <c r="E20" s="432">
        <f>'Fin. Data (Common Size)'!B19/(-'Fin. Data (Common Size)'!B14)</f>
        <v>14.422535211267606</v>
      </c>
      <c r="F20" s="929" t="str">
        <f>+Segments!C7</f>
        <v>APAC (Asia Pacific)</v>
      </c>
      <c r="G20" s="930"/>
      <c r="H20" s="820">
        <f>+Segments!B7</f>
        <v>0.109375</v>
      </c>
      <c r="I20" s="923" t="s">
        <v>60</v>
      </c>
      <c r="J20" s="923"/>
      <c r="K20" s="142">
        <f>_xlfn.XLOOKUP(I20,'Fin. Data'!A:A,'Fin. Data'!B:B,,0)</f>
        <v>947</v>
      </c>
      <c r="L20" s="12" t="s">
        <v>61</v>
      </c>
      <c r="M20" s="811" t="s">
        <v>62</v>
      </c>
    </row>
    <row r="21" spans="1:14" ht="12.75" customHeight="1">
      <c r="B21" s="541" t="s">
        <v>63</v>
      </c>
      <c r="C21" s="55">
        <f>'Fin. Data'!B39</f>
        <v>4208</v>
      </c>
      <c r="D21" s="12" t="s">
        <v>64</v>
      </c>
      <c r="E21" s="432">
        <f>_xlfn.XLOOKUP("Total Debt",'Fin. Data'!A:A,'Fin. Data'!B:B,,0)/_xlfn.XLOOKUP("EBITDA",'Fin. Data'!A:A,'Fin. Data'!B:B,,0)</f>
        <v>1.81298828125</v>
      </c>
      <c r="F21" s="929" t="str">
        <f>+Segments!C8</f>
        <v>Latin America</v>
      </c>
      <c r="G21" s="930"/>
      <c r="H21" s="820">
        <f>+Segments!B8</f>
        <v>6.25E-2</v>
      </c>
      <c r="I21" s="923" t="s">
        <v>65</v>
      </c>
      <c r="J21" s="923"/>
      <c r="K21" s="142">
        <f>_xlfn.XLOOKUP(I21,'Fin. Data'!A:A,'Fin. Data'!B:B,,0)</f>
        <v>5197</v>
      </c>
      <c r="L21" s="12" t="s">
        <v>66</v>
      </c>
      <c r="M21" s="540">
        <f>IFERROR((C17*C18/(E17-E18))/1000000,"")</f>
        <v>11.163155301034806</v>
      </c>
    </row>
    <row r="22" spans="1:14" ht="12.75" customHeight="1">
      <c r="B22" s="541" t="s">
        <v>67</v>
      </c>
      <c r="C22" s="55">
        <f>C19+C20-C21</f>
        <v>101862.47268000001</v>
      </c>
      <c r="D22" s="12" t="s">
        <v>68</v>
      </c>
      <c r="E22" s="432">
        <f>_xlfn.XLOOKUP("Other Assets",'Fin. Data'!A:A,'Fin. Data'!B:B,,0)/_xlfn.XLOOKUP("Total Assets",'Fin. Data'!A:A,'Fin. Data'!B:B,,0)</f>
        <v>0.64533308418200508</v>
      </c>
      <c r="F22" s="941"/>
      <c r="G22" s="942"/>
      <c r="H22" s="820"/>
      <c r="I22" s="922" t="s">
        <v>69</v>
      </c>
      <c r="J22" s="922"/>
      <c r="K22" s="142">
        <f>_xlfn.XLOOKUP(I22,'Fin. Data'!A:A,'Fin. Data'!B:B,,0)</f>
        <v>-9141</v>
      </c>
      <c r="L22" s="12" t="s">
        <v>70</v>
      </c>
      <c r="M22" s="539">
        <f>IFERROR(K28/E17,"")</f>
        <v>-0.17030531419020628</v>
      </c>
    </row>
    <row r="23" spans="1:14" ht="12.75" customHeight="1">
      <c r="B23" s="541" t="s">
        <v>71</v>
      </c>
      <c r="C23" s="145" t="s">
        <v>62</v>
      </c>
      <c r="D23" s="12" t="s">
        <v>72</v>
      </c>
      <c r="E23" s="432">
        <f>_xlfn.XLOOKUP(D23,'Fin. Data'!A:A,'Fin. Data'!B:B,,0)</f>
        <v>0.34691208072503038</v>
      </c>
      <c r="F23" s="918" t="s">
        <v>73</v>
      </c>
      <c r="G23" s="919"/>
      <c r="H23" s="125" t="s">
        <v>46</v>
      </c>
      <c r="I23" s="922" t="s">
        <v>74</v>
      </c>
      <c r="J23" s="922"/>
      <c r="K23" s="85">
        <f>1000000*K22/C18</f>
        <v>-4.5487637325042289</v>
      </c>
      <c r="L23" s="12" t="s">
        <v>75</v>
      </c>
      <c r="M23" s="538">
        <f>IFERROR(C19/K27,"")</f>
        <v>-17.360220544955808</v>
      </c>
    </row>
    <row r="24" spans="1:14" ht="12.75" customHeight="1">
      <c r="B24" s="542" t="s">
        <v>76</v>
      </c>
      <c r="C24" s="146" t="s">
        <v>62</v>
      </c>
      <c r="D24" s="12" t="s">
        <v>77</v>
      </c>
      <c r="E24" s="143">
        <f>AVERAGE(_xlfn.XLOOKUP("EBITDA Margin",'Fin. Data'!A:A,'Fin. Data'!B:D,,0))</f>
        <v>-0.13430104479408314</v>
      </c>
      <c r="F24" s="916" t="str">
        <f>Segments!C16</f>
        <v>Mobility</v>
      </c>
      <c r="G24" s="917"/>
      <c r="H24" s="17">
        <f>Segments!B16</f>
        <v>0.44009787621168867</v>
      </c>
      <c r="I24" s="922" t="s">
        <v>78</v>
      </c>
      <c r="J24" s="922"/>
      <c r="K24" s="86">
        <f>K22/E17</f>
        <v>-0.28468653648509762</v>
      </c>
      <c r="L24" s="12" t="s">
        <v>79</v>
      </c>
      <c r="M24" s="537">
        <f>IFERROR(C22/E17,"")</f>
        <v>3.172396296365505</v>
      </c>
    </row>
    <row r="25" spans="1:14" ht="12.75" customHeight="1">
      <c r="B25" s="542" t="s">
        <v>80</v>
      </c>
      <c r="C25" s="18">
        <v>2.4899999999999999E-2</v>
      </c>
      <c r="D25" s="12" t="s">
        <v>81</v>
      </c>
      <c r="E25" s="143">
        <f>AVERAGE(_xlfn.XLOOKUP("Operating Margin",'Fin. Data'!A:A,'Fin. Data'!B:D,,0))</f>
        <v>-0.23789854416055167</v>
      </c>
      <c r="F25" s="916" t="str">
        <f>Segments!C17</f>
        <v>Delivery</v>
      </c>
      <c r="G25" s="917"/>
      <c r="H25" s="17">
        <f>Segments!B17</f>
        <v>0.34197069987765472</v>
      </c>
      <c r="I25" s="922" t="s">
        <v>82</v>
      </c>
      <c r="J25" s="922"/>
      <c r="K25" s="86">
        <f>K22/(E17-(E18-C20))</f>
        <v>-0.46535661558825026</v>
      </c>
      <c r="L25" s="12" t="s">
        <v>83</v>
      </c>
      <c r="M25" s="537">
        <f>IFERROR(C22/K26,"")</f>
        <v>-111.40627708348524</v>
      </c>
    </row>
    <row r="26" spans="1:14" ht="15.95">
      <c r="B26" s="935" t="s">
        <v>84</v>
      </c>
      <c r="C26" s="936"/>
      <c r="D26" s="12" t="s">
        <v>85</v>
      </c>
      <c r="E26" s="143">
        <f>AVERAGE(_xlfn.XLOOKUP("Net Income Margin",'Fin. Data'!A:A,'Fin. Data'!B:D,,0))</f>
        <v>-0.30758978042562102</v>
      </c>
      <c r="F26" s="916" t="str">
        <f>Segments!C18</f>
        <v>Freight</v>
      </c>
      <c r="G26" s="917"/>
      <c r="H26" s="17">
        <f>Segments!B18</f>
        <v>0.21793142391065659</v>
      </c>
      <c r="I26" s="922" t="s">
        <v>86</v>
      </c>
      <c r="J26" s="922"/>
      <c r="K26" s="142">
        <f>AVERAGE(_xlfn.XLOOKUP("EBITDA",'Fin. Data'!A:A,'Fin. Data'!B:D,,0))</f>
        <v>-914.33333333333337</v>
      </c>
      <c r="L26" s="12" t="s">
        <v>87</v>
      </c>
      <c r="M26" s="538">
        <f>IFERROR(C19/K28,"")</f>
        <v>-17.360220544955808</v>
      </c>
    </row>
    <row r="27" spans="1:14" ht="12.75" customHeight="1">
      <c r="B27" s="9" t="s">
        <v>88</v>
      </c>
      <c r="C27" s="800"/>
      <c r="D27" s="813"/>
      <c r="E27" s="151"/>
      <c r="F27" s="916" t="str">
        <f>Segments!C19</f>
        <v xml:space="preserve">All other </v>
      </c>
      <c r="G27" s="917"/>
      <c r="H27" s="17">
        <f>Segments!B19</f>
        <v>0</v>
      </c>
      <c r="I27" s="922" t="s">
        <v>89</v>
      </c>
      <c r="J27" s="922"/>
      <c r="K27" s="142">
        <f>AVERAGE(_xlfn.XLOOKUP("Net Income",'Fin. Data'!A:A,'Fin. Data'!B:D,,0))</f>
        <v>-5468.333333333333</v>
      </c>
      <c r="L27" s="12" t="s">
        <v>90</v>
      </c>
      <c r="M27" s="536" t="s">
        <v>62</v>
      </c>
    </row>
    <row r="28" spans="1:14" ht="12.75" customHeight="1">
      <c r="B28" s="9" t="s">
        <v>91</v>
      </c>
      <c r="C28" s="802"/>
      <c r="D28" s="12" t="s">
        <v>92</v>
      </c>
      <c r="E28" s="590">
        <f>-_xlfn.XLOOKUP("Net Financial Cost",'Fin. Data'!A:A,'Fin. Data'!B:B,,0)/AVERAGE(_xlfn.XLOOKUP("Net Debt",'Fin. Data'!A:A,'Fin. Data'!B:D,,0))</f>
        <v>7.3562424451735456E-2</v>
      </c>
      <c r="F28" s="916"/>
      <c r="G28" s="917"/>
      <c r="H28" s="17"/>
      <c r="I28" s="922" t="s">
        <v>93</v>
      </c>
      <c r="J28" s="922"/>
      <c r="K28" s="142">
        <f>AVERAGE(_xlfn.XLOOKUP("Net Income",'Fin. Data'!A:A,'Fin. Data'!B:D,,0))</f>
        <v>-5468.333333333333</v>
      </c>
      <c r="L28" s="12" t="s">
        <v>94</v>
      </c>
      <c r="M28" s="535">
        <f>-IFERROR(SUM(E49:E51)/(3*C19),"")</f>
        <v>0</v>
      </c>
    </row>
    <row r="29" spans="1:14" ht="12.6" customHeight="1">
      <c r="B29" s="9" t="s">
        <v>95</v>
      </c>
      <c r="C29" s="801"/>
      <c r="D29" s="148"/>
      <c r="E29" s="150"/>
      <c r="F29" s="957"/>
      <c r="G29" s="958"/>
      <c r="H29" s="19"/>
      <c r="I29" s="148"/>
      <c r="J29" s="149"/>
      <c r="K29" s="149"/>
      <c r="L29" s="12" t="s">
        <v>96</v>
      </c>
      <c r="M29" s="534">
        <f>-IFERROR(L50/C19,"")</f>
        <v>0</v>
      </c>
    </row>
    <row r="30" spans="1:14" ht="18.95" thickBot="1">
      <c r="B30" s="951" t="s">
        <v>97</v>
      </c>
      <c r="C30" s="952"/>
      <c r="D30" s="952"/>
      <c r="E30" s="952"/>
      <c r="F30" s="952"/>
      <c r="G30" s="952"/>
      <c r="H30" s="952"/>
      <c r="I30" s="952"/>
      <c r="J30" s="952"/>
      <c r="K30" s="952"/>
      <c r="L30" s="952"/>
      <c r="M30" s="953"/>
    </row>
    <row r="31" spans="1:14" ht="17.100000000000001" thickBot="1">
      <c r="B31" s="949" t="s">
        <v>98</v>
      </c>
      <c r="C31" s="950"/>
      <c r="D31" s="950"/>
      <c r="E31" s="950"/>
      <c r="F31" s="950"/>
      <c r="G31" s="950"/>
      <c r="H31" s="825" t="s">
        <v>99</v>
      </c>
      <c r="I31" s="845"/>
      <c r="J31" s="845"/>
      <c r="K31" s="845"/>
      <c r="L31" s="845"/>
      <c r="M31" s="846"/>
      <c r="N31" s="11"/>
    </row>
    <row r="32" spans="1:14" ht="13.35" customHeight="1" thickBot="1">
      <c r="A32" s="11"/>
      <c r="B32" s="821" t="s">
        <v>100</v>
      </c>
      <c r="C32" s="954" t="s">
        <v>101</v>
      </c>
      <c r="D32" s="955"/>
      <c r="E32" s="955"/>
      <c r="F32" s="955"/>
      <c r="G32" s="956"/>
      <c r="H32" s="844" t="s">
        <v>102</v>
      </c>
      <c r="I32" s="847" t="s">
        <v>103</v>
      </c>
      <c r="J32" s="847"/>
      <c r="K32" s="847"/>
      <c r="L32" s="847"/>
      <c r="M32" s="848"/>
    </row>
    <row r="33" spans="1:20" ht="24.6" customHeight="1" thickBot="1">
      <c r="A33" s="11"/>
      <c r="B33" s="822" t="s">
        <v>104</v>
      </c>
      <c r="C33" s="946" t="s">
        <v>105</v>
      </c>
      <c r="D33" s="947"/>
      <c r="E33" s="947"/>
      <c r="F33" s="947"/>
      <c r="G33" s="948"/>
      <c r="H33" s="844"/>
      <c r="I33" s="847"/>
      <c r="J33" s="847"/>
      <c r="K33" s="847"/>
      <c r="L33" s="847"/>
      <c r="M33" s="848"/>
    </row>
    <row r="34" spans="1:20" ht="24.6" customHeight="1" thickBot="1">
      <c r="A34" s="11"/>
      <c r="B34" s="822" t="s">
        <v>106</v>
      </c>
      <c r="C34" s="946" t="s">
        <v>107</v>
      </c>
      <c r="D34" s="947"/>
      <c r="E34" s="947"/>
      <c r="F34" s="947"/>
      <c r="G34" s="948"/>
      <c r="H34" s="844"/>
      <c r="I34" s="847"/>
      <c r="J34" s="847"/>
      <c r="K34" s="847"/>
      <c r="L34" s="847"/>
      <c r="M34" s="848"/>
    </row>
    <row r="35" spans="1:20" ht="24.6" customHeight="1" thickBot="1">
      <c r="B35" s="823" t="s">
        <v>108</v>
      </c>
      <c r="C35" s="965" t="s">
        <v>109</v>
      </c>
      <c r="D35" s="966"/>
      <c r="E35" s="966"/>
      <c r="F35" s="966"/>
      <c r="G35" s="967"/>
      <c r="H35" s="844"/>
      <c r="I35" s="847"/>
      <c r="J35" s="847"/>
      <c r="K35" s="847"/>
      <c r="L35" s="847"/>
      <c r="M35" s="848"/>
    </row>
    <row r="36" spans="1:20" ht="17.100000000000001" thickBot="1">
      <c r="B36" s="977" t="s">
        <v>110</v>
      </c>
      <c r="C36" s="978"/>
      <c r="D36" s="978"/>
      <c r="E36" s="978"/>
      <c r="F36" s="978"/>
      <c r="G36" s="979"/>
      <c r="H36" s="825" t="s">
        <v>111</v>
      </c>
      <c r="I36" s="845" t="s">
        <v>112</v>
      </c>
      <c r="J36" s="845"/>
      <c r="K36" s="845"/>
      <c r="L36" s="845"/>
      <c r="M36" s="846"/>
    </row>
    <row r="37" spans="1:20" ht="13.35" customHeight="1" thickBot="1">
      <c r="B37" s="824" t="s">
        <v>113</v>
      </c>
      <c r="C37" s="980" t="s">
        <v>101</v>
      </c>
      <c r="D37" s="981"/>
      <c r="E37" s="981"/>
      <c r="F37" s="981"/>
      <c r="G37" s="982"/>
      <c r="H37" s="959">
        <f>DCF!D75</f>
        <v>37.60447931795261</v>
      </c>
      <c r="I37" s="961" t="s">
        <v>114</v>
      </c>
      <c r="J37" s="963">
        <f>DCF!F50</f>
        <v>0.10100000000000001</v>
      </c>
      <c r="K37" s="963"/>
      <c r="L37" s="890" t="s">
        <v>115</v>
      </c>
      <c r="M37" s="963">
        <f>DCF!D74</f>
        <v>-0.20396953179609212</v>
      </c>
    </row>
    <row r="38" spans="1:20" ht="24" customHeight="1" thickBot="1">
      <c r="B38" s="822" t="s">
        <v>116</v>
      </c>
      <c r="C38" s="968" t="s">
        <v>117</v>
      </c>
      <c r="D38" s="969"/>
      <c r="E38" s="969"/>
      <c r="F38" s="969"/>
      <c r="G38" s="970"/>
      <c r="H38" s="959"/>
      <c r="I38" s="961"/>
      <c r="J38" s="963"/>
      <c r="K38" s="963"/>
      <c r="L38" s="890"/>
      <c r="M38" s="963"/>
    </row>
    <row r="39" spans="1:20" ht="27.75" customHeight="1" thickBot="1">
      <c r="B39" s="822" t="s">
        <v>118</v>
      </c>
      <c r="C39" s="974" t="s">
        <v>119</v>
      </c>
      <c r="D39" s="975"/>
      <c r="E39" s="975"/>
      <c r="F39" s="975"/>
      <c r="G39" s="976"/>
      <c r="H39" s="959"/>
      <c r="I39" s="961"/>
      <c r="J39" s="963"/>
      <c r="K39" s="963"/>
      <c r="L39" s="890"/>
      <c r="M39" s="963"/>
    </row>
    <row r="40" spans="1:20" ht="17.25" customHeight="1" thickBot="1">
      <c r="B40" s="822" t="s">
        <v>120</v>
      </c>
      <c r="C40" s="971" t="s">
        <v>121</v>
      </c>
      <c r="D40" s="972"/>
      <c r="E40" s="972"/>
      <c r="F40" s="972"/>
      <c r="G40" s="973"/>
      <c r="H40" s="960"/>
      <c r="I40" s="962"/>
      <c r="J40" s="964"/>
      <c r="K40" s="964"/>
      <c r="L40" s="891"/>
      <c r="M40" s="964"/>
    </row>
    <row r="41" spans="1:20" ht="18">
      <c r="B41" s="849" t="s">
        <v>122</v>
      </c>
      <c r="C41" s="850"/>
      <c r="D41" s="850"/>
      <c r="E41" s="850"/>
      <c r="F41" s="850"/>
      <c r="G41" s="850"/>
      <c r="H41" s="850"/>
      <c r="I41" s="850"/>
      <c r="J41" s="850"/>
      <c r="K41" s="850"/>
      <c r="L41" s="850"/>
      <c r="M41" s="851"/>
    </row>
    <row r="42" spans="1:20">
      <c r="B42" s="814" t="s">
        <v>123</v>
      </c>
      <c r="C42" s="133" t="s">
        <v>124</v>
      </c>
      <c r="D42" s="133" t="s">
        <v>125</v>
      </c>
      <c r="E42" s="155" t="s">
        <v>126</v>
      </c>
      <c r="F42" s="133" t="s">
        <v>127</v>
      </c>
      <c r="G42" s="133" t="s">
        <v>72</v>
      </c>
      <c r="H42" s="154" t="s">
        <v>60</v>
      </c>
      <c r="I42" s="154" t="s">
        <v>128</v>
      </c>
      <c r="J42" s="852" t="s">
        <v>129</v>
      </c>
      <c r="K42" s="852"/>
      <c r="L42" s="852"/>
      <c r="M42" s="853"/>
    </row>
    <row r="43" spans="1:20">
      <c r="B43" s="815">
        <f t="shared" ref="B43:B49" si="0">B44-1</f>
        <v>2014</v>
      </c>
      <c r="C43" s="153" cm="1">
        <f t="array" ref="C43:C51">_xlfn.SORTBY(TRANSPOSE(_xlfn.XLOOKUP(C$42,'Fin. Data'!$A:$A,'Fin. Data'!$B:$J,,0)),$B$43:$B$51,-1)</f>
        <v>0</v>
      </c>
      <c r="D43" s="127" t="str" cm="1">
        <f t="array" ref="D43:D51">_xlfn.SORTBY(TRANSPOSE(_xlfn.XLOOKUP(D$42,'Fin. Data'!$A:$A,'Fin. Data'!$B:$J,,0)),$B$43:$B$51,-1)</f>
        <v>-</v>
      </c>
      <c r="E43" s="153" cm="1">
        <f t="array" ref="E43:E51">_xlfn.SORTBY(TRANSPOSE(_xlfn.XLOOKUP(E$42,'Fin. Data'!$A:$A,'Fin. Data'!$B:$J,,0)),$B$43:$B$51,-1)</f>
        <v>0</v>
      </c>
      <c r="F43" s="152">
        <f>Inputs!J77</f>
        <v>0</v>
      </c>
      <c r="G43" s="127" t="str" cm="1">
        <f t="array" ref="G43:G51">_xlfn.SORTBY(TRANSPOSE(_xlfn.XLOOKUP(G$42,'Fin. Data'!$A:$A,'Fin. Data'!$B:$J,,0)),$B$43:$B$51,-1)</f>
        <v>-</v>
      </c>
      <c r="H43" s="153" cm="1">
        <f t="array" ref="H43:H51">_xlfn.SORTBY(TRANSPOSE(_xlfn.XLOOKUP(H$42,'Fin. Data'!$A:$A,'Fin. Data'!$B:$J,,0)),$B$43:$B$51,-1)</f>
        <v>0</v>
      </c>
      <c r="I43" s="153" cm="1">
        <f t="array" ref="I43:I51">_xlfn.SORTBY(TRANSPOSE(_xlfn.XLOOKUP(I$42,'Fin. Data'!$A:$A,'Fin. Data'!$B:$J,,0)),$B$43:$B$51,-1)</f>
        <v>0</v>
      </c>
      <c r="J43" s="460"/>
      <c r="K43" s="148"/>
      <c r="L43" s="128">
        <f>J17</f>
        <v>2022</v>
      </c>
      <c r="M43" s="461">
        <f>L43-1</f>
        <v>2021</v>
      </c>
      <c r="N43" s="7"/>
      <c r="O43" s="7"/>
      <c r="P43" s="7"/>
      <c r="Q43" s="7"/>
      <c r="R43" s="7"/>
      <c r="S43" s="7"/>
      <c r="T43" s="7"/>
    </row>
    <row r="44" spans="1:20">
      <c r="B44" s="815">
        <f t="shared" si="0"/>
        <v>2015</v>
      </c>
      <c r="C44" s="153">
        <v>0</v>
      </c>
      <c r="D44" s="126" t="str">
        <v>-</v>
      </c>
      <c r="E44" s="153">
        <v>0</v>
      </c>
      <c r="F44" s="152">
        <f>Inputs!I77</f>
        <v>0</v>
      </c>
      <c r="G44" s="127" t="str">
        <v>-</v>
      </c>
      <c r="H44" s="153">
        <v>0</v>
      </c>
      <c r="I44" s="153">
        <v>0</v>
      </c>
      <c r="J44" s="886" t="s">
        <v>69</v>
      </c>
      <c r="K44" s="887"/>
      <c r="L44" s="55">
        <f>_xlfn.XLOOKUP($J44,'Fin. Data'!$A:$A,'Fin. Data'!B:B,,0)</f>
        <v>-9141</v>
      </c>
      <c r="M44" s="533">
        <f>_xlfn.XLOOKUP($J44,'Fin. Data'!$A:$A,'Fin. Data'!C:C,,0)</f>
        <v>-496</v>
      </c>
      <c r="N44" s="22"/>
      <c r="O44" s="22" t="e">
        <f t="shared" ref="O44:O52" si="1">(D44/D43)-1</f>
        <v>#VALUE!</v>
      </c>
      <c r="P44" s="7"/>
      <c r="Q44" s="20"/>
      <c r="R44" s="20"/>
      <c r="S44" s="20"/>
      <c r="T44" s="7"/>
    </row>
    <row r="45" spans="1:20">
      <c r="B45" s="815">
        <f t="shared" si="0"/>
        <v>2016</v>
      </c>
      <c r="C45" s="153">
        <v>0</v>
      </c>
      <c r="D45" s="126" t="str">
        <v>-</v>
      </c>
      <c r="E45" s="153">
        <v>0</v>
      </c>
      <c r="F45" s="152">
        <f>Inputs!H77</f>
        <v>0</v>
      </c>
      <c r="G45" s="127" t="str">
        <v>-</v>
      </c>
      <c r="H45" s="153">
        <v>0</v>
      </c>
      <c r="I45" s="153">
        <v>0</v>
      </c>
      <c r="J45" s="886" t="s">
        <v>130</v>
      </c>
      <c r="K45" s="887"/>
      <c r="L45" s="55">
        <f>_xlfn.XLOOKUP($J45,'Fin. Data'!$A:$A,'Fin. Data'!B:B,,0)</f>
        <v>642</v>
      </c>
      <c r="M45" s="533">
        <f>_xlfn.XLOOKUP($J45,'Fin. Data'!$A:$A,'Fin. Data'!C:C,,0)</f>
        <v>-445</v>
      </c>
      <c r="N45" s="22"/>
      <c r="O45" s="22" t="e">
        <f t="shared" si="1"/>
        <v>#VALUE!</v>
      </c>
      <c r="P45" s="7"/>
      <c r="Q45" s="20" t="e">
        <f t="shared" ref="Q45:Q51" si="2">F45/F44-1</f>
        <v>#DIV/0!</v>
      </c>
      <c r="R45" s="20" t="e">
        <f t="shared" ref="R45:S51" si="3">H45/H44-1</f>
        <v>#DIV/0!</v>
      </c>
      <c r="S45" s="20" t="e">
        <f t="shared" si="3"/>
        <v>#DIV/0!</v>
      </c>
      <c r="T45" s="7"/>
    </row>
    <row r="46" spans="1:20">
      <c r="B46" s="815">
        <f t="shared" si="0"/>
        <v>2017</v>
      </c>
      <c r="C46" s="153">
        <v>7932</v>
      </c>
      <c r="D46" s="126">
        <v>-0.51437216338880487</v>
      </c>
      <c r="E46" s="153">
        <v>-131</v>
      </c>
      <c r="F46" s="152">
        <f>Inputs!G77</f>
        <v>-868</v>
      </c>
      <c r="G46" s="127">
        <v>0</v>
      </c>
      <c r="H46" s="153">
        <v>510</v>
      </c>
      <c r="I46" s="153">
        <v>0</v>
      </c>
      <c r="J46" s="886" t="s">
        <v>131</v>
      </c>
      <c r="K46" s="887"/>
      <c r="L46" s="55">
        <f>_xlfn.XLOOKUP($J46,'Fin. Data'!$A:$A,'Fin. Data'!B:B,,0)</f>
        <v>-1637</v>
      </c>
      <c r="M46" s="533">
        <f>_xlfn.XLOOKUP($J46,'Fin. Data'!$A:$A,'Fin. Data'!C:C,,0)</f>
        <v>-1201</v>
      </c>
      <c r="N46" s="22"/>
      <c r="O46" s="22" t="e">
        <f t="shared" si="1"/>
        <v>#VALUE!</v>
      </c>
      <c r="P46" s="7"/>
      <c r="Q46" s="20" t="e">
        <f t="shared" si="2"/>
        <v>#DIV/0!</v>
      </c>
      <c r="R46" s="20" t="e">
        <f t="shared" si="3"/>
        <v>#DIV/0!</v>
      </c>
      <c r="S46" s="20" t="e">
        <f t="shared" si="3"/>
        <v>#DIV/0!</v>
      </c>
      <c r="T46" s="7"/>
    </row>
    <row r="47" spans="1:20">
      <c r="B47" s="815">
        <f t="shared" si="0"/>
        <v>2018</v>
      </c>
      <c r="C47" s="153">
        <v>10433</v>
      </c>
      <c r="D47" s="126">
        <v>-0.29071216332790184</v>
      </c>
      <c r="E47">
        <v>-10</v>
      </c>
      <c r="F47" s="152">
        <f>Inputs!F77</f>
        <v>2285</v>
      </c>
      <c r="G47" s="127">
        <v>0.28635150908787727</v>
      </c>
      <c r="H47" s="153">
        <v>426</v>
      </c>
      <c r="I47" s="153">
        <v>-1034</v>
      </c>
      <c r="J47" s="888" t="s">
        <v>132</v>
      </c>
      <c r="K47" s="889"/>
      <c r="L47" s="55">
        <f>_xlfn.XLOOKUP($J47,'Fin. Data'!$A:$A,'Fin. Data'!B:B,,0)</f>
        <v>-252</v>
      </c>
      <c r="M47" s="533">
        <f>_xlfn.XLOOKUP($J47,'Fin. Data'!$A:$A,'Fin. Data'!C:C,,0)</f>
        <v>-298</v>
      </c>
      <c r="N47" s="22">
        <f t="shared" ref="N47:N51" si="4">(C47/C46)-1</f>
        <v>0.31530509329299039</v>
      </c>
      <c r="O47" s="22">
        <f t="shared" si="1"/>
        <v>-0.43482135305957914</v>
      </c>
      <c r="P47" s="7"/>
      <c r="Q47" s="20">
        <f t="shared" si="2"/>
        <v>-3.6324884792626726</v>
      </c>
      <c r="R47" s="20">
        <f t="shared" si="3"/>
        <v>-0.16470588235294115</v>
      </c>
      <c r="S47" s="20" t="e">
        <f t="shared" si="3"/>
        <v>#DIV/0!</v>
      </c>
      <c r="T47" s="21"/>
    </row>
    <row r="48" spans="1:20">
      <c r="B48" s="815">
        <f t="shared" si="0"/>
        <v>2019</v>
      </c>
      <c r="C48" s="153">
        <v>13000</v>
      </c>
      <c r="D48" s="126">
        <v>-0.66123076923076918</v>
      </c>
      <c r="E48" s="153">
        <v>0</v>
      </c>
      <c r="F48" s="152">
        <f>Inputs!E77</f>
        <v>3824</v>
      </c>
      <c r="G48" s="127">
        <v>0.23380875917005131</v>
      </c>
      <c r="H48" s="153">
        <v>472</v>
      </c>
      <c r="I48" s="153">
        <v>-841</v>
      </c>
      <c r="J48" s="888" t="s">
        <v>133</v>
      </c>
      <c r="K48" s="889"/>
      <c r="L48" s="55">
        <f>_xlfn.XLOOKUP($J48,'Fin. Data'!$A:$A,'Fin. Data'!B:B,,0)</f>
        <v>-1139</v>
      </c>
      <c r="M48" s="533">
        <f>_xlfn.XLOOKUP($J48,'Fin. Data'!$A:$A,'Fin. Data'!C:C,,0)</f>
        <v>-618</v>
      </c>
      <c r="N48" s="22">
        <f t="shared" si="4"/>
        <v>0.24604619955909124</v>
      </c>
      <c r="O48" s="22">
        <f t="shared" si="1"/>
        <v>1.2745204798498566</v>
      </c>
      <c r="P48" s="7"/>
      <c r="Q48" s="20">
        <f t="shared" si="2"/>
        <v>0.67352297592997812</v>
      </c>
      <c r="R48" s="20">
        <f t="shared" si="3"/>
        <v>0.107981220657277</v>
      </c>
      <c r="S48" s="20">
        <f t="shared" si="3"/>
        <v>-0.18665377176015474</v>
      </c>
      <c r="T48" s="21"/>
    </row>
    <row r="49" spans="2:20">
      <c r="B49" s="815">
        <f t="shared" si="0"/>
        <v>2020</v>
      </c>
      <c r="C49" s="153">
        <v>11139</v>
      </c>
      <c r="D49" s="126">
        <v>-0.43657419876110959</v>
      </c>
      <c r="E49" s="153">
        <v>0</v>
      </c>
      <c r="F49" s="152">
        <f>Inputs!D77</f>
        <v>-4327</v>
      </c>
      <c r="G49" s="127">
        <v>0.27905088415734391</v>
      </c>
      <c r="H49" s="153">
        <v>575</v>
      </c>
      <c r="I49" s="153">
        <v>-2747</v>
      </c>
      <c r="J49" s="886" t="s">
        <v>134</v>
      </c>
      <c r="K49" s="887"/>
      <c r="L49" s="55">
        <f>_xlfn.XLOOKUP($J49,'Fin. Data'!$A:$A,'Fin. Data'!B:B,,0)</f>
        <v>15</v>
      </c>
      <c r="M49" s="533">
        <f>_xlfn.XLOOKUP($J49,'Fin. Data'!$A:$A,'Fin. Data'!C:C,,0)</f>
        <v>1780</v>
      </c>
      <c r="N49" s="22">
        <f t="shared" si="4"/>
        <v>-0.14315384615384619</v>
      </c>
      <c r="O49" s="22">
        <f t="shared" si="1"/>
        <v>-0.33975516706672582</v>
      </c>
      <c r="P49" s="7"/>
      <c r="Q49" s="20">
        <f t="shared" si="2"/>
        <v>-2.1315376569037658</v>
      </c>
      <c r="R49" s="20">
        <f t="shared" si="3"/>
        <v>0.21822033898305082</v>
      </c>
      <c r="S49" s="20">
        <f t="shared" si="3"/>
        <v>2.266349583828775</v>
      </c>
      <c r="T49" s="21"/>
    </row>
    <row r="50" spans="2:20">
      <c r="B50" s="815">
        <f>B51-1</f>
        <v>2021</v>
      </c>
      <c r="C50" s="153">
        <v>17455</v>
      </c>
      <c r="D50" s="126">
        <v>-0.2196505299341163</v>
      </c>
      <c r="E50" s="153">
        <v>0</v>
      </c>
      <c r="F50" s="152">
        <f>Inputs!C$77</f>
        <v>65</v>
      </c>
      <c r="G50" s="127">
        <v>0.28640325991643883</v>
      </c>
      <c r="H50" s="153">
        <v>902</v>
      </c>
      <c r="I50" s="153">
        <v>-916</v>
      </c>
      <c r="J50" s="888" t="s">
        <v>135</v>
      </c>
      <c r="K50" s="889"/>
      <c r="L50" s="55">
        <f>_xlfn.XLOOKUP($J50,'Fin. Data'!$A:$A,'Fin. Data'!B:B,,0)</f>
        <v>0</v>
      </c>
      <c r="M50" s="533">
        <f>_xlfn.XLOOKUP($J50,'Fin. Data'!$A:$A,'Fin. Data'!C:C,,0)</f>
        <v>0</v>
      </c>
      <c r="N50" s="22">
        <f t="shared" si="4"/>
        <v>0.56701678786246523</v>
      </c>
      <c r="O50" s="22">
        <f t="shared" si="1"/>
        <v>-0.49687697862715985</v>
      </c>
      <c r="P50" s="7"/>
      <c r="Q50" s="20">
        <f t="shared" si="2"/>
        <v>-1.0150219551652415</v>
      </c>
      <c r="R50" s="20">
        <f t="shared" si="3"/>
        <v>0.56869565217391305</v>
      </c>
      <c r="S50" s="20">
        <f t="shared" si="3"/>
        <v>-0.66654532216963958</v>
      </c>
      <c r="T50" s="21"/>
    </row>
    <row r="51" spans="2:20">
      <c r="B51" s="815">
        <f>J17</f>
        <v>2022</v>
      </c>
      <c r="C51" s="153">
        <v>31877</v>
      </c>
      <c r="D51" s="126">
        <v>-5.7470903786429085E-2</v>
      </c>
      <c r="E51" s="153">
        <v>0</v>
      </c>
      <c r="F51" s="152">
        <f>Inputs!B77</f>
        <v>-1128</v>
      </c>
      <c r="G51" s="127">
        <v>0.34691208072503038</v>
      </c>
      <c r="H51" s="153">
        <v>947</v>
      </c>
      <c r="I51" s="153">
        <v>-1391</v>
      </c>
      <c r="J51" s="888" t="s">
        <v>136</v>
      </c>
      <c r="K51" s="889"/>
      <c r="L51" s="55">
        <f>_xlfn.XLOOKUP($J51,'Fin. Data'!$A:$A,'Fin. Data'!B:B,,0)</f>
        <v>0</v>
      </c>
      <c r="M51" s="533">
        <f>_xlfn.XLOOKUP($J51,'Fin. Data'!$A:$A,'Fin. Data'!C:C,,0)</f>
        <v>0</v>
      </c>
      <c r="N51" s="22">
        <f t="shared" si="4"/>
        <v>0.8262389000286452</v>
      </c>
      <c r="O51" s="22">
        <f t="shared" si="1"/>
        <v>-0.73835299280330735</v>
      </c>
      <c r="P51" s="7"/>
      <c r="Q51" s="20">
        <f t="shared" si="2"/>
        <v>-18.353846153846153</v>
      </c>
      <c r="R51" s="20">
        <f t="shared" si="3"/>
        <v>4.9889135254988837E-2</v>
      </c>
      <c r="S51" s="20">
        <f t="shared" si="3"/>
        <v>0.51855895196506552</v>
      </c>
      <c r="T51" s="21"/>
    </row>
    <row r="52" spans="2:20">
      <c r="B52" s="816" t="s">
        <v>137</v>
      </c>
      <c r="C52" s="129">
        <f>IFERROR((C51/C46)^(1/8)-1,"")</f>
        <v>0.18990377438647443</v>
      </c>
      <c r="D52" s="129">
        <f>IFERROR((D51/D46)^(1/8)-1,"")</f>
        <v>-0.23963639483588439</v>
      </c>
      <c r="E52" s="147"/>
      <c r="F52" s="129">
        <f>IFERROR((F51/F46)^(1/8)-1,"")</f>
        <v>3.329343901690085E-2</v>
      </c>
      <c r="G52" s="147"/>
      <c r="H52" s="129">
        <f>IFERROR((H51/H46)^(1/8)-1,"")</f>
        <v>8.0432091594715871E-2</v>
      </c>
      <c r="I52" s="147"/>
      <c r="J52" s="886" t="s">
        <v>138</v>
      </c>
      <c r="K52" s="887"/>
      <c r="L52" s="55">
        <f>_xlfn.XLOOKUP($J52,'Fin. Data'!$A:$A,'Fin. Data'!B:B,,0)</f>
        <v>-148</v>
      </c>
      <c r="M52" s="533">
        <f>_xlfn.XLOOKUP($J52,'Fin. Data'!$A:$A,'Fin. Data'!C:C,,0)</f>
        <v>-69</v>
      </c>
      <c r="N52" s="724">
        <f>(C52/C51)-1</f>
        <v>-0.99999404260832614</v>
      </c>
      <c r="O52" s="22">
        <f t="shared" si="1"/>
        <v>3.1696994313228641</v>
      </c>
      <c r="P52" s="7"/>
      <c r="Q52" s="20"/>
      <c r="R52" s="20"/>
      <c r="S52" s="20"/>
      <c r="T52" s="21"/>
    </row>
    <row r="53" spans="2:20">
      <c r="B53" s="816" t="s">
        <v>139</v>
      </c>
      <c r="C53" s="129">
        <f>IFERROR(AVERAGE(N47:N51),"")</f>
        <v>0.36229062691786917</v>
      </c>
      <c r="D53" s="129">
        <f>IFERROR(AVERAGE(O47:O51),"")</f>
        <v>-0.14705720234138311</v>
      </c>
      <c r="E53" s="147"/>
      <c r="F53" s="129">
        <f>IFERROR(AVERAGE(Q47:Q51),"")</f>
        <v>-4.8918742538495703</v>
      </c>
      <c r="G53" s="147"/>
      <c r="H53" s="129">
        <f>IFERROR(AVERAGE(S48:S51),"")</f>
        <v>0.48292736046601159</v>
      </c>
      <c r="I53" s="147"/>
      <c r="J53" s="892" t="s">
        <v>140</v>
      </c>
      <c r="K53" s="893"/>
      <c r="L53" s="156">
        <f>L45-L46+L49-L50-L51</f>
        <v>2294</v>
      </c>
      <c r="M53" s="462">
        <f>M45-M46+M49-M50-M51</f>
        <v>2536</v>
      </c>
      <c r="N53" s="7"/>
      <c r="O53" s="7"/>
      <c r="P53" s="7"/>
      <c r="Q53" s="7"/>
      <c r="R53" s="7"/>
      <c r="S53" s="21"/>
      <c r="T53" s="21"/>
    </row>
    <row r="54" spans="2:20">
      <c r="B54" s="816" t="s">
        <v>141</v>
      </c>
      <c r="C54" s="129">
        <f>IFERROR(STDEV(C44:C51)/AVERAGE(C44:C51),"")</f>
        <v>0.89046008986992786</v>
      </c>
      <c r="D54" s="129">
        <f>IFERROR(STDEV(D43:D51)/AVERAGE(D43:D51),"")</f>
        <v>-0.59844244806681657</v>
      </c>
      <c r="E54" s="147"/>
      <c r="F54" s="129">
        <f>IFERROR(STDEV(F43:F51)/AVERAGE(F43:F51),"")</f>
        <v>-136.06483377966131</v>
      </c>
      <c r="G54" s="147"/>
      <c r="H54" s="129">
        <f>IFERROR(STDEV(H43:H51)/AVERAGE(H43:H51),"")</f>
        <v>0.86047303549698995</v>
      </c>
      <c r="I54" s="147"/>
      <c r="J54" s="894" t="s">
        <v>142</v>
      </c>
      <c r="K54" s="895"/>
      <c r="L54" s="458">
        <f>IFERROR(SUM(I48:I51)/(C51-C47),"")</f>
        <v>-0.27490207050923338</v>
      </c>
      <c r="M54" s="532">
        <f>IFERROR((SUM(I48:I51)-SUM(H48:H51))/(C51-C47),"")</f>
        <v>-0.40995150158552507</v>
      </c>
      <c r="S54" s="21"/>
      <c r="T54" s="21"/>
    </row>
    <row r="55" spans="2:20">
      <c r="B55" s="816" t="s">
        <v>143</v>
      </c>
      <c r="C55" s="129">
        <f>IFERROR(C51/C50-1,"")</f>
        <v>0.8262389000286452</v>
      </c>
      <c r="D55" s="129">
        <f>IFERROR(1-(D51/D50),"")</f>
        <v>0.73835299280330735</v>
      </c>
      <c r="E55" s="147"/>
      <c r="F55" s="129">
        <f>IFERROR(1-(F51/F50),"")</f>
        <v>18.353846153846153</v>
      </c>
      <c r="G55" s="147"/>
      <c r="H55" s="129">
        <f>IFERROR(1-(H51/H50),"")</f>
        <v>-4.9889135254988837E-2</v>
      </c>
      <c r="I55" s="147"/>
      <c r="J55" s="896" t="s">
        <v>144</v>
      </c>
      <c r="K55" s="897"/>
      <c r="L55" s="459">
        <f>IFERROR(L54/E24,"")</f>
        <v>2.046909396205566</v>
      </c>
      <c r="M55" s="463">
        <f>IFERROR(M54/E24,"")</f>
        <v>3.0524818493711834</v>
      </c>
    </row>
    <row r="56" spans="2:20" ht="18">
      <c r="B56" s="849" t="s">
        <v>145</v>
      </c>
      <c r="C56" s="850"/>
      <c r="D56" s="850"/>
      <c r="E56" s="850"/>
      <c r="F56" s="850"/>
      <c r="G56" s="850"/>
      <c r="H56" s="850"/>
      <c r="I56" s="850"/>
      <c r="J56" s="850"/>
      <c r="K56" s="850"/>
      <c r="L56" s="850"/>
      <c r="M56" s="851"/>
    </row>
    <row r="57" spans="2:20" ht="15.95">
      <c r="B57" s="901" t="s">
        <v>146</v>
      </c>
      <c r="C57" s="854"/>
      <c r="D57" s="854"/>
      <c r="E57" s="854"/>
      <c r="F57" s="854"/>
      <c r="G57" s="854"/>
      <c r="H57" s="854"/>
      <c r="I57" s="854"/>
      <c r="J57" s="854" t="s">
        <v>147</v>
      </c>
      <c r="K57" s="854"/>
      <c r="L57" s="854"/>
      <c r="M57" s="855"/>
    </row>
    <row r="58" spans="2:20">
      <c r="B58" s="898" t="s">
        <v>148</v>
      </c>
      <c r="C58" s="852"/>
      <c r="D58" s="852"/>
      <c r="E58" s="852" t="s">
        <v>149</v>
      </c>
      <c r="F58" s="852"/>
      <c r="G58" s="852"/>
      <c r="H58" s="852"/>
      <c r="I58" s="852"/>
      <c r="J58" s="902"/>
      <c r="K58" s="903"/>
      <c r="L58" s="903"/>
      <c r="M58" s="904"/>
    </row>
    <row r="59" spans="2:20" ht="15" customHeight="1">
      <c r="B59" s="873" t="s">
        <v>150</v>
      </c>
      <c r="C59" s="865"/>
      <c r="D59" s="866"/>
      <c r="E59" s="856" t="s">
        <v>151</v>
      </c>
      <c r="F59" s="865"/>
      <c r="G59" s="865"/>
      <c r="H59" s="865"/>
      <c r="I59" s="866"/>
      <c r="J59" s="905"/>
      <c r="K59" s="906"/>
      <c r="L59" s="906"/>
      <c r="M59" s="907"/>
    </row>
    <row r="60" spans="2:20" ht="15" customHeight="1">
      <c r="B60" s="899"/>
      <c r="C60" s="868"/>
      <c r="D60" s="869"/>
      <c r="E60" s="867"/>
      <c r="F60" s="868"/>
      <c r="G60" s="868"/>
      <c r="H60" s="868"/>
      <c r="I60" s="869"/>
      <c r="J60" s="905"/>
      <c r="K60" s="906"/>
      <c r="L60" s="906"/>
      <c r="M60" s="907"/>
    </row>
    <row r="61" spans="2:20" ht="15" customHeight="1">
      <c r="B61" s="899"/>
      <c r="C61" s="868"/>
      <c r="D61" s="869"/>
      <c r="E61" s="867"/>
      <c r="F61" s="868"/>
      <c r="G61" s="868"/>
      <c r="H61" s="868"/>
      <c r="I61" s="869"/>
      <c r="J61" s="905"/>
      <c r="K61" s="906"/>
      <c r="L61" s="906"/>
      <c r="M61" s="907"/>
    </row>
    <row r="62" spans="2:20" ht="15" customHeight="1">
      <c r="B62" s="899"/>
      <c r="C62" s="868"/>
      <c r="D62" s="869"/>
      <c r="E62" s="867"/>
      <c r="F62" s="868"/>
      <c r="G62" s="868"/>
      <c r="H62" s="868"/>
      <c r="I62" s="869"/>
      <c r="J62" s="905"/>
      <c r="K62" s="906"/>
      <c r="L62" s="906"/>
      <c r="M62" s="907"/>
    </row>
    <row r="63" spans="2:20">
      <c r="B63" s="899"/>
      <c r="C63" s="868"/>
      <c r="D63" s="869"/>
      <c r="E63" s="867"/>
      <c r="F63" s="868"/>
      <c r="G63" s="868"/>
      <c r="H63" s="868"/>
      <c r="I63" s="869"/>
      <c r="J63" s="905"/>
      <c r="K63" s="906"/>
      <c r="L63" s="906"/>
      <c r="M63" s="907"/>
    </row>
    <row r="64" spans="2:20">
      <c r="B64" s="899"/>
      <c r="C64" s="868"/>
      <c r="D64" s="869"/>
      <c r="E64" s="867"/>
      <c r="F64" s="868"/>
      <c r="G64" s="868"/>
      <c r="H64" s="868"/>
      <c r="I64" s="869"/>
      <c r="J64" s="905"/>
      <c r="K64" s="906"/>
      <c r="L64" s="906"/>
      <c r="M64" s="907"/>
    </row>
    <row r="65" spans="2:13">
      <c r="B65" s="899"/>
      <c r="C65" s="868"/>
      <c r="D65" s="869"/>
      <c r="E65" s="867"/>
      <c r="F65" s="868"/>
      <c r="G65" s="868"/>
      <c r="H65" s="868"/>
      <c r="I65" s="869"/>
      <c r="J65" s="905"/>
      <c r="K65" s="906"/>
      <c r="L65" s="906"/>
      <c r="M65" s="907"/>
    </row>
    <row r="66" spans="2:13">
      <c r="B66" s="899"/>
      <c r="C66" s="868"/>
      <c r="D66" s="869"/>
      <c r="E66" s="867"/>
      <c r="F66" s="868"/>
      <c r="G66" s="868"/>
      <c r="H66" s="868"/>
      <c r="I66" s="869"/>
      <c r="J66" s="905"/>
      <c r="K66" s="906"/>
      <c r="L66" s="906"/>
      <c r="M66" s="907"/>
    </row>
    <row r="67" spans="2:13">
      <c r="B67" s="899"/>
      <c r="C67" s="868"/>
      <c r="D67" s="869"/>
      <c r="E67" s="867"/>
      <c r="F67" s="868"/>
      <c r="G67" s="868"/>
      <c r="H67" s="868"/>
      <c r="I67" s="869"/>
      <c r="J67" s="905"/>
      <c r="K67" s="906"/>
      <c r="L67" s="906"/>
      <c r="M67" s="907"/>
    </row>
    <row r="68" spans="2:13">
      <c r="B68" s="900"/>
      <c r="C68" s="871"/>
      <c r="D68" s="872"/>
      <c r="E68" s="870"/>
      <c r="F68" s="871"/>
      <c r="G68" s="871"/>
      <c r="H68" s="871"/>
      <c r="I68" s="872"/>
      <c r="J68" s="905"/>
      <c r="K68" s="906"/>
      <c r="L68" s="906"/>
      <c r="M68" s="907"/>
    </row>
    <row r="69" spans="2:13">
      <c r="B69" s="898" t="s">
        <v>152</v>
      </c>
      <c r="C69" s="852"/>
      <c r="D69" s="852"/>
      <c r="E69" s="852" t="s">
        <v>153</v>
      </c>
      <c r="F69" s="852"/>
      <c r="G69" s="852"/>
      <c r="H69" s="852"/>
      <c r="I69" s="852"/>
      <c r="J69" s="905"/>
      <c r="K69" s="906"/>
      <c r="L69" s="906"/>
      <c r="M69" s="907"/>
    </row>
    <row r="70" spans="2:13" ht="15" customHeight="1">
      <c r="B70" s="873" t="s">
        <v>154</v>
      </c>
      <c r="C70" s="857"/>
      <c r="D70" s="858"/>
      <c r="E70" s="856" t="s">
        <v>155</v>
      </c>
      <c r="F70" s="857"/>
      <c r="G70" s="857"/>
      <c r="H70" s="857"/>
      <c r="I70" s="858"/>
      <c r="J70" s="905"/>
      <c r="K70" s="906"/>
      <c r="L70" s="906"/>
      <c r="M70" s="907"/>
    </row>
    <row r="71" spans="2:13" ht="15" customHeight="1">
      <c r="B71" s="874"/>
      <c r="C71" s="860"/>
      <c r="D71" s="861"/>
      <c r="E71" s="859"/>
      <c r="F71" s="860"/>
      <c r="G71" s="860"/>
      <c r="H71" s="860"/>
      <c r="I71" s="861"/>
      <c r="J71" s="905"/>
      <c r="K71" s="906"/>
      <c r="L71" s="906"/>
      <c r="M71" s="907"/>
    </row>
    <row r="72" spans="2:13" ht="15" customHeight="1">
      <c r="B72" s="874"/>
      <c r="C72" s="860"/>
      <c r="D72" s="861"/>
      <c r="E72" s="859"/>
      <c r="F72" s="860"/>
      <c r="G72" s="860"/>
      <c r="H72" s="860"/>
      <c r="I72" s="861"/>
      <c r="J72" s="905"/>
      <c r="K72" s="906"/>
      <c r="L72" s="906"/>
      <c r="M72" s="907"/>
    </row>
    <row r="73" spans="2:13" ht="15" customHeight="1">
      <c r="B73" s="874"/>
      <c r="C73" s="860"/>
      <c r="D73" s="861"/>
      <c r="E73" s="859"/>
      <c r="F73" s="860"/>
      <c r="G73" s="860"/>
      <c r="H73" s="860"/>
      <c r="I73" s="861"/>
      <c r="J73" s="905"/>
      <c r="K73" s="906"/>
      <c r="L73" s="906"/>
      <c r="M73" s="907"/>
    </row>
    <row r="74" spans="2:13">
      <c r="B74" s="874"/>
      <c r="C74" s="860"/>
      <c r="D74" s="861"/>
      <c r="E74" s="859"/>
      <c r="F74" s="860"/>
      <c r="G74" s="860"/>
      <c r="H74" s="860"/>
      <c r="I74" s="861"/>
      <c r="J74" s="905"/>
      <c r="K74" s="906"/>
      <c r="L74" s="906"/>
      <c r="M74" s="907"/>
    </row>
    <row r="75" spans="2:13">
      <c r="B75" s="874"/>
      <c r="C75" s="860"/>
      <c r="D75" s="861"/>
      <c r="E75" s="859"/>
      <c r="F75" s="860"/>
      <c r="G75" s="860"/>
      <c r="H75" s="860"/>
      <c r="I75" s="861"/>
      <c r="J75" s="905"/>
      <c r="K75" s="906"/>
      <c r="L75" s="906"/>
      <c r="M75" s="907"/>
    </row>
    <row r="76" spans="2:13">
      <c r="B76" s="874"/>
      <c r="C76" s="860"/>
      <c r="D76" s="861"/>
      <c r="E76" s="859"/>
      <c r="F76" s="860"/>
      <c r="G76" s="860"/>
      <c r="H76" s="860"/>
      <c r="I76" s="861"/>
      <c r="J76" s="905"/>
      <c r="K76" s="906"/>
      <c r="L76" s="906"/>
      <c r="M76" s="907"/>
    </row>
    <row r="77" spans="2:13">
      <c r="B77" s="874"/>
      <c r="C77" s="860"/>
      <c r="D77" s="861"/>
      <c r="E77" s="859"/>
      <c r="F77" s="860"/>
      <c r="G77" s="860"/>
      <c r="H77" s="860"/>
      <c r="I77" s="861"/>
      <c r="J77" s="905"/>
      <c r="K77" s="906"/>
      <c r="L77" s="906"/>
      <c r="M77" s="907"/>
    </row>
    <row r="78" spans="2:13">
      <c r="B78" s="875"/>
      <c r="C78" s="863"/>
      <c r="D78" s="864"/>
      <c r="E78" s="862"/>
      <c r="F78" s="863"/>
      <c r="G78" s="863"/>
      <c r="H78" s="863"/>
      <c r="I78" s="864"/>
      <c r="J78" s="908"/>
      <c r="K78" s="909"/>
      <c r="L78" s="909"/>
      <c r="M78" s="910"/>
    </row>
    <row r="79" spans="2:13" ht="15.95">
      <c r="B79" s="884" t="s">
        <v>156</v>
      </c>
      <c r="C79" s="885"/>
      <c r="D79" s="885"/>
      <c r="E79" s="885"/>
      <c r="F79" s="885"/>
      <c r="G79" s="854" t="s">
        <v>157</v>
      </c>
      <c r="H79" s="854"/>
      <c r="I79" s="854"/>
      <c r="J79" s="854"/>
      <c r="K79" s="854"/>
      <c r="L79" s="854"/>
      <c r="M79" s="855"/>
    </row>
    <row r="80" spans="2:13" s="11" customFormat="1">
      <c r="B80" s="1175"/>
      <c r="C80" s="876"/>
      <c r="D80" s="876"/>
      <c r="E80" s="876"/>
      <c r="F80" s="877"/>
      <c r="G80"/>
      <c r="H80"/>
      <c r="I80"/>
      <c r="J80"/>
      <c r="K80"/>
      <c r="L80"/>
      <c r="M80" s="52"/>
    </row>
    <row r="81" spans="2:13">
      <c r="B81" s="878"/>
      <c r="C81" s="879"/>
      <c r="D81" s="879"/>
      <c r="E81" s="879"/>
      <c r="F81" s="880"/>
      <c r="M81" s="52"/>
    </row>
    <row r="82" spans="2:13">
      <c r="B82" s="878"/>
      <c r="C82" s="879"/>
      <c r="D82" s="879"/>
      <c r="E82" s="879"/>
      <c r="F82" s="880"/>
      <c r="M82" s="52"/>
    </row>
    <row r="83" spans="2:13">
      <c r="B83" s="878"/>
      <c r="C83" s="879"/>
      <c r="D83" s="879"/>
      <c r="E83" s="879"/>
      <c r="F83" s="880"/>
      <c r="M83" s="52"/>
    </row>
    <row r="84" spans="2:13">
      <c r="B84" s="878"/>
      <c r="C84" s="879"/>
      <c r="D84" s="879"/>
      <c r="E84" s="879"/>
      <c r="F84" s="880"/>
      <c r="M84" s="52"/>
    </row>
    <row r="85" spans="2:13">
      <c r="B85" s="878"/>
      <c r="C85" s="879"/>
      <c r="D85" s="879"/>
      <c r="E85" s="879"/>
      <c r="F85" s="880"/>
      <c r="M85" s="52"/>
    </row>
    <row r="86" spans="2:13">
      <c r="B86" s="878"/>
      <c r="C86" s="879"/>
      <c r="D86" s="879"/>
      <c r="E86" s="879"/>
      <c r="F86" s="880"/>
      <c r="M86" s="52"/>
    </row>
    <row r="87" spans="2:13">
      <c r="B87" s="878"/>
      <c r="C87" s="879"/>
      <c r="D87" s="879"/>
      <c r="E87" s="879"/>
      <c r="F87" s="880"/>
      <c r="M87" s="52"/>
    </row>
    <row r="88" spans="2:13">
      <c r="B88" s="878"/>
      <c r="C88" s="879"/>
      <c r="D88" s="879"/>
      <c r="E88" s="879"/>
      <c r="F88" s="880"/>
      <c r="M88" s="52"/>
    </row>
    <row r="89" spans="2:13">
      <c r="B89" s="878"/>
      <c r="C89" s="879"/>
      <c r="D89" s="879"/>
      <c r="E89" s="879"/>
      <c r="F89" s="880"/>
      <c r="M89" s="52"/>
    </row>
    <row r="90" spans="2:13">
      <c r="B90" s="878"/>
      <c r="C90" s="879"/>
      <c r="D90" s="879"/>
      <c r="E90" s="879"/>
      <c r="F90" s="880"/>
      <c r="M90" s="52"/>
    </row>
    <row r="91" spans="2:13">
      <c r="B91" s="878"/>
      <c r="C91" s="879"/>
      <c r="D91" s="879"/>
      <c r="E91" s="879"/>
      <c r="F91" s="880"/>
      <c r="M91" s="52"/>
    </row>
    <row r="92" spans="2:13">
      <c r="B92" s="878"/>
      <c r="C92" s="879"/>
      <c r="D92" s="879"/>
      <c r="E92" s="879"/>
      <c r="F92" s="880"/>
      <c r="M92" s="52"/>
    </row>
    <row r="93" spans="2:13">
      <c r="B93" s="878"/>
      <c r="C93" s="879"/>
      <c r="D93" s="879"/>
      <c r="E93" s="879"/>
      <c r="F93" s="880"/>
      <c r="M93" s="52"/>
    </row>
    <row r="94" spans="2:13">
      <c r="B94" s="878"/>
      <c r="C94" s="879"/>
      <c r="D94" s="879"/>
      <c r="E94" s="879"/>
      <c r="F94" s="880"/>
      <c r="M94" s="52"/>
    </row>
    <row r="95" spans="2:13">
      <c r="B95" s="878"/>
      <c r="C95" s="879"/>
      <c r="D95" s="879"/>
      <c r="E95" s="879"/>
      <c r="F95" s="880"/>
      <c r="M95" s="52"/>
    </row>
    <row r="96" spans="2:13">
      <c r="B96" s="878"/>
      <c r="C96" s="879"/>
      <c r="D96" s="879"/>
      <c r="E96" s="879"/>
      <c r="F96" s="880"/>
      <c r="M96" s="52"/>
    </row>
    <row r="97" spans="2:13">
      <c r="B97" s="878"/>
      <c r="C97" s="879"/>
      <c r="D97" s="879"/>
      <c r="E97" s="879"/>
      <c r="F97" s="880"/>
      <c r="M97" s="52"/>
    </row>
    <row r="98" spans="2:13">
      <c r="B98" s="878"/>
      <c r="C98" s="879"/>
      <c r="D98" s="879"/>
      <c r="E98" s="879"/>
      <c r="F98" s="880"/>
      <c r="M98" s="52"/>
    </row>
    <row r="99" spans="2:13">
      <c r="B99" s="878"/>
      <c r="C99" s="879"/>
      <c r="D99" s="879"/>
      <c r="E99" s="879"/>
      <c r="F99" s="880"/>
      <c r="M99" s="52"/>
    </row>
    <row r="100" spans="2:13">
      <c r="B100" s="878"/>
      <c r="C100" s="879"/>
      <c r="D100" s="879"/>
      <c r="E100" s="879"/>
      <c r="F100" s="880"/>
      <c r="M100" s="52"/>
    </row>
    <row r="101" spans="2:13">
      <c r="B101" s="878"/>
      <c r="C101" s="879"/>
      <c r="D101" s="879"/>
      <c r="E101" s="879"/>
      <c r="F101" s="880"/>
      <c r="M101" s="52"/>
    </row>
    <row r="102" spans="2:13">
      <c r="B102" s="878"/>
      <c r="C102" s="879"/>
      <c r="D102" s="879"/>
      <c r="E102" s="879"/>
      <c r="F102" s="880"/>
      <c r="M102" s="52"/>
    </row>
    <row r="103" spans="2:13" ht="14.1" thickBot="1">
      <c r="B103" s="878"/>
      <c r="C103" s="879"/>
      <c r="D103" s="879"/>
      <c r="E103" s="879"/>
      <c r="F103" s="880"/>
      <c r="M103" s="52"/>
    </row>
    <row r="104" spans="2:13" ht="14.1" thickBot="1">
      <c r="B104" s="881"/>
      <c r="C104" s="882"/>
      <c r="D104" s="882"/>
      <c r="E104" s="882"/>
      <c r="F104" s="883"/>
      <c r="G104" s="819" t="s">
        <v>158</v>
      </c>
      <c r="H104" s="843" t="e" vm="2">
        <f>Peers!C6</f>
        <v>#VALUE!</v>
      </c>
      <c r="I104" s="843"/>
      <c r="J104" s="842" t="e" vm="3">
        <f>Peers!D6</f>
        <v>#VALUE!</v>
      </c>
      <c r="K104" s="842"/>
      <c r="L104" s="817" t="e" vm="4">
        <f>Peers!E6</f>
        <v>#VALUE!</v>
      </c>
      <c r="M104" s="818" t="e" vm="5">
        <f>Peers!F6</f>
        <v>#VALUE!</v>
      </c>
    </row>
  </sheetData>
  <mergeCells count="89">
    <mergeCell ref="H37:H40"/>
    <mergeCell ref="I37:I40"/>
    <mergeCell ref="J37:K40"/>
    <mergeCell ref="C35:G35"/>
    <mergeCell ref="C38:G38"/>
    <mergeCell ref="C40:G40"/>
    <mergeCell ref="C39:G39"/>
    <mergeCell ref="B36:G36"/>
    <mergeCell ref="C37:G37"/>
    <mergeCell ref="I36:M36"/>
    <mergeCell ref="M37:M40"/>
    <mergeCell ref="F26:G26"/>
    <mergeCell ref="F27:G27"/>
    <mergeCell ref="C34:G34"/>
    <mergeCell ref="B31:G31"/>
    <mergeCell ref="B30:M30"/>
    <mergeCell ref="I27:J27"/>
    <mergeCell ref="I28:J28"/>
    <mergeCell ref="C32:G32"/>
    <mergeCell ref="C33:G33"/>
    <mergeCell ref="F29:G29"/>
    <mergeCell ref="F28:G28"/>
    <mergeCell ref="B3:C13"/>
    <mergeCell ref="L16:M16"/>
    <mergeCell ref="B16:C16"/>
    <mergeCell ref="B26:C26"/>
    <mergeCell ref="D16:E16"/>
    <mergeCell ref="B15:M15"/>
    <mergeCell ref="J17:K17"/>
    <mergeCell ref="I16:K16"/>
    <mergeCell ref="I26:J26"/>
    <mergeCell ref="F20:G20"/>
    <mergeCell ref="F21:G21"/>
    <mergeCell ref="F22:G22"/>
    <mergeCell ref="F18:G18"/>
    <mergeCell ref="B14:C14"/>
    <mergeCell ref="D4:G14"/>
    <mergeCell ref="D3:G3"/>
    <mergeCell ref="E2:K2"/>
    <mergeCell ref="F17:G17"/>
    <mergeCell ref="F25:G25"/>
    <mergeCell ref="F23:G23"/>
    <mergeCell ref="J18:K18"/>
    <mergeCell ref="I19:J19"/>
    <mergeCell ref="I20:J20"/>
    <mergeCell ref="I21:J21"/>
    <mergeCell ref="I22:J22"/>
    <mergeCell ref="I23:J23"/>
    <mergeCell ref="I24:J24"/>
    <mergeCell ref="I25:J25"/>
    <mergeCell ref="F24:G24"/>
    <mergeCell ref="H3:M3"/>
    <mergeCell ref="F16:H16"/>
    <mergeCell ref="F19:G19"/>
    <mergeCell ref="J53:K53"/>
    <mergeCell ref="J54:K54"/>
    <mergeCell ref="J55:K55"/>
    <mergeCell ref="B58:D58"/>
    <mergeCell ref="B69:D69"/>
    <mergeCell ref="B59:D68"/>
    <mergeCell ref="J57:M57"/>
    <mergeCell ref="B57:I57"/>
    <mergeCell ref="J58:M78"/>
    <mergeCell ref="J48:K48"/>
    <mergeCell ref="J49:K49"/>
    <mergeCell ref="J50:K50"/>
    <mergeCell ref="J51:K51"/>
    <mergeCell ref="J52:K52"/>
    <mergeCell ref="J44:K44"/>
    <mergeCell ref="J45:K45"/>
    <mergeCell ref="J46:K46"/>
    <mergeCell ref="J47:K47"/>
    <mergeCell ref="L37:L40"/>
    <mergeCell ref="J104:K104"/>
    <mergeCell ref="H104:I104"/>
    <mergeCell ref="H32:H35"/>
    <mergeCell ref="I31:M31"/>
    <mergeCell ref="I32:M35"/>
    <mergeCell ref="B56:M56"/>
    <mergeCell ref="J42:M42"/>
    <mergeCell ref="B41:M41"/>
    <mergeCell ref="G79:M79"/>
    <mergeCell ref="E70:I78"/>
    <mergeCell ref="E59:I68"/>
    <mergeCell ref="E69:I69"/>
    <mergeCell ref="B70:D78"/>
    <mergeCell ref="E58:I58"/>
    <mergeCell ref="B80:F104"/>
    <mergeCell ref="B79:F79"/>
  </mergeCells>
  <phoneticPr fontId="0" type="noConversion"/>
  <conditionalFormatting sqref="C43:C51 D43:E43">
    <cfRule type="dataBar" priority="8">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3:D51">
    <cfRule type="dataBar" priority="7">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4:D51">
    <cfRule type="dataBar" priority="16">
      <dataBar>
        <cfvo type="min"/>
        <cfvo type="max"/>
        <color rgb="FF63C384"/>
      </dataBar>
      <extLst>
        <ext xmlns:x14="http://schemas.microsoft.com/office/spreadsheetml/2009/9/main" uri="{B025F937-C7B1-47D3-B67F-A62EFF666E3E}">
          <x14:id>{16E131EF-4CFA-4C45-B407-C7FA5F1CCD58}</x14:id>
        </ext>
      </extLst>
    </cfRule>
    <cfRule type="dataBar" priority="14">
      <dataBar>
        <cfvo type="min"/>
        <cfvo type="max"/>
        <color rgb="FF638EC6"/>
      </dataBar>
      <extLst>
        <ext xmlns:x14="http://schemas.microsoft.com/office/spreadsheetml/2009/9/main" uri="{B025F937-C7B1-47D3-B67F-A62EFF666E3E}">
          <x14:id>{8F05AC94-FB75-41DC-A030-BD50695363B2}</x14:id>
        </ext>
      </extLst>
    </cfRule>
  </conditionalFormatting>
  <conditionalFormatting sqref="E48:E51 E43:E46">
    <cfRule type="dataBar" priority="134">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8:E51 E44:E46">
    <cfRule type="dataBar" priority="137">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2:E55 G52:G55 I52:I55">
    <cfRule type="dataBar" priority="12">
      <dataBar>
        <cfvo type="min"/>
        <cfvo type="max"/>
        <color rgb="FF63C384"/>
      </dataBar>
      <extLst>
        <ext xmlns:x14="http://schemas.microsoft.com/office/spreadsheetml/2009/9/main" uri="{B025F937-C7B1-47D3-B67F-A62EFF666E3E}">
          <x14:id>{CA48BEF9-536B-483E-93D1-1D70FAC05115}</x14:id>
        </ext>
      </extLst>
    </cfRule>
    <cfRule type="dataBar" priority="11">
      <dataBar>
        <cfvo type="min"/>
        <cfvo type="max"/>
        <color rgb="FF638EC6"/>
      </dataBar>
      <extLst>
        <ext xmlns:x14="http://schemas.microsoft.com/office/spreadsheetml/2009/9/main" uri="{B025F937-C7B1-47D3-B67F-A62EFF666E3E}">
          <x14:id>{4382A5A4-8938-4754-913D-04C8EB3E9944}</x14:id>
        </ext>
      </extLst>
    </cfRule>
  </conditionalFormatting>
  <conditionalFormatting sqref="F18:F22">
    <cfRule type="dataBar" priority="2">
      <dataBar>
        <cfvo type="min"/>
        <cfvo type="max"/>
        <color rgb="FF63C384"/>
      </dataBar>
      <extLst>
        <ext xmlns:x14="http://schemas.microsoft.com/office/spreadsheetml/2009/9/main" uri="{B025F937-C7B1-47D3-B67F-A62EFF666E3E}">
          <x14:id>{9DA6BE91-7393-A84A-A41F-66582EFEF63D}</x14:id>
        </ext>
      </extLst>
    </cfRule>
    <cfRule type="dataBar" priority="3">
      <dataBar>
        <cfvo type="min"/>
        <cfvo type="max"/>
        <color rgb="FF63C384"/>
      </dataBar>
      <extLst>
        <ext xmlns:x14="http://schemas.microsoft.com/office/spreadsheetml/2009/9/main" uri="{B025F937-C7B1-47D3-B67F-A62EFF666E3E}">
          <x14:id>{E6A05DAA-1B6A-D045-B6DD-3502453D849D}</x14:id>
        </ext>
      </extLst>
    </cfRule>
  </conditionalFormatting>
  <conditionalFormatting sqref="F43:F51">
    <cfRule type="dataBar" priority="13">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3:G51">
    <cfRule type="dataBar" priority="15">
      <dataBar>
        <cfvo type="min"/>
        <cfvo type="max"/>
        <color rgb="FF63C384"/>
      </dataBar>
      <extLst>
        <ext xmlns:x14="http://schemas.microsoft.com/office/spreadsheetml/2009/9/main" uri="{B025F937-C7B1-47D3-B67F-A62EFF666E3E}">
          <x14:id>{ADD19CCF-E818-42F8-BF99-60EF2D3A801A}</x14:id>
        </ext>
      </extLst>
    </cfRule>
  </conditionalFormatting>
  <conditionalFormatting sqref="H18:H22">
    <cfRule type="dataBar" priority="1">
      <dataBar>
        <cfvo type="min"/>
        <cfvo type="max"/>
        <color rgb="FF638EC6"/>
      </dataBar>
      <extLst>
        <ext xmlns:x14="http://schemas.microsoft.com/office/spreadsheetml/2009/9/main" uri="{B025F937-C7B1-47D3-B67F-A62EFF666E3E}">
          <x14:id>{3D06EFBC-2931-4F54-877C-6E68345C0786}</x14:id>
        </ext>
      </extLst>
    </cfRule>
  </conditionalFormatting>
  <conditionalFormatting sqref="H24:H28">
    <cfRule type="dataBar" priority="4">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3:H51">
    <cfRule type="dataBar" priority="18">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3:I51">
    <cfRule type="dataBar" priority="10">
      <dataBar>
        <cfvo type="min"/>
        <cfvo type="max"/>
        <color rgb="FF63C384"/>
      </dataBar>
      <extLst>
        <ext xmlns:x14="http://schemas.microsoft.com/office/spreadsheetml/2009/9/main" uri="{B025F937-C7B1-47D3-B67F-A62EFF666E3E}">
          <x14:id>{60823727-C433-4BFE-A422-F2DB16A0B39B}</x14:id>
        </ext>
      </extLst>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7:S51 O44:S44 O45:S45 O46:S46 N53:S54 O52:S52"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C43:C51 D43:E43</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D43:D51</xm:sqref>
        </x14:conditionalFormatting>
        <x14:conditionalFormatting xmlns:xm="http://schemas.microsoft.com/office/excel/2006/main">
          <x14:cfRule type="dataBar" id="{16E131EF-4CFA-4C45-B407-C7FA5F1CCD58}">
            <x14:dataBar minLength="0" maxLength="100" gradient="0">
              <x14:cfvo type="autoMin"/>
              <x14:cfvo type="autoMax"/>
              <x14:negativeFillColor rgb="FFFF0000"/>
              <x14:axisColor rgb="FF000000"/>
            </x14:dataBar>
          </x14:cfRule>
          <x14:cfRule type="dataBar" id="{8F05AC94-FB75-41DC-A030-BD50695363B2}">
            <x14:dataBar minLength="0" maxLength="100" gradient="0">
              <x14:cfvo type="autoMin"/>
              <x14:cfvo type="autoMax"/>
              <x14:negativeFillColor rgb="FFFF0000"/>
              <x14:axisColor rgb="FF000000"/>
            </x14:dataBar>
          </x14:cfRule>
          <xm:sqref>D44:D51</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E48:E51 E43:E46</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E48:E51 E44:E46</xm:sqref>
        </x14:conditionalFormatting>
        <x14:conditionalFormatting xmlns:xm="http://schemas.microsoft.com/office/excel/2006/main">
          <x14:cfRule type="dataBar" id="{CA48BEF9-536B-483E-93D1-1D70FAC05115}">
            <x14:dataBar minLength="0" maxLength="100" gradient="0">
              <x14:cfvo type="autoMin"/>
              <x14:cfvo type="autoMax"/>
              <x14:negativeFillColor rgb="FFFF0000"/>
              <x14:axisColor rgb="FF000000"/>
            </x14:dataBar>
          </x14:cfRule>
          <x14:cfRule type="dataBar" id="{4382A5A4-8938-4754-913D-04C8EB3E9944}">
            <x14:dataBar minLength="0" maxLength="100" gradient="0">
              <x14:cfvo type="autoMin"/>
              <x14:cfvo type="autoMax"/>
              <x14:negativeFillColor rgb="FFFF0000"/>
              <x14:axisColor rgb="FF000000"/>
            </x14:dataBar>
          </x14:cfRule>
          <xm:sqref>E52:E55 G52:G55 I52:I55</xm:sqref>
        </x14:conditionalFormatting>
        <x14:conditionalFormatting xmlns:xm="http://schemas.microsoft.com/office/excel/2006/main">
          <x14:cfRule type="dataBar" id="{9DA6BE91-7393-A84A-A41F-66582EFEF63D}">
            <x14:dataBar minLength="0" maxLength="100" gradient="0">
              <x14:cfvo type="autoMin"/>
              <x14:cfvo type="autoMax"/>
              <x14:negativeFillColor rgb="FFFF0000"/>
              <x14:axisColor rgb="FF000000"/>
            </x14:dataBar>
          </x14:cfRule>
          <x14:cfRule type="dataBar" id="{E6A05DAA-1B6A-D045-B6DD-3502453D849D}">
            <x14:dataBar minLength="0" maxLength="100" gradient="0">
              <x14:cfvo type="autoMin"/>
              <x14:cfvo type="autoMax"/>
              <x14:negativeFillColor rgb="FFFF0000"/>
              <x14:axisColor rgb="FF000000"/>
            </x14:dataBar>
          </x14:cfRule>
          <xm:sqref>F18:F22</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F43:F51</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G43:G51</xm:sqref>
        </x14:conditionalFormatting>
        <x14:conditionalFormatting xmlns:xm="http://schemas.microsoft.com/office/excel/2006/main">
          <x14:cfRule type="dataBar" id="{3D06EFBC-2931-4F54-877C-6E68345C0786}">
            <x14:dataBar minLength="0" maxLength="100" border="1" negativeBarBorderColorSameAsPositive="0">
              <x14:cfvo type="autoMin"/>
              <x14:cfvo type="autoMax"/>
              <x14:borderColor rgb="FF638EC6"/>
              <x14:negativeFillColor rgb="FFFF0000"/>
              <x14:negativeBorderColor rgb="FFFF0000"/>
              <x14:axisColor rgb="FF000000"/>
            </x14:dataBar>
          </x14:cfRule>
          <xm:sqref>H18:H22</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H24:H28</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H43:H51</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I43:I51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A1:Y73"/>
  <sheetViews>
    <sheetView showGridLines="0" zoomScale="93" zoomScaleNormal="85" workbookViewId="0">
      <selection activeCell="S23" sqref="S23"/>
    </sheetView>
  </sheetViews>
  <sheetFormatPr defaultColWidth="11.42578125" defaultRowHeight="12.95"/>
  <cols>
    <col min="1" max="1" width="2.140625" customWidth="1"/>
    <col min="2" max="2" width="11.140625" customWidth="1"/>
    <col min="3" max="3" width="42.85546875" customWidth="1"/>
    <col min="4" max="4" width="15.28515625" style="2" customWidth="1"/>
    <col min="5" max="9" width="15.28515625" customWidth="1"/>
    <col min="10" max="11" width="11.42578125" bestFit="1" customWidth="1"/>
    <col min="17" max="17" width="23.42578125" customWidth="1"/>
  </cols>
  <sheetData>
    <row r="1" spans="2:25" ht="7.5" customHeight="1"/>
    <row r="2" spans="2:25" ht="21" thickBot="1">
      <c r="B2" s="1043" t="str">
        <f>"Regions "&amp;"("&amp;OP!J17&amp;")"</f>
        <v>Regions (2022)</v>
      </c>
      <c r="C2" s="1044"/>
      <c r="D2" s="1044"/>
      <c r="E2" s="1044"/>
      <c r="F2" s="1044"/>
      <c r="G2" s="1044"/>
      <c r="H2" s="1044"/>
      <c r="I2" s="1044"/>
      <c r="J2" s="1044"/>
      <c r="K2" s="1044"/>
      <c r="L2" s="1044"/>
      <c r="M2" s="1044"/>
      <c r="N2" s="1044"/>
      <c r="O2" s="1044"/>
      <c r="P2" s="1044"/>
      <c r="Q2" s="1039" t="s">
        <v>159</v>
      </c>
      <c r="R2" s="1040"/>
      <c r="S2" s="1040"/>
      <c r="T2" s="1040"/>
      <c r="U2" s="1040"/>
      <c r="V2" s="1040"/>
      <c r="W2" s="1040"/>
      <c r="X2" s="1040"/>
      <c r="Y2" s="1041"/>
    </row>
    <row r="3" spans="2:25" ht="18.95" thickBot="1">
      <c r="B3" s="186"/>
      <c r="C3" s="187"/>
      <c r="D3" s="1063" t="s">
        <v>160</v>
      </c>
      <c r="E3" s="1063"/>
      <c r="F3" s="1063"/>
      <c r="G3" s="1063"/>
      <c r="H3" s="1063"/>
      <c r="I3" s="1064"/>
      <c r="J3" s="167"/>
      <c r="K3" s="1042" t="s">
        <v>161</v>
      </c>
      <c r="L3" s="1042"/>
      <c r="M3" s="1042"/>
      <c r="N3" s="1042"/>
      <c r="O3" s="1042"/>
      <c r="P3" s="1042"/>
      <c r="Q3" s="620"/>
      <c r="R3" s="621"/>
      <c r="S3" s="621"/>
      <c r="T3" s="621"/>
      <c r="U3" s="621"/>
      <c r="V3" s="621"/>
      <c r="W3" s="621"/>
      <c r="X3" s="621"/>
      <c r="Y3" s="622"/>
    </row>
    <row r="4" spans="2:25" ht="17.100000000000001" thickBot="1">
      <c r="B4" s="173" t="s">
        <v>162</v>
      </c>
      <c r="C4" s="174" t="s">
        <v>163</v>
      </c>
      <c r="D4" s="175">
        <f>OP!J17</f>
        <v>2022</v>
      </c>
      <c r="E4" s="175">
        <f>D4-1</f>
        <v>2021</v>
      </c>
      <c r="F4" s="175">
        <f>E4-1</f>
        <v>2020</v>
      </c>
      <c r="G4" s="175">
        <f>F4-1</f>
        <v>2019</v>
      </c>
      <c r="H4" s="175">
        <f>G4-1</f>
        <v>2018</v>
      </c>
      <c r="I4" s="175">
        <f>H4-1</f>
        <v>2017</v>
      </c>
      <c r="J4" s="168"/>
      <c r="K4" s="175">
        <f>OP!J17</f>
        <v>2022</v>
      </c>
      <c r="L4" s="175">
        <f t="shared" ref="L4:P4" si="0">K4-1</f>
        <v>2021</v>
      </c>
      <c r="M4" s="175">
        <f t="shared" si="0"/>
        <v>2020</v>
      </c>
      <c r="N4" s="175">
        <f t="shared" si="0"/>
        <v>2019</v>
      </c>
      <c r="O4" s="175">
        <f t="shared" si="0"/>
        <v>2018</v>
      </c>
      <c r="P4" s="188">
        <f t="shared" si="0"/>
        <v>2017</v>
      </c>
      <c r="Q4" s="620"/>
      <c r="R4" s="621"/>
      <c r="S4" s="621"/>
      <c r="T4" s="621"/>
      <c r="U4" s="621"/>
      <c r="V4" s="621"/>
      <c r="W4" s="621"/>
      <c r="X4" s="621"/>
      <c r="Y4" s="622"/>
    </row>
    <row r="5" spans="2:25" ht="15.95">
      <c r="B5" s="172">
        <f>IFERROR(D5/D11,"")</f>
        <v>0.609375</v>
      </c>
      <c r="C5" s="176" t="s">
        <v>164</v>
      </c>
      <c r="D5" s="176">
        <v>19500</v>
      </c>
      <c r="E5" s="176">
        <v>10000</v>
      </c>
      <c r="F5" s="176">
        <v>6082</v>
      </c>
      <c r="G5" s="176">
        <v>8805</v>
      </c>
      <c r="H5" s="176">
        <v>6521</v>
      </c>
      <c r="I5" s="176"/>
      <c r="J5" s="169"/>
      <c r="K5" s="346">
        <f t="shared" ref="K5:K8" si="1">(D5-E5)/E5</f>
        <v>0.95</v>
      </c>
      <c r="L5" s="346">
        <f t="shared" ref="L5:L8" si="2">(E5-F5)/F5</f>
        <v>0.64419598816178891</v>
      </c>
      <c r="M5" s="346">
        <f t="shared" ref="M5:M8" si="3">(F5-G5)/G5</f>
        <v>-0.30925610448608742</v>
      </c>
      <c r="N5" s="346">
        <f>(G5-H5)/H5</f>
        <v>0.35025302867658337</v>
      </c>
      <c r="O5" s="618" t="s">
        <v>62</v>
      </c>
      <c r="P5" s="618" t="s">
        <v>62</v>
      </c>
      <c r="Q5" s="620"/>
      <c r="R5" s="621"/>
      <c r="S5" s="621"/>
      <c r="T5" s="621"/>
      <c r="U5" s="621"/>
      <c r="V5" s="621"/>
      <c r="W5" s="621"/>
      <c r="X5" s="621"/>
      <c r="Y5" s="622"/>
    </row>
    <row r="6" spans="2:25" ht="15.95">
      <c r="B6" s="172">
        <f>IFERROR(D6/D11,"")</f>
        <v>0.21875</v>
      </c>
      <c r="C6" s="176" t="s">
        <v>165</v>
      </c>
      <c r="D6" s="176">
        <v>7000</v>
      </c>
      <c r="E6" s="176">
        <v>3200</v>
      </c>
      <c r="F6" s="176">
        <v>1800</v>
      </c>
      <c r="G6" s="176">
        <v>2148</v>
      </c>
      <c r="H6" s="176">
        <v>1721</v>
      </c>
      <c r="I6" s="176"/>
      <c r="J6" s="169"/>
      <c r="K6" s="346">
        <f>(D6-E6)/E6</f>
        <v>1.1875</v>
      </c>
      <c r="L6" s="346">
        <f t="shared" si="2"/>
        <v>0.77777777777777779</v>
      </c>
      <c r="M6" s="346">
        <f t="shared" si="3"/>
        <v>-0.16201117318435754</v>
      </c>
      <c r="N6" s="346">
        <f t="shared" ref="N6:N8" si="4">(G6-H6)/H6</f>
        <v>0.24811156304474144</v>
      </c>
      <c r="O6" s="618" t="s">
        <v>62</v>
      </c>
      <c r="P6" s="618" t="s">
        <v>62</v>
      </c>
      <c r="Q6" s="620"/>
      <c r="R6" s="621"/>
      <c r="S6" s="621"/>
      <c r="T6" s="621"/>
      <c r="U6" s="621"/>
      <c r="V6" s="621"/>
      <c r="W6" s="621"/>
      <c r="X6" s="621"/>
      <c r="Y6" s="622"/>
    </row>
    <row r="7" spans="2:25" ht="15.95">
      <c r="B7" s="172">
        <f>IFERROR(D7/D11,"")</f>
        <v>0.109375</v>
      </c>
      <c r="C7" s="767" t="s">
        <v>166</v>
      </c>
      <c r="D7" s="176">
        <v>3500</v>
      </c>
      <c r="E7" s="176">
        <v>2700</v>
      </c>
      <c r="F7" s="176">
        <v>1500</v>
      </c>
      <c r="G7" s="176">
        <v>1247</v>
      </c>
      <c r="H7" s="176">
        <v>1026</v>
      </c>
      <c r="I7" s="176"/>
      <c r="J7" s="169"/>
      <c r="K7" s="346">
        <f t="shared" si="1"/>
        <v>0.29629629629629628</v>
      </c>
      <c r="L7" s="346">
        <f t="shared" si="2"/>
        <v>0.8</v>
      </c>
      <c r="M7" s="346">
        <f t="shared" si="3"/>
        <v>0.20288692862870891</v>
      </c>
      <c r="N7" s="346">
        <f t="shared" si="4"/>
        <v>0.21539961013645223</v>
      </c>
      <c r="O7" s="618" t="s">
        <v>62</v>
      </c>
      <c r="P7" s="618" t="s">
        <v>62</v>
      </c>
      <c r="Q7" s="620"/>
      <c r="R7" s="621"/>
      <c r="S7" s="621"/>
      <c r="T7" s="621"/>
      <c r="U7" s="621"/>
      <c r="V7" s="621"/>
      <c r="W7" s="621"/>
      <c r="X7" s="621"/>
      <c r="Y7" s="622"/>
    </row>
    <row r="8" spans="2:25" ht="17.100000000000001" thickBot="1">
      <c r="B8" s="172">
        <f>IFERROR(D8/D11,"")</f>
        <v>6.25E-2</v>
      </c>
      <c r="C8" s="176" t="s">
        <v>167</v>
      </c>
      <c r="D8" s="176">
        <v>2000</v>
      </c>
      <c r="E8" s="176">
        <v>1400</v>
      </c>
      <c r="F8" s="176">
        <v>1300</v>
      </c>
      <c r="G8" s="176">
        <v>1947</v>
      </c>
      <c r="H8" s="176">
        <v>2002</v>
      </c>
      <c r="I8" s="176"/>
      <c r="J8" s="169"/>
      <c r="K8" s="346">
        <f t="shared" si="1"/>
        <v>0.42857142857142855</v>
      </c>
      <c r="L8" s="346">
        <f t="shared" si="2"/>
        <v>7.6923076923076927E-2</v>
      </c>
      <c r="M8" s="346">
        <f t="shared" si="3"/>
        <v>-0.33230611196712889</v>
      </c>
      <c r="N8" s="346">
        <f t="shared" si="4"/>
        <v>-2.7472527472527472E-2</v>
      </c>
      <c r="O8" s="618" t="s">
        <v>62</v>
      </c>
      <c r="P8" s="618" t="s">
        <v>62</v>
      </c>
      <c r="Q8" s="620"/>
      <c r="R8" s="621"/>
      <c r="S8" s="621"/>
      <c r="T8" s="621"/>
      <c r="U8" s="621"/>
      <c r="V8" s="621"/>
      <c r="W8" s="621"/>
      <c r="X8" s="621"/>
      <c r="Y8" s="622"/>
    </row>
    <row r="9" spans="2:25" ht="14.1" hidden="1" customHeight="1" thickBot="1">
      <c r="B9" s="161">
        <f>IFERROR(D9/D11,"")</f>
        <v>0</v>
      </c>
      <c r="C9" s="160"/>
      <c r="D9" s="176"/>
      <c r="E9" s="176"/>
      <c r="F9" s="176"/>
      <c r="G9" s="767">
        <f t="shared" ref="G9:G10" si="5">SUM(5032*(D9/$D$11))</f>
        <v>0</v>
      </c>
      <c r="H9" s="165"/>
      <c r="I9" s="165"/>
      <c r="J9" s="169"/>
      <c r="K9" s="165"/>
      <c r="L9" s="165"/>
      <c r="M9" s="165"/>
      <c r="N9" s="165"/>
      <c r="O9" s="165"/>
      <c r="P9" s="189"/>
      <c r="Q9" s="620"/>
      <c r="R9" s="621"/>
      <c r="S9" s="621"/>
      <c r="T9" s="621"/>
      <c r="U9" s="621"/>
      <c r="V9" s="621"/>
      <c r="W9" s="621"/>
      <c r="X9" s="621"/>
      <c r="Y9" s="622"/>
    </row>
    <row r="10" spans="2:25" ht="14.1" hidden="1" customHeight="1" thickBot="1">
      <c r="B10" s="162">
        <f>IFERROR(D10/D11,"")</f>
        <v>0</v>
      </c>
      <c r="C10" s="177"/>
      <c r="D10" s="612"/>
      <c r="E10" s="612"/>
      <c r="F10" s="612"/>
      <c r="G10" s="767">
        <f t="shared" si="5"/>
        <v>0</v>
      </c>
      <c r="H10" s="613"/>
      <c r="I10" s="613"/>
      <c r="J10" s="169"/>
      <c r="K10" s="166"/>
      <c r="L10" s="166"/>
      <c r="M10" s="166"/>
      <c r="N10" s="166"/>
      <c r="O10" s="166"/>
      <c r="P10" s="190"/>
      <c r="Q10" s="620"/>
      <c r="R10" s="621"/>
      <c r="S10" s="621"/>
      <c r="T10" s="621"/>
      <c r="U10" s="621"/>
      <c r="V10" s="621"/>
      <c r="W10" s="621"/>
      <c r="X10" s="621"/>
      <c r="Y10" s="622"/>
    </row>
    <row r="11" spans="2:25" ht="17.100000000000001" thickBot="1">
      <c r="B11" s="164">
        <f>SUM(B5:B10)</f>
        <v>1</v>
      </c>
      <c r="C11" s="610" t="s">
        <v>168</v>
      </c>
      <c r="D11" s="614">
        <f t="shared" ref="D11:I11" si="6">SUM(D5:D10)</f>
        <v>32000</v>
      </c>
      <c r="E11" s="614">
        <f t="shared" si="6"/>
        <v>17300</v>
      </c>
      <c r="F11" s="614">
        <f t="shared" si="6"/>
        <v>10682</v>
      </c>
      <c r="G11" s="614">
        <f t="shared" si="6"/>
        <v>14147</v>
      </c>
      <c r="H11" s="614">
        <f t="shared" si="6"/>
        <v>11270</v>
      </c>
      <c r="I11" s="614">
        <f t="shared" si="6"/>
        <v>0</v>
      </c>
      <c r="J11" s="611"/>
      <c r="K11" s="348">
        <f>(D11-E11)/E11</f>
        <v>0.8497109826589595</v>
      </c>
      <c r="L11" s="348">
        <f>(E11-F11)/F11</f>
        <v>0.61954690132933909</v>
      </c>
      <c r="M11" s="348">
        <f>(F11-G11)/G11</f>
        <v>-0.24492825333993073</v>
      </c>
      <c r="N11" s="348">
        <f t="shared" ref="N11" si="7">(G11-H11)/H11</f>
        <v>0.25527950310559006</v>
      </c>
      <c r="O11" s="348" t="e">
        <f>(H11-I11)/I11</f>
        <v>#DIV/0!</v>
      </c>
      <c r="P11" s="685" t="e">
        <f>(I11-J11)/J11</f>
        <v>#DIV/0!</v>
      </c>
      <c r="Q11" s="620"/>
      <c r="R11" s="621"/>
      <c r="S11" s="621"/>
      <c r="T11" s="621"/>
      <c r="U11" s="621"/>
      <c r="V11" s="621"/>
      <c r="W11" s="621"/>
      <c r="X11" s="621"/>
      <c r="Y11" s="622"/>
    </row>
    <row r="12" spans="2:25" ht="15.95">
      <c r="B12" s="184"/>
      <c r="C12" s="6"/>
      <c r="D12" s="15"/>
      <c r="E12" s="15"/>
      <c r="F12" s="15"/>
      <c r="G12" s="15"/>
      <c r="H12" s="15"/>
      <c r="I12" s="15"/>
      <c r="J12" s="15"/>
      <c r="K12" s="15"/>
      <c r="L12" s="15"/>
      <c r="M12" s="15"/>
      <c r="N12" s="15"/>
      <c r="O12" s="15"/>
      <c r="P12" s="15"/>
      <c r="Q12" s="620"/>
      <c r="R12" s="621"/>
      <c r="S12" s="621"/>
      <c r="T12" s="621"/>
      <c r="U12" s="621"/>
      <c r="V12" s="621"/>
      <c r="W12" s="621"/>
      <c r="X12" s="621"/>
      <c r="Y12" s="622"/>
    </row>
    <row r="13" spans="2:25" ht="21" thickBot="1">
      <c r="B13" s="1043" t="str">
        <f>"Categories "&amp;"("&amp;OP!J17&amp;")"</f>
        <v>Categories (2022)</v>
      </c>
      <c r="C13" s="1044"/>
      <c r="D13" s="1044"/>
      <c r="E13" s="1044"/>
      <c r="F13" s="1044"/>
      <c r="G13" s="1044"/>
      <c r="H13" s="1044"/>
      <c r="I13" s="1044"/>
      <c r="J13" s="1044"/>
      <c r="K13" s="1044"/>
      <c r="L13" s="1044"/>
      <c r="M13" s="1044"/>
      <c r="N13" s="1044"/>
      <c r="O13" s="1044"/>
      <c r="P13" s="1044"/>
      <c r="Q13" s="620"/>
      <c r="R13" s="621"/>
      <c r="S13" s="621"/>
      <c r="T13" s="621"/>
      <c r="U13" s="621"/>
      <c r="V13" s="621"/>
      <c r="W13" s="621"/>
      <c r="X13" s="621"/>
      <c r="Y13" s="622"/>
    </row>
    <row r="14" spans="2:25" ht="21" thickBot="1">
      <c r="B14" s="186"/>
      <c r="C14" s="187"/>
      <c r="D14" s="992" t="s">
        <v>160</v>
      </c>
      <c r="E14" s="993"/>
      <c r="F14" s="993"/>
      <c r="G14" s="993"/>
      <c r="H14" s="993"/>
      <c r="I14" s="1049"/>
      <c r="J14" s="167"/>
      <c r="K14" s="1045" t="s">
        <v>161</v>
      </c>
      <c r="L14" s="1046"/>
      <c r="M14" s="1046"/>
      <c r="N14" s="1046"/>
      <c r="O14" s="1046"/>
      <c r="P14" s="1046"/>
      <c r="Q14" s="620"/>
      <c r="R14" s="621"/>
      <c r="S14" s="621"/>
      <c r="T14" s="621"/>
      <c r="U14" s="621"/>
      <c r="V14" s="621"/>
      <c r="W14" s="621"/>
      <c r="X14" s="621"/>
      <c r="Y14" s="622"/>
    </row>
    <row r="15" spans="2:25" ht="17.100000000000001" thickBot="1">
      <c r="B15" s="185" t="s">
        <v>162</v>
      </c>
      <c r="C15" s="157" t="s">
        <v>169</v>
      </c>
      <c r="D15" s="163">
        <f>OP!J17</f>
        <v>2022</v>
      </c>
      <c r="E15" s="163">
        <f>D15-1</f>
        <v>2021</v>
      </c>
      <c r="F15" s="163">
        <f>E15-1</f>
        <v>2020</v>
      </c>
      <c r="G15" s="163">
        <f>F15-1</f>
        <v>2019</v>
      </c>
      <c r="H15" s="163">
        <f>G15-1</f>
        <v>2018</v>
      </c>
      <c r="I15" s="163">
        <f>H15-1</f>
        <v>2017</v>
      </c>
      <c r="J15" s="168"/>
      <c r="K15" s="171">
        <f>OP!J17</f>
        <v>2022</v>
      </c>
      <c r="L15" s="171">
        <f t="shared" ref="L15:N15" si="8">K15-1</f>
        <v>2021</v>
      </c>
      <c r="M15" s="171">
        <f t="shared" si="8"/>
        <v>2020</v>
      </c>
      <c r="N15" s="171">
        <f t="shared" si="8"/>
        <v>2019</v>
      </c>
      <c r="O15" s="175">
        <f t="shared" ref="O15" si="9">N15-1</f>
        <v>2018</v>
      </c>
      <c r="P15" s="188">
        <f t="shared" ref="P15" si="10">O15-1</f>
        <v>2017</v>
      </c>
      <c r="Q15" s="620"/>
      <c r="R15" s="621"/>
      <c r="S15" s="621"/>
      <c r="T15" s="621"/>
      <c r="U15" s="621"/>
      <c r="V15" s="621"/>
      <c r="W15" s="621"/>
      <c r="X15" s="621"/>
      <c r="Y15" s="622"/>
    </row>
    <row r="16" spans="2:25" ht="15.95">
      <c r="B16" s="172">
        <f>IFERROR(D16/D20,"")</f>
        <v>0.44009787621168867</v>
      </c>
      <c r="C16" s="176" t="s">
        <v>170</v>
      </c>
      <c r="D16" s="176">
        <v>14029</v>
      </c>
      <c r="E16" s="176">
        <v>6953</v>
      </c>
      <c r="F16" s="176">
        <v>6089</v>
      </c>
      <c r="G16" s="176">
        <v>10745</v>
      </c>
      <c r="H16" s="176">
        <v>9437</v>
      </c>
      <c r="I16" s="176"/>
      <c r="J16" s="169"/>
      <c r="K16" s="349">
        <f>(D16-E16)/E16</f>
        <v>1.0176902056666188</v>
      </c>
      <c r="L16" s="349">
        <f t="shared" ref="L16:N20" si="11">(E16-F16)/F16</f>
        <v>0.14189522089012974</v>
      </c>
      <c r="M16" s="349">
        <f>(F16-G16)/G16</f>
        <v>-0.43331782224290366</v>
      </c>
      <c r="N16" s="349">
        <f>(G16-H16)/H16</f>
        <v>0.1386033697149518</v>
      </c>
      <c r="O16" s="618" t="s">
        <v>62</v>
      </c>
      <c r="P16" s="618" t="s">
        <v>62</v>
      </c>
      <c r="Q16" s="620"/>
      <c r="R16" s="621"/>
      <c r="S16" s="621"/>
      <c r="T16" s="621"/>
      <c r="U16" s="621"/>
      <c r="V16" s="621"/>
      <c r="W16" s="621"/>
      <c r="X16" s="621"/>
      <c r="Y16" s="622"/>
    </row>
    <row r="17" spans="2:25" ht="15.95">
      <c r="B17" s="172">
        <f>IFERROR(D17/D20,"")</f>
        <v>0.34197069987765472</v>
      </c>
      <c r="C17" s="176" t="s">
        <v>171</v>
      </c>
      <c r="D17" s="176">
        <v>10901</v>
      </c>
      <c r="E17" s="176">
        <v>8362</v>
      </c>
      <c r="F17" s="176">
        <v>3904</v>
      </c>
      <c r="G17" s="767">
        <v>2510</v>
      </c>
      <c r="H17" s="176">
        <v>1460</v>
      </c>
      <c r="I17" s="176"/>
      <c r="J17" s="169"/>
      <c r="K17" s="350">
        <f t="shared" ref="K17:K19" si="12">(D17-E17)/E17</f>
        <v>0.3036354939009806</v>
      </c>
      <c r="L17" s="350">
        <f t="shared" si="11"/>
        <v>1.141905737704918</v>
      </c>
      <c r="M17" s="350">
        <f>(F17-G16)/G16</f>
        <v>-0.63666821777570959</v>
      </c>
      <c r="N17" s="350">
        <f>(G16-H17)/H17</f>
        <v>6.3595890410958908</v>
      </c>
      <c r="O17" s="618" t="s">
        <v>62</v>
      </c>
      <c r="P17" s="618" t="s">
        <v>62</v>
      </c>
      <c r="Q17" s="620"/>
      <c r="R17" s="621"/>
      <c r="S17" s="621"/>
      <c r="T17" s="621"/>
      <c r="U17" s="621"/>
      <c r="V17" s="621"/>
      <c r="W17" s="621"/>
      <c r="X17" s="621"/>
      <c r="Y17" s="622"/>
    </row>
    <row r="18" spans="2:25" ht="15.95">
      <c r="B18" s="172">
        <f>IFERROR(D18/D20,"")</f>
        <v>0.21793142391065659</v>
      </c>
      <c r="C18" s="176" t="s">
        <v>172</v>
      </c>
      <c r="D18" s="176">
        <v>6947</v>
      </c>
      <c r="E18" s="176">
        <v>2132</v>
      </c>
      <c r="F18" s="176">
        <v>1011</v>
      </c>
      <c r="G18" s="767">
        <v>731</v>
      </c>
      <c r="H18" s="176">
        <v>356</v>
      </c>
      <c r="I18" s="176"/>
      <c r="J18" s="169"/>
      <c r="K18" s="350">
        <f t="shared" si="12"/>
        <v>2.2584427767354596</v>
      </c>
      <c r="L18" s="350">
        <f t="shared" si="11"/>
        <v>1.108803165182987</v>
      </c>
      <c r="M18" s="350">
        <f t="shared" si="11"/>
        <v>0.38303693570451436</v>
      </c>
      <c r="N18" s="350">
        <f t="shared" si="11"/>
        <v>1.053370786516854</v>
      </c>
      <c r="O18" s="618" t="s">
        <v>62</v>
      </c>
      <c r="P18" s="618" t="s">
        <v>62</v>
      </c>
      <c r="Q18" s="620"/>
      <c r="R18" s="621"/>
      <c r="S18" s="621"/>
      <c r="T18" s="621"/>
      <c r="U18" s="621"/>
      <c r="V18" s="621"/>
      <c r="W18" s="621"/>
      <c r="X18" s="621"/>
      <c r="Y18" s="622"/>
    </row>
    <row r="19" spans="2:25" ht="17.100000000000001" thickBot="1">
      <c r="B19" s="172">
        <f>IFERROR(D19/D20,"")</f>
        <v>0</v>
      </c>
      <c r="C19" s="176" t="s">
        <v>173</v>
      </c>
      <c r="D19" s="176">
        <v>0</v>
      </c>
      <c r="E19" s="176">
        <v>8</v>
      </c>
      <c r="F19" s="176">
        <v>135</v>
      </c>
      <c r="G19" s="767">
        <v>119</v>
      </c>
      <c r="H19" s="176">
        <v>17</v>
      </c>
      <c r="I19" s="176"/>
      <c r="J19" s="169"/>
      <c r="K19" s="350">
        <f t="shared" si="12"/>
        <v>-1</v>
      </c>
      <c r="L19" s="350">
        <f t="shared" si="11"/>
        <v>-0.94074074074074077</v>
      </c>
      <c r="M19" s="350">
        <f t="shared" si="11"/>
        <v>0.13445378151260504</v>
      </c>
      <c r="N19" s="350">
        <f t="shared" si="11"/>
        <v>6</v>
      </c>
      <c r="O19" s="618" t="s">
        <v>62</v>
      </c>
      <c r="P19" s="618" t="s">
        <v>62</v>
      </c>
      <c r="Q19" s="620"/>
      <c r="R19" s="621"/>
      <c r="S19" s="621"/>
      <c r="T19" s="621"/>
      <c r="U19" s="621"/>
      <c r="V19" s="621"/>
      <c r="W19" s="621"/>
      <c r="X19" s="621"/>
      <c r="Y19" s="622"/>
    </row>
    <row r="20" spans="2:25" ht="17.100000000000001" thickBot="1">
      <c r="B20" s="164">
        <f>SUM(B16:B19)</f>
        <v>0.99999999999999989</v>
      </c>
      <c r="C20" s="178" t="s">
        <v>168</v>
      </c>
      <c r="D20" s="614">
        <f t="shared" ref="D20:H20" si="13">SUM(D16:D19)</f>
        <v>31877</v>
      </c>
      <c r="E20" s="614">
        <f t="shared" si="13"/>
        <v>17455</v>
      </c>
      <c r="F20" s="614">
        <f t="shared" si="13"/>
        <v>11139</v>
      </c>
      <c r="G20" s="614">
        <f t="shared" si="13"/>
        <v>14105</v>
      </c>
      <c r="H20" s="614">
        <f t="shared" si="13"/>
        <v>11270</v>
      </c>
      <c r="I20" s="614"/>
      <c r="J20" s="170"/>
      <c r="K20" s="347">
        <f>(D20-E20)/E20</f>
        <v>0.82623890002864508</v>
      </c>
      <c r="L20" s="348">
        <f t="shared" si="11"/>
        <v>0.56701678786246523</v>
      </c>
      <c r="M20" s="348">
        <f t="shared" ref="M20" si="14">(F20-G20)/G20</f>
        <v>-0.21028004253810706</v>
      </c>
      <c r="N20" s="348">
        <f>(G20-H20)/H20</f>
        <v>0.25155279503105588</v>
      </c>
      <c r="O20" s="348" t="e">
        <f>(H20-I20)/I20</f>
        <v>#DIV/0!</v>
      </c>
      <c r="P20" s="348" t="e">
        <f t="shared" ref="P20" si="15">(I20-J20)/J20</f>
        <v>#DIV/0!</v>
      </c>
      <c r="Q20" s="623"/>
      <c r="R20" s="624"/>
      <c r="S20" s="624"/>
      <c r="T20" s="624"/>
      <c r="U20" s="624"/>
      <c r="V20" s="624"/>
      <c r="W20" s="624"/>
      <c r="X20" s="624"/>
      <c r="Y20" s="625"/>
    </row>
    <row r="21" spans="2:25" ht="14.1" thickBot="1">
      <c r="C21" s="14"/>
      <c r="D21" s="15"/>
      <c r="E21" s="16"/>
      <c r="F21" s="15"/>
      <c r="G21" s="16"/>
      <c r="H21" s="15"/>
      <c r="I21" s="16"/>
      <c r="J21" s="43"/>
      <c r="Q21" s="158"/>
      <c r="Y21" s="619"/>
    </row>
    <row r="22" spans="2:25" ht="21" thickBot="1">
      <c r="B22" s="992" t="s">
        <v>73</v>
      </c>
      <c r="C22" s="1049"/>
      <c r="D22" s="992" t="s">
        <v>174</v>
      </c>
      <c r="E22" s="993"/>
      <c r="F22" s="993"/>
      <c r="G22" s="993"/>
      <c r="H22" s="993"/>
      <c r="I22" s="1061" t="s">
        <v>175</v>
      </c>
      <c r="J22" s="1062"/>
      <c r="K22" s="1062"/>
      <c r="L22" s="1062"/>
      <c r="M22" s="1062"/>
      <c r="N22" s="1062"/>
      <c r="O22" s="1062"/>
      <c r="P22" s="1062"/>
    </row>
    <row r="23" spans="2:25" ht="65.099999999999994" customHeight="1" thickBot="1">
      <c r="B23" s="1065" t="s">
        <v>170</v>
      </c>
      <c r="C23" s="1066"/>
      <c r="D23" s="1050" t="s">
        <v>176</v>
      </c>
      <c r="E23" s="1051"/>
      <c r="F23" s="1051"/>
      <c r="G23" s="1051"/>
      <c r="H23" s="1051"/>
      <c r="I23" s="158"/>
    </row>
    <row r="24" spans="2:25" ht="65.099999999999994" customHeight="1" thickBot="1">
      <c r="B24" s="1065" t="s">
        <v>171</v>
      </c>
      <c r="C24" s="1066"/>
      <c r="D24" s="1050" t="s">
        <v>177</v>
      </c>
      <c r="E24" s="1051"/>
      <c r="F24" s="1051"/>
      <c r="G24" s="1051"/>
      <c r="H24" s="1051"/>
      <c r="I24" s="158"/>
    </row>
    <row r="25" spans="2:25" ht="65.099999999999994" customHeight="1" thickBot="1">
      <c r="B25" s="1069" t="s">
        <v>172</v>
      </c>
      <c r="C25" s="1070"/>
      <c r="D25" s="1052" t="s">
        <v>178</v>
      </c>
      <c r="E25" s="1053"/>
      <c r="F25" s="1053"/>
      <c r="G25" s="1053"/>
      <c r="H25" s="1053"/>
      <c r="I25" s="158"/>
    </row>
    <row r="26" spans="2:25" ht="65.099999999999994" customHeight="1" thickBot="1">
      <c r="B26" s="1067" t="s">
        <v>179</v>
      </c>
      <c r="C26" s="1068"/>
      <c r="D26" s="1054" t="s">
        <v>180</v>
      </c>
      <c r="E26" s="1055"/>
      <c r="F26" s="1055"/>
      <c r="G26" s="1055"/>
      <c r="H26" s="1056"/>
    </row>
    <row r="27" spans="2:25" ht="41.25" customHeight="1">
      <c r="B27" s="991"/>
      <c r="C27" s="991"/>
      <c r="D27" s="1057"/>
      <c r="E27" s="1057"/>
      <c r="F27" s="1057"/>
      <c r="G27" s="1057"/>
      <c r="H27" s="1058"/>
    </row>
    <row r="28" spans="2:25" ht="28.35" hidden="1" customHeight="1" thickBot="1">
      <c r="B28" s="1047"/>
      <c r="C28" s="1048"/>
      <c r="D28" s="1059"/>
      <c r="E28" s="1060"/>
      <c r="F28" s="1060"/>
      <c r="G28" s="1060"/>
      <c r="H28" s="1060"/>
      <c r="I28" s="158"/>
    </row>
    <row r="29" spans="2:25" ht="56.25" customHeight="1" thickBot="1">
      <c r="I29" s="159"/>
      <c r="J29" s="183"/>
      <c r="K29" s="183"/>
      <c r="L29" s="183"/>
      <c r="M29" s="183"/>
      <c r="N29" s="183"/>
      <c r="O29" s="183"/>
      <c r="P29" s="183"/>
    </row>
    <row r="30" spans="2:25" ht="21" thickBot="1">
      <c r="B30" s="992" t="s">
        <v>181</v>
      </c>
      <c r="C30" s="993"/>
      <c r="D30" s="993"/>
      <c r="E30" s="993"/>
      <c r="F30" s="993"/>
      <c r="G30" s="993"/>
      <c r="H30" s="993"/>
      <c r="I30" s="990" t="s">
        <v>182</v>
      </c>
      <c r="J30" s="990"/>
      <c r="K30" s="990"/>
      <c r="L30" s="990"/>
      <c r="M30" s="990"/>
      <c r="N30" s="990"/>
      <c r="O30" s="990"/>
      <c r="P30" s="990"/>
    </row>
    <row r="31" spans="2:25" ht="14.1" thickBot="1">
      <c r="B31" s="1074" t="s">
        <v>183</v>
      </c>
      <c r="C31" s="1077"/>
      <c r="D31" s="1074" t="s">
        <v>184</v>
      </c>
      <c r="E31" s="1075"/>
      <c r="F31" s="1075"/>
      <c r="G31" s="1075"/>
      <c r="H31" s="1075"/>
      <c r="I31" s="179"/>
      <c r="J31" s="180"/>
      <c r="K31" s="180"/>
      <c r="L31" s="180"/>
      <c r="M31" s="180"/>
      <c r="N31" s="180"/>
      <c r="O31" s="180"/>
      <c r="P31" s="181"/>
    </row>
    <row r="32" spans="2:25" ht="99.95" customHeight="1" thickBot="1">
      <c r="B32" s="1065" t="s">
        <v>185</v>
      </c>
      <c r="C32" s="1066"/>
      <c r="D32" s="1072" t="s">
        <v>186</v>
      </c>
      <c r="E32" s="1073"/>
      <c r="F32" s="1073"/>
      <c r="G32" s="1073"/>
      <c r="H32" s="1073"/>
      <c r="I32" s="158"/>
      <c r="P32" s="182"/>
    </row>
    <row r="33" spans="1:20" ht="99.95" customHeight="1" thickBot="1">
      <c r="B33" s="1065" t="s">
        <v>171</v>
      </c>
      <c r="C33" s="1066"/>
      <c r="D33" s="997" t="s">
        <v>187</v>
      </c>
      <c r="E33" s="998"/>
      <c r="F33" s="998"/>
      <c r="G33" s="998"/>
      <c r="H33" s="999"/>
      <c r="I33" s="158"/>
      <c r="P33" s="182"/>
    </row>
    <row r="34" spans="1:20">
      <c r="B34" s="1012" t="s">
        <v>188</v>
      </c>
      <c r="C34" s="1013"/>
      <c r="D34" s="1013"/>
      <c r="E34" s="1013"/>
      <c r="F34" s="1013"/>
      <c r="G34" s="1013"/>
      <c r="H34" s="1014"/>
      <c r="I34" s="158"/>
      <c r="P34" s="182"/>
    </row>
    <row r="35" spans="1:20" ht="13.5" customHeight="1">
      <c r="B35" s="1015" t="s">
        <v>189</v>
      </c>
      <c r="C35" s="1076"/>
      <c r="D35" s="1071" t="s">
        <v>190</v>
      </c>
      <c r="E35" s="1071"/>
      <c r="F35" s="1015"/>
      <c r="G35" s="1015" t="s">
        <v>191</v>
      </c>
      <c r="H35" s="1016"/>
      <c r="P35" s="182"/>
      <c r="S35" s="11"/>
      <c r="T35" s="11"/>
    </row>
    <row r="36" spans="1:20" ht="12.95" customHeight="1">
      <c r="B36" s="1003" t="s">
        <v>192</v>
      </c>
      <c r="C36" s="1004"/>
      <c r="D36" s="1036">
        <v>0.16600000000000001</v>
      </c>
      <c r="E36" s="1037"/>
      <c r="F36" s="1038"/>
      <c r="G36" s="1017" t="s">
        <v>193</v>
      </c>
      <c r="H36" s="1018"/>
      <c r="I36" s="158"/>
      <c r="P36" s="182"/>
      <c r="S36" s="11"/>
      <c r="T36" s="11"/>
    </row>
    <row r="37" spans="1:20">
      <c r="B37" s="1032" t="s">
        <v>194</v>
      </c>
      <c r="C37" s="1033"/>
      <c r="D37" s="1000">
        <v>0.10299999999999999</v>
      </c>
      <c r="E37" s="1001"/>
      <c r="F37" s="1002"/>
      <c r="G37" s="1019" t="s">
        <v>193</v>
      </c>
      <c r="H37" s="1020"/>
      <c r="I37" s="158"/>
      <c r="P37" s="182"/>
      <c r="S37" s="11"/>
      <c r="T37" s="11"/>
    </row>
    <row r="38" spans="1:20">
      <c r="B38" s="1032" t="s">
        <v>195</v>
      </c>
      <c r="C38" s="1033"/>
      <c r="D38" s="1000">
        <v>0.19</v>
      </c>
      <c r="E38" s="1001"/>
      <c r="F38" s="1002"/>
      <c r="G38" s="1019" t="s">
        <v>196</v>
      </c>
      <c r="H38" s="1020"/>
      <c r="I38" s="158"/>
      <c r="P38" s="182"/>
      <c r="S38" s="11"/>
      <c r="T38" s="11"/>
    </row>
    <row r="39" spans="1:20">
      <c r="B39" s="1034" t="s">
        <v>197</v>
      </c>
      <c r="C39" s="1035"/>
      <c r="D39" s="1029">
        <v>0.17199999999999999</v>
      </c>
      <c r="E39" s="1030"/>
      <c r="F39" s="1031"/>
      <c r="G39" s="1021" t="s">
        <v>198</v>
      </c>
      <c r="H39" s="1022"/>
      <c r="I39" s="158"/>
      <c r="P39" s="182"/>
      <c r="S39" s="11"/>
      <c r="T39" s="11"/>
    </row>
    <row r="40" spans="1:20">
      <c r="B40" s="1005" t="s">
        <v>199</v>
      </c>
      <c r="C40" s="1006"/>
      <c r="D40" s="1007">
        <f>AVERAGE(D36:F39)</f>
        <v>0.15775</v>
      </c>
      <c r="E40" s="1008"/>
      <c r="F40" s="1008"/>
      <c r="G40" s="1009" t="s">
        <v>200</v>
      </c>
      <c r="H40" s="1010"/>
      <c r="P40" s="182"/>
      <c r="S40" s="11"/>
      <c r="T40" s="11"/>
    </row>
    <row r="41" spans="1:20" ht="20.100000000000001">
      <c r="B41" s="1023" t="s">
        <v>201</v>
      </c>
      <c r="C41" s="1024"/>
      <c r="D41" s="1024"/>
      <c r="E41" s="1024"/>
      <c r="F41" s="1024"/>
      <c r="G41" s="1024"/>
      <c r="H41" s="1025"/>
      <c r="I41" s="158"/>
      <c r="P41" s="182"/>
      <c r="S41" s="11"/>
      <c r="T41" s="11"/>
    </row>
    <row r="42" spans="1:20" ht="20.100000000000001" customHeight="1">
      <c r="B42" s="1026" t="s">
        <v>202</v>
      </c>
      <c r="C42" s="1027"/>
      <c r="D42" s="1027"/>
      <c r="E42" s="1027"/>
      <c r="F42" s="1027"/>
      <c r="G42" s="1027"/>
      <c r="H42" s="1028"/>
      <c r="P42" s="182"/>
      <c r="S42" s="11"/>
      <c r="T42" s="11"/>
    </row>
    <row r="43" spans="1:20" ht="65.099999999999994" customHeight="1">
      <c r="B43" s="994" t="s">
        <v>203</v>
      </c>
      <c r="C43" s="995"/>
      <c r="D43" s="995"/>
      <c r="E43" s="995"/>
      <c r="F43" s="995"/>
      <c r="G43" s="995"/>
      <c r="H43" s="996"/>
      <c r="P43" s="182"/>
      <c r="S43" s="11"/>
      <c r="T43" s="11"/>
    </row>
    <row r="44" spans="1:20" ht="65.099999999999994" customHeight="1">
      <c r="B44" s="994" t="s">
        <v>204</v>
      </c>
      <c r="C44" s="995"/>
      <c r="D44" s="995"/>
      <c r="E44" s="995"/>
      <c r="F44" s="995"/>
      <c r="G44" s="995"/>
      <c r="H44" s="996"/>
      <c r="P44" s="182"/>
      <c r="S44" s="11"/>
      <c r="T44" s="11"/>
    </row>
    <row r="45" spans="1:20" ht="65.099999999999994" customHeight="1">
      <c r="B45" s="994" t="s">
        <v>205</v>
      </c>
      <c r="C45" s="995"/>
      <c r="D45" s="995"/>
      <c r="E45" s="995"/>
      <c r="F45" s="995"/>
      <c r="G45" s="995"/>
      <c r="H45" s="996"/>
      <c r="P45" s="182"/>
      <c r="S45" s="11"/>
      <c r="T45" s="11"/>
    </row>
    <row r="46" spans="1:20" ht="65.099999999999994" customHeight="1" thickBot="1">
      <c r="A46" s="52"/>
      <c r="B46" s="983" t="s">
        <v>206</v>
      </c>
      <c r="C46" s="983"/>
      <c r="D46" s="983"/>
      <c r="E46" s="983"/>
      <c r="F46" s="983"/>
      <c r="G46" s="983"/>
      <c r="H46" s="1011"/>
      <c r="I46" s="615"/>
      <c r="J46" s="616"/>
      <c r="K46" s="616"/>
      <c r="L46" s="616"/>
      <c r="M46" s="616"/>
      <c r="N46" s="616"/>
      <c r="O46" s="616"/>
      <c r="P46" s="617"/>
      <c r="S46" s="11"/>
      <c r="T46" s="11"/>
    </row>
    <row r="47" spans="1:20" ht="20.100000000000001" customHeight="1">
      <c r="A47" s="52"/>
      <c r="B47" s="983" t="s">
        <v>207</v>
      </c>
      <c r="C47" s="983"/>
      <c r="D47" s="983"/>
      <c r="E47" s="983"/>
      <c r="F47" s="983"/>
      <c r="G47" s="983"/>
      <c r="H47" s="983"/>
      <c r="I47" s="626"/>
      <c r="S47" s="11"/>
      <c r="T47" s="11"/>
    </row>
    <row r="48" spans="1:20" ht="83.25" customHeight="1">
      <c r="A48" s="52"/>
      <c r="B48" s="984" t="s">
        <v>208</v>
      </c>
      <c r="C48" s="985"/>
      <c r="D48" s="985"/>
      <c r="E48" s="985"/>
      <c r="F48" s="985"/>
      <c r="G48" s="985"/>
      <c r="H48" s="986"/>
      <c r="Q48" s="11"/>
      <c r="R48" s="11"/>
    </row>
    <row r="49" spans="1:21" ht="65.099999999999994" customHeight="1">
      <c r="A49" s="52"/>
      <c r="B49" s="985" t="s">
        <v>209</v>
      </c>
      <c r="C49" s="985"/>
      <c r="D49" s="985"/>
      <c r="E49" s="985"/>
      <c r="F49" s="985"/>
      <c r="G49" s="985"/>
      <c r="H49" s="986"/>
    </row>
    <row r="50" spans="1:21" ht="65.099999999999994" customHeight="1">
      <c r="A50" s="52"/>
      <c r="B50" s="985" t="s">
        <v>210</v>
      </c>
      <c r="C50" s="985"/>
      <c r="D50" s="985"/>
      <c r="E50" s="985"/>
      <c r="F50" s="985"/>
      <c r="G50" s="985"/>
      <c r="H50" s="986"/>
    </row>
    <row r="51" spans="1:21" ht="65.099999999999994" customHeight="1">
      <c r="A51" s="52"/>
      <c r="B51" s="987" t="s">
        <v>211</v>
      </c>
      <c r="C51" s="988"/>
      <c r="D51" s="988"/>
      <c r="E51" s="988"/>
      <c r="F51" s="988"/>
      <c r="G51" s="988"/>
      <c r="H51" s="989"/>
    </row>
    <row r="52" spans="1:21">
      <c r="C52" s="11"/>
      <c r="D52" s="11"/>
    </row>
    <row r="53" spans="1:21">
      <c r="C53" s="11"/>
      <c r="D53" s="11"/>
    </row>
    <row r="54" spans="1:21">
      <c r="C54" s="11"/>
      <c r="D54" s="11"/>
    </row>
    <row r="55" spans="1:21">
      <c r="C55" s="11"/>
      <c r="D55" s="11"/>
    </row>
    <row r="56" spans="1:21">
      <c r="C56" s="11"/>
      <c r="D56" s="11"/>
    </row>
    <row r="57" spans="1:21">
      <c r="C57" s="11"/>
      <c r="D57" s="11"/>
    </row>
    <row r="58" spans="1:21">
      <c r="D58" s="11"/>
      <c r="E58" s="11"/>
    </row>
    <row r="59" spans="1:21">
      <c r="D59"/>
    </row>
    <row r="60" spans="1:21">
      <c r="D60"/>
    </row>
    <row r="61" spans="1:21">
      <c r="L61" s="11"/>
      <c r="M61" s="11"/>
    </row>
    <row r="62" spans="1:21">
      <c r="T62" s="11"/>
      <c r="U62" s="11"/>
    </row>
    <row r="63" spans="1:21">
      <c r="T63" s="11"/>
      <c r="U63" s="11"/>
    </row>
    <row r="64" spans="1:21">
      <c r="O64" s="351"/>
      <c r="T64" s="11"/>
      <c r="U64" s="11"/>
    </row>
    <row r="65" spans="15:21">
      <c r="O65" s="351"/>
      <c r="T65" s="11"/>
      <c r="U65" s="11"/>
    </row>
    <row r="66" spans="15:21">
      <c r="O66" s="351"/>
      <c r="T66" s="11"/>
      <c r="U66" s="11"/>
    </row>
    <row r="67" spans="15:21">
      <c r="T67" s="11"/>
      <c r="U67" s="11"/>
    </row>
    <row r="68" spans="15:21">
      <c r="T68" s="11"/>
      <c r="U68" s="11"/>
    </row>
    <row r="69" spans="15:21">
      <c r="T69" s="11"/>
      <c r="U69" s="11"/>
    </row>
    <row r="70" spans="15:21">
      <c r="T70" s="11"/>
      <c r="U70" s="11"/>
    </row>
    <row r="71" spans="15:21">
      <c r="T71" s="11"/>
      <c r="U71" s="11"/>
    </row>
    <row r="72" spans="15:21">
      <c r="T72" s="11"/>
      <c r="U72" s="11"/>
    </row>
    <row r="73" spans="15:21">
      <c r="T73" s="11"/>
      <c r="U73" s="11"/>
    </row>
  </sheetData>
  <mergeCells count="60">
    <mergeCell ref="B23:C23"/>
    <mergeCell ref="B26:C26"/>
    <mergeCell ref="B22:C22"/>
    <mergeCell ref="B25:C25"/>
    <mergeCell ref="D35:F35"/>
    <mergeCell ref="B24:C24"/>
    <mergeCell ref="D32:H32"/>
    <mergeCell ref="B33:C33"/>
    <mergeCell ref="D31:H31"/>
    <mergeCell ref="B35:C35"/>
    <mergeCell ref="B31:C31"/>
    <mergeCell ref="B32:C32"/>
    <mergeCell ref="Q2:Y2"/>
    <mergeCell ref="K3:P3"/>
    <mergeCell ref="B2:P2"/>
    <mergeCell ref="K14:P14"/>
    <mergeCell ref="B28:C28"/>
    <mergeCell ref="B13:P13"/>
    <mergeCell ref="D14:I14"/>
    <mergeCell ref="D22:H22"/>
    <mergeCell ref="D23:H23"/>
    <mergeCell ref="D24:H24"/>
    <mergeCell ref="D25:H25"/>
    <mergeCell ref="D26:H26"/>
    <mergeCell ref="D27:H27"/>
    <mergeCell ref="D28:H28"/>
    <mergeCell ref="I22:P22"/>
    <mergeCell ref="D3:I3"/>
    <mergeCell ref="B46:H46"/>
    <mergeCell ref="B34:H34"/>
    <mergeCell ref="G35:H35"/>
    <mergeCell ref="G36:H36"/>
    <mergeCell ref="G37:H37"/>
    <mergeCell ref="G38:H38"/>
    <mergeCell ref="G39:H39"/>
    <mergeCell ref="B41:H41"/>
    <mergeCell ref="B42:H42"/>
    <mergeCell ref="B43:H43"/>
    <mergeCell ref="D39:F39"/>
    <mergeCell ref="B37:C37"/>
    <mergeCell ref="B38:C38"/>
    <mergeCell ref="B39:C39"/>
    <mergeCell ref="D36:F36"/>
    <mergeCell ref="I30:P30"/>
    <mergeCell ref="B27:C27"/>
    <mergeCell ref="B30:H30"/>
    <mergeCell ref="B44:H44"/>
    <mergeCell ref="B45:H45"/>
    <mergeCell ref="D33:H33"/>
    <mergeCell ref="D37:F37"/>
    <mergeCell ref="D38:F38"/>
    <mergeCell ref="B36:C36"/>
    <mergeCell ref="B40:C40"/>
    <mergeCell ref="D40:F40"/>
    <mergeCell ref="G40:H40"/>
    <mergeCell ref="B47:H47"/>
    <mergeCell ref="B48:H48"/>
    <mergeCell ref="B49:H49"/>
    <mergeCell ref="B50:H50"/>
    <mergeCell ref="B51:H51"/>
  </mergeCells>
  <phoneticPr fontId="0" type="noConversion"/>
  <conditionalFormatting sqref="B5:B10">
    <cfRule type="dataBar" priority="97">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6:B19">
    <cfRule type="dataBar" priority="119">
      <dataBar>
        <cfvo type="min"/>
        <cfvo type="max"/>
        <color rgb="FF638EC6"/>
      </dataBar>
      <extLst>
        <ext xmlns:x14="http://schemas.microsoft.com/office/spreadsheetml/2009/9/main" uri="{B025F937-C7B1-47D3-B67F-A62EFF666E3E}">
          <x14:id>{070902CC-8EB6-43DB-B9AD-5811F17D394B}</x14:id>
        </ext>
      </extLst>
    </cfRule>
  </conditionalFormatting>
  <conditionalFormatting sqref="C5:C8">
    <cfRule type="dataBar" priority="36">
      <dataBar>
        <cfvo type="min"/>
        <cfvo type="max"/>
        <color rgb="FF63C384"/>
      </dataBar>
      <extLst>
        <ext xmlns:x14="http://schemas.microsoft.com/office/spreadsheetml/2009/9/main" uri="{B025F937-C7B1-47D3-B67F-A62EFF666E3E}">
          <x14:id>{9CD5B9BF-D986-694B-988D-F32FA0E82564}</x14:id>
        </ext>
      </extLst>
    </cfRule>
    <cfRule type="dataBar" priority="37">
      <dataBar>
        <cfvo type="min"/>
        <cfvo type="max"/>
        <color rgb="FF63C384"/>
      </dataBar>
      <extLst>
        <ext xmlns:x14="http://schemas.microsoft.com/office/spreadsheetml/2009/9/main" uri="{B025F937-C7B1-47D3-B67F-A62EFF666E3E}">
          <x14:id>{131FE241-DD12-0E4B-8474-E184A8656DA2}</x14:id>
        </ext>
      </extLst>
    </cfRule>
  </conditionalFormatting>
  <conditionalFormatting sqref="C16:C19">
    <cfRule type="dataBar" priority="31">
      <dataBar>
        <cfvo type="min"/>
        <cfvo type="max"/>
        <color rgb="FF63C384"/>
      </dataBar>
      <extLst>
        <ext xmlns:x14="http://schemas.microsoft.com/office/spreadsheetml/2009/9/main" uri="{B025F937-C7B1-47D3-B67F-A62EFF666E3E}">
          <x14:id>{17349CBB-7490-874B-9A76-8322E01C4894}</x14:id>
        </ext>
      </extLst>
    </cfRule>
    <cfRule type="dataBar" priority="32">
      <dataBar>
        <cfvo type="min"/>
        <cfvo type="max"/>
        <color rgb="FF63C384"/>
      </dataBar>
      <extLst>
        <ext xmlns:x14="http://schemas.microsoft.com/office/spreadsheetml/2009/9/main" uri="{B025F937-C7B1-47D3-B67F-A62EFF666E3E}">
          <x14:id>{AFA7E847-CA83-4C4C-9C2D-500B9FAEB87B}</x14:id>
        </ext>
      </extLst>
    </cfRule>
  </conditionalFormatting>
  <conditionalFormatting sqref="D16:F19">
    <cfRule type="dataBar" priority="34">
      <dataBar>
        <cfvo type="min"/>
        <cfvo type="max"/>
        <color rgb="FF63C384"/>
      </dataBar>
      <extLst>
        <ext xmlns:x14="http://schemas.microsoft.com/office/spreadsheetml/2009/9/main" uri="{B025F937-C7B1-47D3-B67F-A62EFF666E3E}">
          <x14:id>{B115276B-D165-2041-BDD4-D20B037C7656}</x14:id>
        </ext>
      </extLst>
    </cfRule>
  </conditionalFormatting>
  <conditionalFormatting sqref="D9:G11 D5:F8 H5:I8">
    <cfRule type="dataBar" priority="101">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1:G11 D5:F10">
    <cfRule type="dataBar" priority="35">
      <dataBar>
        <cfvo type="min"/>
        <cfvo type="max"/>
        <color rgb="FF63C384"/>
      </dataBar>
      <extLst>
        <ext xmlns:x14="http://schemas.microsoft.com/office/spreadsheetml/2009/9/main" uri="{B025F937-C7B1-47D3-B67F-A62EFF666E3E}">
          <x14:id>{865845E8-10F8-564A-8597-A547EBDDBEDF}</x14:id>
        </ext>
      </extLst>
    </cfRule>
  </conditionalFormatting>
  <conditionalFormatting sqref="D20:I20">
    <cfRule type="dataBar" priority="30">
      <dataBar>
        <cfvo type="min"/>
        <cfvo type="max"/>
        <color rgb="FF63C384"/>
      </dataBar>
      <extLst>
        <ext xmlns:x14="http://schemas.microsoft.com/office/spreadsheetml/2009/9/main" uri="{B025F937-C7B1-47D3-B67F-A62EFF666E3E}">
          <x14:id>{B15E2310-1256-AC4C-95F5-C9CAEC4D80E5}</x14:id>
        </ext>
      </extLst>
    </cfRule>
    <cfRule type="dataBar" priority="29">
      <dataBar>
        <cfvo type="min"/>
        <cfvo type="max"/>
        <color rgb="FF63C384"/>
      </dataBar>
      <extLst>
        <ext xmlns:x14="http://schemas.microsoft.com/office/spreadsheetml/2009/9/main" uri="{B025F937-C7B1-47D3-B67F-A62EFF666E3E}">
          <x14:id>{4B49CBC0-8149-D94D-94CB-CCCC7008C2B3}</x14:id>
        </ext>
      </extLst>
    </cfRule>
  </conditionalFormatting>
  <conditionalFormatting sqref="G5:G8">
    <cfRule type="dataBar" priority="2">
      <dataBar>
        <cfvo type="min"/>
        <cfvo type="max"/>
        <color rgb="FF63C384"/>
      </dataBar>
      <extLst>
        <ext xmlns:x14="http://schemas.microsoft.com/office/spreadsheetml/2009/9/main" uri="{B025F937-C7B1-47D3-B67F-A62EFF666E3E}">
          <x14:id>{A69CD3DE-EEA1-8A42-993C-B0D5155E7983}</x14:id>
        </ext>
      </extLst>
    </cfRule>
    <cfRule type="dataBar" priority="1">
      <dataBar>
        <cfvo type="min"/>
        <cfvo type="max"/>
        <color rgb="FF63C384"/>
      </dataBar>
      <extLst>
        <ext xmlns:x14="http://schemas.microsoft.com/office/spreadsheetml/2009/9/main" uri="{B025F937-C7B1-47D3-B67F-A62EFF666E3E}">
          <x14:id>{95E79674-FE1A-C84E-9A3A-3C4BF1D7E1F5}</x14:id>
        </ext>
      </extLst>
    </cfRule>
  </conditionalFormatting>
  <conditionalFormatting sqref="G16:G19">
    <cfRule type="dataBar" priority="6">
      <dataBar>
        <cfvo type="min"/>
        <cfvo type="max"/>
        <color rgb="FF63C384"/>
      </dataBar>
      <extLst>
        <ext xmlns:x14="http://schemas.microsoft.com/office/spreadsheetml/2009/9/main" uri="{B025F937-C7B1-47D3-B67F-A62EFF666E3E}">
          <x14:id>{5F1BB28D-2AD9-244B-BBF3-35AD5C6DFD73}</x14:id>
        </ext>
      </extLst>
    </cfRule>
    <cfRule type="dataBar" priority="5">
      <dataBar>
        <cfvo type="min"/>
        <cfvo type="max"/>
        <color rgb="FF63C384"/>
      </dataBar>
      <extLst>
        <ext xmlns:x14="http://schemas.microsoft.com/office/spreadsheetml/2009/9/main" uri="{B025F937-C7B1-47D3-B67F-A62EFF666E3E}">
          <x14:id>{391C07D0-BEAC-B043-934E-E95323F98DCA}</x14:id>
        </ext>
      </extLst>
    </cfRule>
  </conditionalFormatting>
  <conditionalFormatting sqref="H5:H8 G9:G10">
    <cfRule type="dataBar" priority="25">
      <dataBar>
        <cfvo type="min"/>
        <cfvo type="max"/>
        <color rgb="FF63C384"/>
      </dataBar>
      <extLst>
        <ext xmlns:x14="http://schemas.microsoft.com/office/spreadsheetml/2009/9/main" uri="{B025F937-C7B1-47D3-B67F-A62EFF666E3E}">
          <x14:id>{43AE708E-644F-6E4A-BF88-85F722185352}</x14:id>
        </ext>
      </extLst>
    </cfRule>
  </conditionalFormatting>
  <conditionalFormatting sqref="H9:H10">
    <cfRule type="dataBar" priority="108">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6:H19">
    <cfRule type="dataBar" priority="3">
      <dataBar>
        <cfvo type="min"/>
        <cfvo type="max"/>
        <color rgb="FF63C384"/>
      </dataBar>
      <extLst>
        <ext xmlns:x14="http://schemas.microsoft.com/office/spreadsheetml/2009/9/main" uri="{B025F937-C7B1-47D3-B67F-A62EFF666E3E}">
          <x14:id>{97A7074A-29B0-1042-AE15-5BF4DFE69086}</x14:id>
        </ext>
      </extLst>
    </cfRule>
    <cfRule type="dataBar" priority="4">
      <dataBar>
        <cfvo type="min"/>
        <cfvo type="max"/>
        <color rgb="FF63C384"/>
      </dataBar>
      <extLst>
        <ext xmlns:x14="http://schemas.microsoft.com/office/spreadsheetml/2009/9/main" uri="{B025F937-C7B1-47D3-B67F-A62EFF666E3E}">
          <x14:id>{19C079B2-A07E-B64A-B151-41AB0A271EBE}</x14:id>
        </ext>
      </extLst>
    </cfRule>
  </conditionalFormatting>
  <conditionalFormatting sqref="I5:I10">
    <cfRule type="dataBar" priority="110">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6:I19">
    <cfRule type="dataBar" priority="24">
      <dataBar>
        <cfvo type="min"/>
        <cfvo type="max"/>
        <color rgb="FF63C384"/>
      </dataBar>
      <extLst>
        <ext xmlns:x14="http://schemas.microsoft.com/office/spreadsheetml/2009/9/main" uri="{B025F937-C7B1-47D3-B67F-A62EFF666E3E}">
          <x14:id>{AAD0B526-E9FF-054B-B876-2AA5867BCB9C}</x14:id>
        </ext>
      </extLst>
    </cfRule>
    <cfRule type="dataBar" priority="23">
      <dataBar>
        <cfvo type="min"/>
        <cfvo type="max"/>
        <color rgb="FF63C384"/>
      </dataBar>
      <extLst>
        <ext xmlns:x14="http://schemas.microsoft.com/office/spreadsheetml/2009/9/main" uri="{B025F937-C7B1-47D3-B67F-A62EFF666E3E}">
          <x14:id>{5D77AC47-6D85-1C43-A4A2-69226C47712D}</x14:id>
        </ext>
      </extLst>
    </cfRule>
  </conditionalFormatting>
  <conditionalFormatting sqref="K5:K10 L5:P8">
    <cfRule type="dataBar" priority="112">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6:K19">
    <cfRule type="dataBar" priority="44">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6:N19">
    <cfRule type="dataBar" priority="130">
      <dataBar>
        <cfvo type="min"/>
        <cfvo type="max"/>
        <color rgb="FF63C384"/>
      </dataBar>
      <extLst>
        <ext xmlns:x14="http://schemas.microsoft.com/office/spreadsheetml/2009/9/main" uri="{B025F937-C7B1-47D3-B67F-A62EFF666E3E}">
          <x14:id>{EC7F1560-4E75-4756-AE37-09B82982D1AB}</x14:id>
        </ext>
      </extLst>
    </cfRule>
    <cfRule type="dataBar" priority="128">
      <dataBar>
        <cfvo type="min"/>
        <cfvo type="max"/>
        <color rgb="FF63C384"/>
      </dataBar>
      <extLst>
        <ext xmlns:x14="http://schemas.microsoft.com/office/spreadsheetml/2009/9/main" uri="{B025F937-C7B1-47D3-B67F-A62EFF666E3E}">
          <x14:id>{CBC457F7-3DB8-46A0-988B-11CCF8FF31E5}</x14:id>
        </ext>
      </extLst>
    </cfRule>
    <cfRule type="dataBar" priority="55">
      <dataBar>
        <cfvo type="min"/>
        <cfvo type="max"/>
        <color rgb="FF63C384"/>
      </dataBar>
      <extLst>
        <ext xmlns:x14="http://schemas.microsoft.com/office/spreadsheetml/2009/9/main" uri="{B025F937-C7B1-47D3-B67F-A62EFF666E3E}">
          <x14:id>{4CBCF4A4-EFBB-41F0-984E-0C4EF2D8C81C}</x14:id>
        </ext>
      </extLst>
    </cfRule>
    <cfRule type="dataBar" priority="57">
      <dataBar>
        <cfvo type="min"/>
        <cfvo type="max"/>
        <color rgb="FF63C384"/>
      </dataBar>
      <extLst>
        <ext xmlns:x14="http://schemas.microsoft.com/office/spreadsheetml/2009/9/main" uri="{B025F937-C7B1-47D3-B67F-A62EFF666E3E}">
          <x14:id>{9095667E-69EE-4811-BEDE-AFA010708C3B}</x14:id>
        </ext>
      </extLst>
    </cfRule>
    <cfRule type="dataBar" priority="62">
      <dataBar>
        <cfvo type="min"/>
        <cfvo type="max"/>
        <color rgb="FF63C384"/>
      </dataBar>
      <extLst>
        <ext xmlns:x14="http://schemas.microsoft.com/office/spreadsheetml/2009/9/main" uri="{B025F937-C7B1-47D3-B67F-A62EFF666E3E}">
          <x14:id>{00030478-9DDE-4C48-B970-8BFEEA7887D7}</x14:id>
        </ext>
      </extLst>
    </cfRule>
    <cfRule type="dataBar" priority="64">
      <dataBar>
        <cfvo type="min"/>
        <cfvo type="max"/>
        <color rgb="FF63C384"/>
      </dataBar>
      <extLst>
        <ext xmlns:x14="http://schemas.microsoft.com/office/spreadsheetml/2009/9/main" uri="{B025F937-C7B1-47D3-B67F-A62EFF666E3E}">
          <x14:id>{BE9D279A-ADD8-46F4-B26E-577DEFFA037B}</x14:id>
        </ext>
      </extLst>
    </cfRule>
    <cfRule type="dataBar" priority="129">
      <dataBar>
        <cfvo type="min"/>
        <cfvo type="max"/>
        <color rgb="FF63C384"/>
      </dataBar>
      <extLst>
        <ext xmlns:x14="http://schemas.microsoft.com/office/spreadsheetml/2009/9/main" uri="{B025F937-C7B1-47D3-B67F-A62EFF666E3E}">
          <x14:id>{589E11FE-E342-4D21-9EB3-CB0F15AE87A6}</x14:id>
        </ext>
      </extLst>
    </cfRule>
    <cfRule type="dataBar" priority="38">
      <dataBar>
        <cfvo type="min"/>
        <cfvo type="max"/>
        <color rgb="FF63C384"/>
      </dataBar>
      <extLst>
        <ext xmlns:x14="http://schemas.microsoft.com/office/spreadsheetml/2009/9/main" uri="{B025F937-C7B1-47D3-B67F-A62EFF666E3E}">
          <x14:id>{A85696C3-3FD4-4347-BBC8-6CEF041D9BC2}</x14:id>
        </ext>
      </extLst>
    </cfRule>
  </conditionalFormatting>
  <conditionalFormatting sqref="K5:P8">
    <cfRule type="dataBar" priority="114">
      <dataBar>
        <cfvo type="min"/>
        <cfvo type="max"/>
        <color rgb="FF63C384"/>
      </dataBar>
      <extLst>
        <ext xmlns:x14="http://schemas.microsoft.com/office/spreadsheetml/2009/9/main" uri="{B025F937-C7B1-47D3-B67F-A62EFF666E3E}">
          <x14:id>{1642E512-5328-4DB9-81F4-5A67EFFA2D7A}</x14:id>
        </ext>
      </extLst>
    </cfRule>
    <cfRule type="dataBar" priority="115">
      <dataBar>
        <cfvo type="min"/>
        <cfvo type="max"/>
        <color rgb="FF63C384"/>
      </dataBar>
      <extLst>
        <ext xmlns:x14="http://schemas.microsoft.com/office/spreadsheetml/2009/9/main" uri="{B025F937-C7B1-47D3-B67F-A62EFF666E3E}">
          <x14:id>{5832A442-CC22-41FC-AD17-86122538435B}</x14:id>
        </ext>
      </extLst>
    </cfRule>
  </conditionalFormatting>
  <conditionalFormatting sqref="L5:L10">
    <cfRule type="dataBar" priority="116">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6:L19 M16:N16">
    <cfRule type="dataBar" priority="43">
      <dataBar>
        <cfvo type="min"/>
        <cfvo type="max"/>
        <color rgb="FF63C384"/>
      </dataBar>
      <extLst>
        <ext xmlns:x14="http://schemas.microsoft.com/office/spreadsheetml/2009/9/main" uri="{B025F937-C7B1-47D3-B67F-A62EFF666E3E}">
          <x14:id>{4BEF7755-0998-42F9-BE2B-3DDE71DD6879}</x14:id>
        </ext>
      </extLst>
    </cfRule>
  </conditionalFormatting>
  <conditionalFormatting sqref="M9:M10">
    <cfRule type="dataBar" priority="83">
      <dataBar>
        <cfvo type="min"/>
        <cfvo type="max"/>
        <color rgb="FF63C384"/>
      </dataBar>
      <extLst>
        <ext xmlns:x14="http://schemas.microsoft.com/office/spreadsheetml/2009/9/main" uri="{B025F937-C7B1-47D3-B67F-A62EFF666E3E}">
          <x14:id>{CF921376-951B-44A1-A35C-F489AA25CABD}</x14:id>
        </ext>
      </extLst>
    </cfRule>
  </conditionalFormatting>
  <conditionalFormatting sqref="M17:M19">
    <cfRule type="dataBar" priority="42">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P8">
    <cfRule type="dataBar" priority="118">
      <dataBar>
        <cfvo type="min"/>
        <cfvo type="max"/>
        <color rgb="FF63C384"/>
      </dataBar>
      <extLst>
        <ext xmlns:x14="http://schemas.microsoft.com/office/spreadsheetml/2009/9/main" uri="{B025F937-C7B1-47D3-B67F-A62EFF666E3E}">
          <x14:id>{418255D3-2B96-41A9-9582-87939D7FAE81}</x14:id>
        </ext>
      </extLst>
    </cfRule>
  </conditionalFormatting>
  <conditionalFormatting sqref="N9:N10">
    <cfRule type="dataBar" priority="82">
      <dataBar>
        <cfvo type="min"/>
        <cfvo type="max"/>
        <color rgb="FF63C384"/>
      </dataBar>
      <extLst>
        <ext xmlns:x14="http://schemas.microsoft.com/office/spreadsheetml/2009/9/main" uri="{B025F937-C7B1-47D3-B67F-A62EFF666E3E}">
          <x14:id>{13101FF6-2EA7-4030-B4D6-DA0DA1C2F6A6}</x14:id>
        </ext>
      </extLst>
    </cfRule>
  </conditionalFormatting>
  <conditionalFormatting sqref="N16:N19">
    <cfRule type="dataBar" priority="41">
      <dataBar>
        <cfvo type="min"/>
        <cfvo type="max"/>
        <color rgb="FF63C384"/>
      </dataBar>
      <extLst>
        <ext xmlns:x14="http://schemas.microsoft.com/office/spreadsheetml/2009/9/main" uri="{B025F937-C7B1-47D3-B67F-A62EFF666E3E}">
          <x14:id>{E359D2BF-B4C7-4D3A-9103-4CBEE70A31B4}</x14:id>
        </ext>
      </extLst>
    </cfRule>
  </conditionalFormatting>
  <conditionalFormatting sqref="O9:O10">
    <cfRule type="dataBar" priority="81">
      <dataBar>
        <cfvo type="min"/>
        <cfvo type="max"/>
        <color rgb="FF63C384"/>
      </dataBar>
      <extLst>
        <ext xmlns:x14="http://schemas.microsoft.com/office/spreadsheetml/2009/9/main" uri="{B025F937-C7B1-47D3-B67F-A62EFF666E3E}">
          <x14:id>{1F18C40A-A33A-4D0B-B57F-47D9D6CF0D64}</x14:id>
        </ext>
      </extLst>
    </cfRule>
  </conditionalFormatting>
  <conditionalFormatting sqref="O16:P19">
    <cfRule type="dataBar" priority="8">
      <dataBar>
        <cfvo type="min"/>
        <cfvo type="max"/>
        <color rgb="FF63C384"/>
      </dataBar>
      <extLst>
        <ext xmlns:x14="http://schemas.microsoft.com/office/spreadsheetml/2009/9/main" uri="{B025F937-C7B1-47D3-B67F-A62EFF666E3E}">
          <x14:id>{60036463-A7B0-3C43-9AFC-67270BD216AC}</x14:id>
        </ext>
      </extLst>
    </cfRule>
    <cfRule type="dataBar" priority="7">
      <dataBar>
        <cfvo type="min"/>
        <cfvo type="max"/>
        <color rgb="FF63C384"/>
      </dataBar>
      <extLst>
        <ext xmlns:x14="http://schemas.microsoft.com/office/spreadsheetml/2009/9/main" uri="{B025F937-C7B1-47D3-B67F-A62EFF666E3E}">
          <x14:id>{709E84CA-4171-D04A-9BA7-271FE85132C7}</x14:id>
        </ext>
      </extLst>
    </cfRule>
    <cfRule type="dataBar" priority="9">
      <dataBar>
        <cfvo type="min"/>
        <cfvo type="max"/>
        <color rgb="FF63C384"/>
      </dataBar>
      <extLst>
        <ext xmlns:x14="http://schemas.microsoft.com/office/spreadsheetml/2009/9/main" uri="{B025F937-C7B1-47D3-B67F-A62EFF666E3E}">
          <x14:id>{39A0125A-DDE6-4A40-9B72-41683D6DA7D0}</x14:id>
        </ext>
      </extLst>
    </cfRule>
    <cfRule type="dataBar" priority="10">
      <dataBar>
        <cfvo type="min"/>
        <cfvo type="max"/>
        <color rgb="FF63C384"/>
      </dataBar>
      <extLst>
        <ext xmlns:x14="http://schemas.microsoft.com/office/spreadsheetml/2009/9/main" uri="{B025F937-C7B1-47D3-B67F-A62EFF666E3E}">
          <x14:id>{EAAEE5E8-B003-3D45-9685-03D1B313E4B4}</x14:id>
        </ext>
      </extLst>
    </cfRule>
  </conditionalFormatting>
  <conditionalFormatting sqref="P9:P10">
    <cfRule type="dataBar" priority="80">
      <dataBar>
        <cfvo type="min"/>
        <cfvo type="max"/>
        <color rgb="FF63C384"/>
      </dataBar>
      <extLst>
        <ext xmlns:x14="http://schemas.microsoft.com/office/spreadsheetml/2009/9/main" uri="{B025F937-C7B1-47D3-B67F-A62EFF666E3E}">
          <x14:id>{BA11135A-0895-4A01-87D0-A486C9D5843C}</x14:id>
        </ext>
      </extLst>
    </cfRule>
  </conditionalFormatting>
  <hyperlinks>
    <hyperlink ref="C5" r:id="rId1" location="_msocom_1" display="file:///Users/franciscopuebla/Desktop/UBER.K - Segments.fld/sheet002.htm - _msocom_1" xr:uid="{B328B74F-D649-B641-B6BE-5F54B2A0D362}"/>
  </hyperlinks>
  <pageMargins left="0.75" right="0.75" top="1" bottom="1" header="0" footer="0"/>
  <pageSetup orientation="landscape" r:id="rId2"/>
  <headerFooter alignWithMargins="0"/>
  <drawing r:id="rId3"/>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B5:B10</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B16:B19</xm:sqref>
        </x14:conditionalFormatting>
        <x14:conditionalFormatting xmlns:xm="http://schemas.microsoft.com/office/excel/2006/main">
          <x14:cfRule type="dataBar" id="{9CD5B9BF-D986-694B-988D-F32FA0E82564}">
            <x14:dataBar minLength="0" maxLength="100" gradient="0">
              <x14:cfvo type="autoMin"/>
              <x14:cfvo type="autoMax"/>
              <x14:negativeFillColor rgb="FFFF0000"/>
              <x14:axisColor rgb="FF000000"/>
            </x14:dataBar>
          </x14:cfRule>
          <x14:cfRule type="dataBar" id="{131FE241-DD12-0E4B-8474-E184A8656DA2}">
            <x14:dataBar minLength="0" maxLength="100" gradient="0">
              <x14:cfvo type="autoMin"/>
              <x14:cfvo type="autoMax"/>
              <x14:negativeFillColor rgb="FFFF0000"/>
              <x14:axisColor rgb="FF000000"/>
            </x14:dataBar>
          </x14:cfRule>
          <xm:sqref>C5:C8</xm:sqref>
        </x14:conditionalFormatting>
        <x14:conditionalFormatting xmlns:xm="http://schemas.microsoft.com/office/excel/2006/main">
          <x14:cfRule type="dataBar" id="{17349CBB-7490-874B-9A76-8322E01C4894}">
            <x14:dataBar minLength="0" maxLength="100" gradient="0">
              <x14:cfvo type="autoMin"/>
              <x14:cfvo type="autoMax"/>
              <x14:negativeFillColor rgb="FFFF0000"/>
              <x14:axisColor rgb="FF000000"/>
            </x14:dataBar>
          </x14:cfRule>
          <x14:cfRule type="dataBar" id="{AFA7E847-CA83-4C4C-9C2D-500B9FAEB87B}">
            <x14:dataBar minLength="0" maxLength="100" gradient="0">
              <x14:cfvo type="autoMin"/>
              <x14:cfvo type="autoMax"/>
              <x14:negativeFillColor rgb="FFFF0000"/>
              <x14:axisColor rgb="FF000000"/>
            </x14:dataBar>
          </x14:cfRule>
          <xm:sqref>C16:C19</xm:sqref>
        </x14:conditionalFormatting>
        <x14:conditionalFormatting xmlns:xm="http://schemas.microsoft.com/office/excel/2006/main">
          <x14:cfRule type="dataBar" id="{B115276B-D165-2041-BDD4-D20B037C7656}">
            <x14:dataBar minLength="0" maxLength="100" gradient="0">
              <x14:cfvo type="autoMin"/>
              <x14:cfvo type="autoMax"/>
              <x14:negativeFillColor rgb="FFFF0000"/>
              <x14:axisColor rgb="FF000000"/>
            </x14:dataBar>
          </x14:cfRule>
          <xm:sqref>D16:F19</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D9:G11 D5:F8 H5:I8</xm:sqref>
        </x14:conditionalFormatting>
        <x14:conditionalFormatting xmlns:xm="http://schemas.microsoft.com/office/excel/2006/main">
          <x14:cfRule type="dataBar" id="{865845E8-10F8-564A-8597-A547EBDDBEDF}">
            <x14:dataBar minLength="0" maxLength="100" gradient="0">
              <x14:cfvo type="autoMin"/>
              <x14:cfvo type="autoMax"/>
              <x14:negativeFillColor rgb="FFFF0000"/>
              <x14:axisColor rgb="FF000000"/>
            </x14:dataBar>
          </x14:cfRule>
          <xm:sqref>D11:G11 D5:F10</xm:sqref>
        </x14:conditionalFormatting>
        <x14:conditionalFormatting xmlns:xm="http://schemas.microsoft.com/office/excel/2006/main">
          <x14:cfRule type="dataBar" id="{B15E2310-1256-AC4C-95F5-C9CAEC4D80E5}">
            <x14:dataBar minLength="0" maxLength="100" gradient="0">
              <x14:cfvo type="autoMin"/>
              <x14:cfvo type="autoMax"/>
              <x14:negativeFillColor rgb="FFFF0000"/>
              <x14:axisColor rgb="FF000000"/>
            </x14:dataBar>
          </x14:cfRule>
          <x14:cfRule type="dataBar" id="{4B49CBC0-8149-D94D-94CB-CCCC7008C2B3}">
            <x14:dataBar minLength="0" maxLength="100" gradient="0">
              <x14:cfvo type="autoMin"/>
              <x14:cfvo type="autoMax"/>
              <x14:negativeFillColor rgb="FFFF0000"/>
              <x14:axisColor rgb="FF000000"/>
            </x14:dataBar>
          </x14:cfRule>
          <xm:sqref>D20:I20</xm:sqref>
        </x14:conditionalFormatting>
        <x14:conditionalFormatting xmlns:xm="http://schemas.microsoft.com/office/excel/2006/main">
          <x14:cfRule type="dataBar" id="{A69CD3DE-EEA1-8A42-993C-B0D5155E7983}">
            <x14:dataBar minLength="0" maxLength="100" gradient="0">
              <x14:cfvo type="autoMin"/>
              <x14:cfvo type="autoMax"/>
              <x14:negativeFillColor rgb="FFFF0000"/>
              <x14:axisColor rgb="FF000000"/>
            </x14:dataBar>
          </x14:cfRule>
          <x14:cfRule type="dataBar" id="{95E79674-FE1A-C84E-9A3A-3C4BF1D7E1F5}">
            <x14:dataBar minLength="0" maxLength="100" gradient="0">
              <x14:cfvo type="autoMin"/>
              <x14:cfvo type="autoMax"/>
              <x14:negativeFillColor rgb="FFFF0000"/>
              <x14:axisColor rgb="FF000000"/>
            </x14:dataBar>
          </x14:cfRule>
          <xm:sqref>G5:G8</xm:sqref>
        </x14:conditionalFormatting>
        <x14:conditionalFormatting xmlns:xm="http://schemas.microsoft.com/office/excel/2006/main">
          <x14:cfRule type="dataBar" id="{5F1BB28D-2AD9-244B-BBF3-35AD5C6DFD73}">
            <x14:dataBar minLength="0" maxLength="100" gradient="0">
              <x14:cfvo type="autoMin"/>
              <x14:cfvo type="autoMax"/>
              <x14:negativeFillColor rgb="FFFF0000"/>
              <x14:axisColor rgb="FF000000"/>
            </x14:dataBar>
          </x14:cfRule>
          <x14:cfRule type="dataBar" id="{391C07D0-BEAC-B043-934E-E95323F98DCA}">
            <x14:dataBar minLength="0" maxLength="100" gradient="0">
              <x14:cfvo type="autoMin"/>
              <x14:cfvo type="autoMax"/>
              <x14:negativeFillColor rgb="FFFF0000"/>
              <x14:axisColor rgb="FF000000"/>
            </x14:dataBar>
          </x14:cfRule>
          <xm:sqref>G16:G19</xm:sqref>
        </x14:conditionalFormatting>
        <x14:conditionalFormatting xmlns:xm="http://schemas.microsoft.com/office/excel/2006/main">
          <x14:cfRule type="dataBar" id="{43AE708E-644F-6E4A-BF88-85F722185352}">
            <x14:dataBar minLength="0" maxLength="100" gradient="0">
              <x14:cfvo type="autoMin"/>
              <x14:cfvo type="autoMax"/>
              <x14:negativeFillColor rgb="FFFF0000"/>
              <x14:axisColor rgb="FF000000"/>
            </x14:dataBar>
          </x14:cfRule>
          <xm:sqref>H5:H8 G9:G10</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H9:H10</xm:sqref>
        </x14:conditionalFormatting>
        <x14:conditionalFormatting xmlns:xm="http://schemas.microsoft.com/office/excel/2006/main">
          <x14:cfRule type="dataBar" id="{97A7074A-29B0-1042-AE15-5BF4DFE69086}">
            <x14:dataBar minLength="0" maxLength="100" gradient="0">
              <x14:cfvo type="autoMin"/>
              <x14:cfvo type="autoMax"/>
              <x14:negativeFillColor rgb="FFFF0000"/>
              <x14:axisColor rgb="FF000000"/>
            </x14:dataBar>
          </x14:cfRule>
          <x14:cfRule type="dataBar" id="{19C079B2-A07E-B64A-B151-41AB0A271EBE}">
            <x14:dataBar minLength="0" maxLength="100" gradient="0">
              <x14:cfvo type="autoMin"/>
              <x14:cfvo type="autoMax"/>
              <x14:negativeFillColor rgb="FFFF0000"/>
              <x14:axisColor rgb="FF000000"/>
            </x14:dataBar>
          </x14:cfRule>
          <xm:sqref>H16:H19</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I5:I10</xm:sqref>
        </x14:conditionalFormatting>
        <x14:conditionalFormatting xmlns:xm="http://schemas.microsoft.com/office/excel/2006/main">
          <x14:cfRule type="dataBar" id="{AAD0B526-E9FF-054B-B876-2AA5867BCB9C}">
            <x14:dataBar minLength="0" maxLength="100" gradient="0">
              <x14:cfvo type="autoMin"/>
              <x14:cfvo type="autoMax"/>
              <x14:negativeFillColor rgb="FFFF0000"/>
              <x14:axisColor rgb="FF000000"/>
            </x14:dataBar>
          </x14:cfRule>
          <x14:cfRule type="dataBar" id="{5D77AC47-6D85-1C43-A4A2-69226C47712D}">
            <x14:dataBar minLength="0" maxLength="100" gradient="0">
              <x14:cfvo type="autoMin"/>
              <x14:cfvo type="autoMax"/>
              <x14:negativeFillColor rgb="FFFF0000"/>
              <x14:axisColor rgb="FF000000"/>
            </x14:dataBar>
          </x14:cfRule>
          <xm:sqref>I16:I19</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K5:K10 L5:P8</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K16:K19</xm:sqref>
        </x14:conditionalFormatting>
        <x14:conditionalFormatting xmlns:xm="http://schemas.microsoft.com/office/excel/2006/main">
          <x14:cfRule type="dataBar" id="{EC7F1560-4E75-4756-AE37-09B82982D1AB}">
            <x14:dataBar minLength="0" maxLength="100" gradient="0">
              <x14:cfvo type="autoMin"/>
              <x14:cfvo type="autoMax"/>
              <x14:negativeFill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14:cfRule type="dataBar" id="{A85696C3-3FD4-4347-BBC8-6CEF041D9BC2}">
            <x14:dataBar minLength="0" maxLength="100" gradient="0">
              <x14:cfvo type="autoMin"/>
              <x14:cfvo type="autoMax"/>
              <x14:negativeFillColor rgb="FFFF0000"/>
              <x14:axisColor rgb="FF000000"/>
            </x14:dataBar>
          </x14:cfRule>
          <xm:sqref>K16:N19</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K5:P8</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L5:L10</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L16:L19 M16:N16</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M9:M10</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M17:M19</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M5:P8</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N9:N10</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N16:N19</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O9:O10</xm:sqref>
        </x14:conditionalFormatting>
        <x14:conditionalFormatting xmlns:xm="http://schemas.microsoft.com/office/excel/2006/main">
          <x14:cfRule type="dataBar" id="{60036463-A7B0-3C43-9AFC-67270BD216AC}">
            <x14:dataBar minLength="0" maxLength="100" gradient="0">
              <x14:cfvo type="autoMin"/>
              <x14:cfvo type="autoMax"/>
              <x14:negativeFillColor rgb="FFFF0000"/>
              <x14:axisColor rgb="FF000000"/>
            </x14:dataBar>
          </x14:cfRule>
          <x14:cfRule type="dataBar" id="{709E84CA-4171-D04A-9BA7-271FE85132C7}">
            <x14:dataBar minLength="0" maxLength="100" gradient="0">
              <x14:cfvo type="autoMin"/>
              <x14:cfvo type="autoMax"/>
              <x14:negativeFillColor rgb="FFFF0000"/>
              <x14:axisColor rgb="FF000000"/>
            </x14:dataBar>
          </x14:cfRule>
          <x14:cfRule type="dataBar" id="{39A0125A-DDE6-4A40-9B72-41683D6DA7D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AAEE5E8-B003-3D45-9685-03D1B313E4B4}">
            <x14:dataBar minLength="0" maxLength="100" gradient="0">
              <x14:cfvo type="autoMin"/>
              <x14:cfvo type="autoMax"/>
              <x14:negativeFillColor rgb="FFFF0000"/>
              <x14:axisColor rgb="FF000000"/>
            </x14:dataBar>
          </x14:cfRule>
          <xm:sqref>O16:P19</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P9:P10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95"/>
  <cols>
    <col min="1" max="1" width="27.140625" bestFit="1" customWidth="1"/>
  </cols>
  <sheetData>
    <row r="1" spans="1:1">
      <c r="A1" t="s">
        <v>212</v>
      </c>
    </row>
    <row r="2" spans="1:1">
      <c r="A2" t="s">
        <v>213</v>
      </c>
    </row>
    <row r="3" spans="1:1">
      <c r="A3" t="s">
        <v>214</v>
      </c>
    </row>
    <row r="4" spans="1:1">
      <c r="A4" t="s">
        <v>215</v>
      </c>
    </row>
    <row r="5" spans="1:1">
      <c r="A5" t="s">
        <v>216</v>
      </c>
    </row>
    <row r="6" spans="1:1">
      <c r="A6" s="11" t="s">
        <v>217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K71"/>
  <sheetViews>
    <sheetView showGridLines="0" topLeftCell="B33" zoomScale="92" zoomScaleNormal="120" workbookViewId="0">
      <selection activeCell="D44" sqref="D44"/>
    </sheetView>
  </sheetViews>
  <sheetFormatPr defaultColWidth="11.42578125" defaultRowHeight="12.75" customHeight="1"/>
  <cols>
    <col min="1" max="1" width="0.28515625" customWidth="1"/>
    <col min="2" max="2" width="31.7109375" bestFit="1" customWidth="1"/>
    <col min="3" max="3" width="35.7109375" customWidth="1"/>
    <col min="4" max="4" width="32.140625" customWidth="1"/>
    <col min="5" max="5" width="33.42578125" customWidth="1"/>
    <col min="6" max="6" width="33.85546875" customWidth="1"/>
    <col min="7" max="7" width="15.28515625" customWidth="1"/>
  </cols>
  <sheetData>
    <row r="1" spans="2:11" ht="14.1">
      <c r="B1" s="231" t="s">
        <v>218</v>
      </c>
      <c r="C1" s="232" t="s">
        <v>219</v>
      </c>
      <c r="D1" s="1083" t="s">
        <v>174</v>
      </c>
      <c r="E1" s="1083"/>
      <c r="F1" s="1084"/>
    </row>
    <row r="2" spans="2:11" ht="81.75" customHeight="1">
      <c r="B2" s="233"/>
      <c r="C2" s="451" t="e" vm="3">
        <v>#VALUE!</v>
      </c>
      <c r="D2" s="1080" t="s">
        <v>220</v>
      </c>
      <c r="E2" s="1081"/>
      <c r="F2" s="1082"/>
    </row>
    <row r="3" spans="2:11" ht="81.75" customHeight="1">
      <c r="B3" s="233"/>
      <c r="C3" s="452" t="e" vm="4">
        <v>#VALUE!</v>
      </c>
      <c r="D3" s="1080" t="s">
        <v>221</v>
      </c>
      <c r="E3" s="1081"/>
      <c r="F3" s="1082"/>
    </row>
    <row r="4" spans="2:11" ht="81.75" customHeight="1">
      <c r="B4" s="233"/>
      <c r="C4" s="453" t="e" vm="5">
        <v>#VALUE!</v>
      </c>
      <c r="D4" s="1080" t="s">
        <v>222</v>
      </c>
      <c r="E4" s="1081"/>
      <c r="F4" s="1082"/>
    </row>
    <row r="5" spans="2:11" ht="12.95">
      <c r="B5" s="11"/>
    </row>
    <row r="6" spans="2:11" ht="36" customHeight="1">
      <c r="B6" s="230" t="s">
        <v>223</v>
      </c>
      <c r="C6" s="447" t="e" vm="2">
        <v>#VALUE!</v>
      </c>
      <c r="D6" s="448" t="e" vm="3">
        <v>#VALUE!</v>
      </c>
      <c r="E6" s="449" t="e" vm="4">
        <v>#VALUE!</v>
      </c>
      <c r="F6" s="450" t="e" vm="5">
        <v>#VALUE!</v>
      </c>
      <c r="G6" s="209" t="s">
        <v>224</v>
      </c>
    </row>
    <row r="7" spans="2:11" ht="16.5" customHeight="1">
      <c r="B7" s="207" t="s">
        <v>225</v>
      </c>
      <c r="C7" s="193"/>
      <c r="D7" s="194"/>
      <c r="E7" s="194"/>
      <c r="F7" s="194"/>
      <c r="G7" s="195" t="str">
        <f t="shared" ref="G7:G20" si="0">IFERROR(AVERAGE(C7:F7),"")</f>
        <v/>
      </c>
    </row>
    <row r="8" spans="2:11" ht="13.5" customHeight="1">
      <c r="B8" s="204" t="s">
        <v>226</v>
      </c>
      <c r="C8" s="191">
        <f>OP!C19</f>
        <v>94931.472680000006</v>
      </c>
      <c r="D8" s="191">
        <v>15430</v>
      </c>
      <c r="E8" s="191">
        <v>4230</v>
      </c>
      <c r="F8" s="191">
        <v>12400</v>
      </c>
      <c r="G8" s="220">
        <f t="shared" si="0"/>
        <v>31747.868170000002</v>
      </c>
      <c r="I8" s="1086"/>
      <c r="J8" s="1078"/>
      <c r="K8" s="1078"/>
    </row>
    <row r="9" spans="2:11" ht="12.95">
      <c r="B9" s="206" t="s">
        <v>227</v>
      </c>
      <c r="C9" s="203">
        <f>C51</f>
        <v>31877</v>
      </c>
      <c r="D9" s="203">
        <f t="shared" ref="D9:F9" si="1">D51</f>
        <v>140791.68299999999</v>
      </c>
      <c r="E9" s="203">
        <f t="shared" si="1"/>
        <v>4095.1350000000002</v>
      </c>
      <c r="F9" s="203">
        <f t="shared" si="1"/>
        <v>1433</v>
      </c>
      <c r="G9" s="221">
        <f t="shared" si="0"/>
        <v>44549.2045</v>
      </c>
      <c r="I9" s="1086"/>
      <c r="J9" s="1078"/>
      <c r="K9" s="1078"/>
    </row>
    <row r="10" spans="2:11" ht="16.5" customHeight="1">
      <c r="B10" s="207" t="s">
        <v>228</v>
      </c>
      <c r="C10" s="219"/>
      <c r="D10" s="219"/>
      <c r="E10" s="219"/>
      <c r="F10" s="219"/>
      <c r="G10" s="222" t="str">
        <f t="shared" si="0"/>
        <v/>
      </c>
      <c r="I10" s="1085"/>
      <c r="J10" s="1079"/>
      <c r="K10" s="1079"/>
    </row>
    <row r="11" spans="2:11" ht="12.95">
      <c r="B11" s="204" t="s">
        <v>229</v>
      </c>
      <c r="C11" s="215">
        <f>C51/C50-1</f>
        <v>0.8262389000286452</v>
      </c>
      <c r="D11" s="215">
        <f t="shared" ref="D11:F11" si="2">D51/D50-1</f>
        <v>-0.19004709855200863</v>
      </c>
      <c r="E11" s="215">
        <f t="shared" si="2"/>
        <v>0.27640982531995695</v>
      </c>
      <c r="F11" s="215">
        <f t="shared" si="2"/>
        <v>1.1229629629629629</v>
      </c>
      <c r="G11" s="223">
        <f t="shared" si="0"/>
        <v>0.50889114743988917</v>
      </c>
      <c r="I11" s="1085"/>
      <c r="J11" s="1079"/>
      <c r="K11" s="1079"/>
    </row>
    <row r="12" spans="2:11" ht="12.95">
      <c r="B12" s="205" t="s">
        <v>230</v>
      </c>
      <c r="C12" s="216">
        <f>C51/C49-1</f>
        <v>1.4520769230769233</v>
      </c>
      <c r="D12" s="216">
        <f t="shared" ref="D12:F12" si="3">D51/D49-1</f>
        <v>-9.0411493464065518E-2</v>
      </c>
      <c r="E12" s="216">
        <f t="shared" si="3"/>
        <v>0.73179173004730869</v>
      </c>
      <c r="F12" s="216">
        <f t="shared" si="3"/>
        <v>2.0554371002132195</v>
      </c>
      <c r="G12" s="224">
        <f t="shared" si="0"/>
        <v>1.0372235649683463</v>
      </c>
      <c r="J12" s="584"/>
      <c r="K12" s="584"/>
    </row>
    <row r="13" spans="2:11" ht="12.95">
      <c r="B13" s="205" t="s">
        <v>125</v>
      </c>
      <c r="C13" s="216">
        <f>C54/C51</f>
        <v>-5.7470903786429085E-2</v>
      </c>
      <c r="D13" s="216">
        <f t="shared" ref="D13:F13" si="4">D54/D51</f>
        <v>-0.12660166865112338</v>
      </c>
      <c r="E13" s="216">
        <f t="shared" si="4"/>
        <v>-0.35625589876768404</v>
      </c>
      <c r="F13" s="216">
        <f t="shared" si="4"/>
        <v>-0.95812979762735517</v>
      </c>
      <c r="G13" s="224">
        <f t="shared" si="0"/>
        <v>-0.3746145672081479</v>
      </c>
      <c r="J13" s="584"/>
      <c r="K13" s="584"/>
    </row>
    <row r="14" spans="2:11" ht="12.95">
      <c r="B14" s="205" t="s">
        <v>231</v>
      </c>
      <c r="C14" s="216">
        <f>C57/C51</f>
        <v>0.28675847789942593</v>
      </c>
      <c r="D14" s="216">
        <f t="shared" ref="D14:F14" si="5">D57/D51</f>
        <v>0.16893043319895537</v>
      </c>
      <c r="E14" s="216">
        <f t="shared" si="5"/>
        <v>-0.38704462734439765</v>
      </c>
      <c r="F14" s="216">
        <f t="shared" si="5"/>
        <v>-1.1744591765526866</v>
      </c>
      <c r="G14" s="224">
        <f t="shared" si="0"/>
        <v>-0.27645372319967576</v>
      </c>
    </row>
    <row r="15" spans="2:11" ht="14.1" thickBot="1">
      <c r="B15" s="205" t="s">
        <v>232</v>
      </c>
      <c r="C15" s="216">
        <f>C57/C68</f>
        <v>1.1321525885558583</v>
      </c>
      <c r="D15" s="216">
        <f t="shared" ref="D15:F15" si="6">D57/D68</f>
        <v>0.24963217196961326</v>
      </c>
      <c r="E15" s="216">
        <f t="shared" si="6"/>
        <v>-4.0780306070991177</v>
      </c>
      <c r="F15" s="216">
        <f t="shared" si="6"/>
        <v>-0.25281658404686796</v>
      </c>
      <c r="G15" s="224">
        <f t="shared" si="0"/>
        <v>-0.7372656076551285</v>
      </c>
    </row>
    <row r="16" spans="2:11" ht="14.1" thickBot="1">
      <c r="B16" s="206" t="s">
        <v>233</v>
      </c>
      <c r="C16" s="442">
        <f>(C57+C56)/(C67+C68)</f>
        <v>0.46635090823921305</v>
      </c>
      <c r="D16" s="217">
        <f>(D57+D56)/(D67+D68)</f>
        <v>0.21584025502476284</v>
      </c>
      <c r="E16" s="217">
        <f>(E57+E56)/(E67+E68)</f>
        <v>3.5974784923317564</v>
      </c>
      <c r="F16" s="217">
        <f t="shared" ref="F16" si="7">(F57+F56)/(F67+F68)</f>
        <v>-0.21214421252371918</v>
      </c>
      <c r="G16" s="225">
        <f t="shared" si="0"/>
        <v>1.0168813607680034</v>
      </c>
    </row>
    <row r="17" spans="1:7" ht="17.100000000000001" thickBot="1">
      <c r="B17" s="207" t="s">
        <v>234</v>
      </c>
      <c r="C17" s="219"/>
      <c r="D17" s="219"/>
      <c r="E17" s="219"/>
      <c r="F17" s="219"/>
      <c r="G17" s="226" t="str">
        <f t="shared" si="0"/>
        <v/>
      </c>
    </row>
    <row r="18" spans="1:7" ht="12.95">
      <c r="B18" s="204" t="s">
        <v>72</v>
      </c>
      <c r="C18" s="833">
        <f>C67/C64</f>
        <v>0.34691208072503038</v>
      </c>
      <c r="D18" s="441">
        <f>D67/D64</f>
        <v>0.13373674864533239</v>
      </c>
      <c r="E18" s="441">
        <f t="shared" ref="E18:F18" si="8">E67/E64</f>
        <v>0.17623442558441027</v>
      </c>
      <c r="F18" s="441">
        <f t="shared" si="8"/>
        <v>0.1360959651035987</v>
      </c>
      <c r="G18" s="485">
        <f t="shared" si="0"/>
        <v>0.19824480501459293</v>
      </c>
    </row>
    <row r="19" spans="1:7" ht="12.95">
      <c r="B19" s="205" t="s">
        <v>235</v>
      </c>
      <c r="C19" s="442">
        <f>(C67-C59)/C53</f>
        <v>1.1280924479166667</v>
      </c>
      <c r="D19" s="442">
        <f t="shared" ref="D19:F19" si="9">(D67-D59)/D53</f>
        <v>0.26077650838155569</v>
      </c>
      <c r="E19" s="442">
        <f t="shared" si="9"/>
        <v>-0.39478819969742818</v>
      </c>
      <c r="F19" s="442">
        <f t="shared" si="9"/>
        <v>0.57704918032786889</v>
      </c>
      <c r="G19" s="485">
        <f t="shared" si="0"/>
        <v>0.39278248423216577</v>
      </c>
    </row>
    <row r="20" spans="1:7" ht="12.95">
      <c r="B20" s="206" t="s">
        <v>236</v>
      </c>
      <c r="C20" s="443">
        <f t="shared" ref="C20:F20" si="10">-C53/C55</f>
        <v>14.422535211267606</v>
      </c>
      <c r="D20" s="443">
        <f t="shared" si="10"/>
        <v>11.404098021582733</v>
      </c>
      <c r="E20" s="443">
        <f t="shared" si="10"/>
        <v>-69.578947368421055</v>
      </c>
      <c r="F20" s="443">
        <f t="shared" si="10"/>
        <v>-3.4560906515580738</v>
      </c>
      <c r="G20" s="486">
        <f t="shared" si="0"/>
        <v>-11.802101196782196</v>
      </c>
    </row>
    <row r="21" spans="1:7" ht="15.95">
      <c r="B21" s="207" t="s">
        <v>237</v>
      </c>
      <c r="C21" s="219"/>
      <c r="D21" s="219"/>
      <c r="E21" s="219"/>
      <c r="F21" s="219"/>
      <c r="G21" s="487"/>
    </row>
    <row r="22" spans="1:7" ht="12.95">
      <c r="B22" s="204" t="s">
        <v>238</v>
      </c>
      <c r="C22" s="441">
        <f>C62/C66</f>
        <v>1.0447305997966791</v>
      </c>
      <c r="D22" s="441">
        <f t="shared" ref="D22:F22" si="11">D62/D66</f>
        <v>2.5212799288044971</v>
      </c>
      <c r="E22" s="441">
        <f t="shared" si="11"/>
        <v>0.82451941110202731</v>
      </c>
      <c r="F22" s="441">
        <f t="shared" si="11"/>
        <v>5.185050136736554</v>
      </c>
      <c r="G22" s="488">
        <f t="shared" ref="G22:G39" si="12">IFERROR(AVERAGE(C22:F22),"")</f>
        <v>2.3938950191099395</v>
      </c>
    </row>
    <row r="23" spans="1:7" ht="12.95">
      <c r="B23" s="206" t="s">
        <v>239</v>
      </c>
      <c r="C23" s="442">
        <f>(C59+C60)/C66</f>
        <v>0.78922399186716363</v>
      </c>
      <c r="D23" s="442">
        <f t="shared" ref="D23:F23" si="13">(D59+D60)/D66</f>
        <v>1.1411726416860137</v>
      </c>
      <c r="E23" s="442">
        <f t="shared" si="13"/>
        <v>8.9731635086030187E-2</v>
      </c>
      <c r="F23" s="442">
        <f t="shared" si="13"/>
        <v>2.1185050136736554</v>
      </c>
      <c r="G23" s="486">
        <f t="shared" si="12"/>
        <v>1.0346583205782158</v>
      </c>
    </row>
    <row r="24" spans="1:7" ht="17.100000000000001" thickBot="1">
      <c r="B24" s="207" t="s">
        <v>240</v>
      </c>
      <c r="C24" s="219"/>
      <c r="D24" s="219"/>
      <c r="E24" s="219"/>
      <c r="F24" s="219"/>
      <c r="G24" s="487" t="str">
        <f t="shared" si="12"/>
        <v/>
      </c>
    </row>
    <row r="25" spans="1:7" ht="14.1" thickBot="1">
      <c r="B25" s="204" t="s">
        <v>241</v>
      </c>
      <c r="C25" s="442" t="e">
        <f>C52/C61</f>
        <v>#DIV/0!</v>
      </c>
      <c r="D25" s="441" t="e">
        <f t="shared" ref="D25:F25" si="14">D52/D61</f>
        <v>#DIV/0!</v>
      </c>
      <c r="E25" s="441" t="e">
        <f t="shared" si="14"/>
        <v>#DIV/0!</v>
      </c>
      <c r="F25" s="441">
        <f t="shared" si="14"/>
        <v>28.25</v>
      </c>
      <c r="G25" s="488" t="str">
        <f t="shared" si="12"/>
        <v/>
      </c>
    </row>
    <row r="26" spans="1:7" ht="14.1" thickBot="1">
      <c r="B26" s="205" t="s">
        <v>242</v>
      </c>
      <c r="C26" s="442">
        <f>C51/C60</f>
        <v>11.470672903922274</v>
      </c>
      <c r="D26" s="442">
        <f t="shared" ref="D26:F26" si="15">D51/D60</f>
        <v>62.518509325044398</v>
      </c>
      <c r="E26" s="442" t="e">
        <f>E51/E60</f>
        <v>#DIV/0!</v>
      </c>
      <c r="F26" s="442">
        <f t="shared" si="15"/>
        <v>3.8521505376344085</v>
      </c>
      <c r="G26" s="485" t="str">
        <f t="shared" si="12"/>
        <v/>
      </c>
    </row>
    <row r="27" spans="1:7" ht="12.95">
      <c r="A27" s="11" t="s">
        <v>243</v>
      </c>
      <c r="B27" s="205" t="s">
        <v>244</v>
      </c>
      <c r="C27" s="442">
        <f>C52/C65</f>
        <v>27.00412087912088</v>
      </c>
      <c r="D27" s="442">
        <f t="shared" ref="D27:F27" si="16">D52/D65</f>
        <v>40.348395818815327</v>
      </c>
      <c r="E27" s="442">
        <f t="shared" si="16"/>
        <v>22.594744019072177</v>
      </c>
      <c r="F27" s="442">
        <f t="shared" si="16"/>
        <v>1.4533762057877813</v>
      </c>
      <c r="G27" s="485">
        <f t="shared" si="12"/>
        <v>22.850159230699042</v>
      </c>
    </row>
    <row r="28" spans="1:7" ht="12.95">
      <c r="B28" s="205" t="s">
        <v>245</v>
      </c>
      <c r="C28" s="442">
        <f>C51/C63</f>
        <v>15.310758885686839</v>
      </c>
      <c r="D28" s="442">
        <f t="shared" ref="D28:F28" si="17">D51/D63</f>
        <v>24.622539874081845</v>
      </c>
      <c r="E28" s="442">
        <f t="shared" si="17"/>
        <v>13.066716230272942</v>
      </c>
      <c r="F28" s="442">
        <f t="shared" si="17"/>
        <v>2.9126016260162602</v>
      </c>
      <c r="G28" s="485">
        <f t="shared" si="12"/>
        <v>13.97815415401447</v>
      </c>
    </row>
    <row r="29" spans="1:7" ht="12.95">
      <c r="B29" s="206" t="s">
        <v>246</v>
      </c>
      <c r="C29" s="443">
        <f>C51/C64</f>
        <v>0.99277461147964741</v>
      </c>
      <c r="D29" s="443">
        <f t="shared" ref="D29:F29" si="18">D51/D64</f>
        <v>1.0730010212402734</v>
      </c>
      <c r="E29" s="443">
        <f t="shared" si="18"/>
        <v>0.89875935792729011</v>
      </c>
      <c r="F29" s="443">
        <f t="shared" si="18"/>
        <v>0.15627044711014176</v>
      </c>
      <c r="G29" s="485">
        <f t="shared" si="12"/>
        <v>0.78020135943933822</v>
      </c>
    </row>
    <row r="30" spans="1:7" ht="17.100000000000001" thickBot="1">
      <c r="B30" s="208" t="s">
        <v>112</v>
      </c>
      <c r="C30" s="219"/>
      <c r="D30" s="219"/>
      <c r="E30" s="219"/>
      <c r="F30" s="219"/>
      <c r="G30" s="227" t="str">
        <f t="shared" si="12"/>
        <v/>
      </c>
    </row>
    <row r="31" spans="1:7" ht="14.1" thickBot="1">
      <c r="B31" s="212" t="s">
        <v>247</v>
      </c>
      <c r="C31" s="445">
        <f>C8/C57</f>
        <v>10.385239326113117</v>
      </c>
      <c r="D31" s="444">
        <f t="shared" ref="D31:F31" si="19">D8/D57</f>
        <v>0.64875546585940125</v>
      </c>
      <c r="E31" s="444">
        <f t="shared" si="19"/>
        <v>-2.6687697160883279</v>
      </c>
      <c r="F31" s="444">
        <f t="shared" si="19"/>
        <v>-7.3677956030897205</v>
      </c>
      <c r="G31" s="488">
        <f t="shared" si="12"/>
        <v>0.24935736819861742</v>
      </c>
    </row>
    <row r="32" spans="1:7" ht="14.1" thickBot="1">
      <c r="B32" s="213" t="s">
        <v>243</v>
      </c>
      <c r="C32" s="830">
        <v>2.83</v>
      </c>
      <c r="D32" s="445">
        <f>D8/D51</f>
        <v>0.10959454188781877</v>
      </c>
      <c r="E32" s="445">
        <f t="shared" ref="E32:F32" si="20">E8/E51</f>
        <v>1.0329329802314209</v>
      </c>
      <c r="F32" s="445">
        <f t="shared" si="20"/>
        <v>8.6531751570132585</v>
      </c>
      <c r="G32" s="485">
        <f t="shared" si="12"/>
        <v>3.1564256697831246</v>
      </c>
    </row>
    <row r="33" spans="2:7" ht="12.95">
      <c r="B33" s="213" t="s">
        <v>248</v>
      </c>
      <c r="C33" s="831">
        <f>12.98</f>
        <v>12.98</v>
      </c>
      <c r="D33" s="445">
        <f>D8/D68</f>
        <v>0.16195023601964062</v>
      </c>
      <c r="E33" s="445">
        <f t="shared" ref="E33:F33" si="21">E8/E68</f>
        <v>10.883324585507426</v>
      </c>
      <c r="F33" s="445">
        <f t="shared" si="21"/>
        <v>1.8627009163286765</v>
      </c>
      <c r="G33" s="485">
        <f t="shared" si="12"/>
        <v>6.4719939344639359</v>
      </c>
    </row>
    <row r="34" spans="2:7" ht="12.95">
      <c r="B34" s="213" t="s">
        <v>249</v>
      </c>
      <c r="C34" s="830">
        <f>(C67+C8-C59)/C51</f>
        <v>3.1954849163974028</v>
      </c>
      <c r="D34" s="445">
        <f t="shared" ref="D34:E34" si="22">(D67+D8-D59)/D51</f>
        <v>8.6105938516268757E-2</v>
      </c>
      <c r="E34" s="445">
        <f t="shared" si="22"/>
        <v>1.1603793281540169</v>
      </c>
      <c r="F34" s="445">
        <f>(F67+F8-F59)/F51</f>
        <v>8.1618981158408932</v>
      </c>
      <c r="G34" s="485">
        <f t="shared" si="12"/>
        <v>3.1509670747271454</v>
      </c>
    </row>
    <row r="35" spans="2:7" ht="12.95">
      <c r="B35" s="211" t="s">
        <v>250</v>
      </c>
      <c r="C35" s="832">
        <f>(C67+C8-C59)/C53</f>
        <v>16.57917849609375</v>
      </c>
      <c r="D35" s="446">
        <f t="shared" ref="D35:F35" si="23">(D67+D8-D59)/D53</f>
        <v>-0.95597024829440569</v>
      </c>
      <c r="E35" s="446">
        <f t="shared" si="23"/>
        <v>-3.5944856278366113</v>
      </c>
      <c r="F35" s="446">
        <f t="shared" si="23"/>
        <v>-9.5868852459016392</v>
      </c>
      <c r="G35" s="486">
        <f t="shared" si="12"/>
        <v>0.6104593435152732</v>
      </c>
    </row>
    <row r="36" spans="2:7" ht="15.95">
      <c r="B36" s="208" t="s">
        <v>251</v>
      </c>
      <c r="C36" s="219"/>
      <c r="D36" s="219"/>
      <c r="E36" s="219"/>
      <c r="F36" s="219"/>
      <c r="G36" s="228" t="str">
        <f t="shared" si="12"/>
        <v/>
      </c>
    </row>
    <row r="37" spans="2:7" ht="12.95">
      <c r="B37" s="212" t="s">
        <v>48</v>
      </c>
      <c r="C37" s="592">
        <f>OP!M17</f>
        <v>0.99829999999999997</v>
      </c>
      <c r="D37" s="593">
        <v>0.99099999999999999</v>
      </c>
      <c r="E37" s="593">
        <v>0.1734</v>
      </c>
      <c r="F37" s="593">
        <v>0.52690000000000003</v>
      </c>
      <c r="G37" s="223">
        <f t="shared" si="12"/>
        <v>0.6724</v>
      </c>
    </row>
    <row r="38" spans="2:7" ht="14.1" thickBot="1">
      <c r="B38" s="210" t="s">
        <v>252</v>
      </c>
      <c r="C38" s="218">
        <f>OP!M19</f>
        <v>1.22</v>
      </c>
      <c r="D38" s="279">
        <v>0.66</v>
      </c>
      <c r="E38" s="279">
        <v>0.99</v>
      </c>
      <c r="F38" s="279">
        <v>0.17</v>
      </c>
      <c r="G38" s="234">
        <f t="shared" si="12"/>
        <v>0.76</v>
      </c>
    </row>
    <row r="39" spans="2:7" ht="14.1" thickBot="1">
      <c r="B39" s="211" t="s">
        <v>253</v>
      </c>
      <c r="C39" s="592">
        <f>OP!M29</f>
        <v>0</v>
      </c>
      <c r="D39" s="582">
        <v>2.52E-2</v>
      </c>
      <c r="E39" s="582">
        <v>0</v>
      </c>
      <c r="F39" s="582">
        <v>2.6200000000000001E-2</v>
      </c>
      <c r="G39" s="224">
        <f t="shared" si="12"/>
        <v>1.285E-2</v>
      </c>
    </row>
    <row r="40" spans="2:7" ht="17.100000000000001" thickBot="1">
      <c r="B40" s="208" t="s">
        <v>254</v>
      </c>
      <c r="C40" s="219"/>
      <c r="D40" s="219"/>
      <c r="E40" s="219"/>
      <c r="F40" s="219"/>
      <c r="G40" s="229"/>
    </row>
    <row r="41" spans="2:7" ht="12.95">
      <c r="B41" s="212" t="s">
        <v>255</v>
      </c>
      <c r="C41" s="514">
        <v>0.59</v>
      </c>
      <c r="D41" s="514">
        <v>0.94</v>
      </c>
      <c r="E41" s="514">
        <v>-0.18</v>
      </c>
      <c r="F41" s="514">
        <v>0.2</v>
      </c>
      <c r="G41" s="223">
        <f>IFERROR(AVERAGE(C41:F41),"")</f>
        <v>0.38749999999999996</v>
      </c>
    </row>
    <row r="42" spans="2:7" ht="14.1" thickBot="1">
      <c r="B42" s="213" t="s">
        <v>256</v>
      </c>
      <c r="C42" s="826">
        <v>0.25</v>
      </c>
      <c r="D42" s="827" t="s">
        <v>62</v>
      </c>
      <c r="E42" s="826">
        <v>-0.56000000000000005</v>
      </c>
      <c r="F42" s="827" t="s">
        <v>62</v>
      </c>
      <c r="G42" s="223">
        <f>IFERROR(AVERAGE(C42:F42),"")</f>
        <v>-0.15500000000000003</v>
      </c>
    </row>
    <row r="43" spans="2:7" ht="14.1" thickBot="1">
      <c r="B43" s="213" t="s">
        <v>257</v>
      </c>
      <c r="C43" s="840" cm="1">
        <f t="array" aca="1" ref="C43" ca="1">_FV(C6,"Preço")</f>
        <v>74.84</v>
      </c>
      <c r="D43" s="828" cm="1">
        <f t="array" aca="1" ref="D43" ca="1">_FV(D6,"Preço")</f>
        <v>4.8494999999999999</v>
      </c>
      <c r="E43" s="828" cm="1">
        <f t="array" aca="1" ref="E43" ca="1">_FV(E6,"Preço")</f>
        <v>12.025</v>
      </c>
      <c r="F43" s="828" cm="1">
        <f t="array" aca="1" ref="F43" ca="1">_FV(F6,"Preço")</f>
        <v>4.63</v>
      </c>
      <c r="G43" s="803">
        <f ca="1">IFERROR(AVERAGE(C43:F43),"")</f>
        <v>24.086125000000003</v>
      </c>
    </row>
    <row r="44" spans="2:7" ht="14.1" thickBot="1">
      <c r="B44" s="213" t="s">
        <v>258</v>
      </c>
      <c r="C44" s="829">
        <v>57.2</v>
      </c>
      <c r="D44" s="829">
        <v>4.49</v>
      </c>
      <c r="E44" s="829">
        <v>12.3</v>
      </c>
      <c r="F44" s="829">
        <v>4.7699999999999996</v>
      </c>
      <c r="G44" s="223">
        <f>IFERROR(AVERAGE(C44:F44),"")</f>
        <v>19.690000000000001</v>
      </c>
    </row>
    <row r="45" spans="2:7" ht="14.1" thickBot="1">
      <c r="B45" s="214" t="s">
        <v>259</v>
      </c>
      <c r="C45" s="278">
        <f ca="1">C44/C43-1</f>
        <v>-0.23570283270978087</v>
      </c>
      <c r="D45" s="278">
        <f t="shared" ref="D45:F45" ca="1" si="24">D44/D43-1</f>
        <v>-7.4131353747808992E-2</v>
      </c>
      <c r="E45" s="278">
        <f t="shared" ca="1" si="24"/>
        <v>2.2869022869022926E-2</v>
      </c>
      <c r="F45" s="278">
        <f t="shared" ca="1" si="24"/>
        <v>3.0237580993520474E-2</v>
      </c>
      <c r="G45" s="223">
        <f ca="1">IFERROR(AVERAGE(C45:F45),"")</f>
        <v>-6.4181895648761617E-2</v>
      </c>
    </row>
    <row r="46" spans="2:7" ht="12.95"/>
    <row r="47" spans="2:7" ht="17.100000000000001">
      <c r="B47" s="595" t="s">
        <v>260</v>
      </c>
      <c r="C47" s="594" t="e" vm="1">
        <v>#VALUE!</v>
      </c>
      <c r="D47" s="448" t="e" vm="3">
        <v>#VALUE!</v>
      </c>
      <c r="E47" s="449" t="e" vm="4">
        <v>#VALUE!</v>
      </c>
      <c r="F47" s="834" t="e" vm="5">
        <v>#VALUE!</v>
      </c>
    </row>
    <row r="48" spans="2:7" ht="12.95">
      <c r="B48" s="199" t="s">
        <v>261</v>
      </c>
      <c r="C48" s="200"/>
      <c r="D48" s="200"/>
      <c r="E48" s="200"/>
      <c r="F48" s="835"/>
    </row>
    <row r="49" spans="2:6" ht="12.95">
      <c r="B49" s="196" t="s">
        <v>262</v>
      </c>
      <c r="C49" s="235">
        <f>'Fin. Data'!E5</f>
        <v>13000</v>
      </c>
      <c r="D49" s="192">
        <v>154786.128</v>
      </c>
      <c r="E49" s="192">
        <v>2364.681</v>
      </c>
      <c r="F49" s="836">
        <v>469</v>
      </c>
    </row>
    <row r="50" spans="2:6" ht="12.95">
      <c r="B50" s="196" t="s">
        <v>263</v>
      </c>
      <c r="C50" s="235">
        <f>'Fin. Data'!C5</f>
        <v>17455</v>
      </c>
      <c r="D50" s="192">
        <v>173827</v>
      </c>
      <c r="E50" s="192">
        <v>3208.3229999999999</v>
      </c>
      <c r="F50" s="836">
        <v>675</v>
      </c>
    </row>
    <row r="51" spans="2:6" ht="12.95">
      <c r="B51" s="196" t="s">
        <v>227</v>
      </c>
      <c r="C51" s="235">
        <f>'Fin. Data'!B5</f>
        <v>31877</v>
      </c>
      <c r="D51" s="192">
        <v>140791.68299999999</v>
      </c>
      <c r="E51" s="192">
        <v>4095.1350000000002</v>
      </c>
      <c r="F51" s="836">
        <v>1433</v>
      </c>
    </row>
    <row r="52" spans="2:6" ht="12.95">
      <c r="B52" s="196" t="s">
        <v>264</v>
      </c>
      <c r="C52" s="235">
        <f>'Fin. Data'!B5-'Fin. Data'!B7</f>
        <v>19659</v>
      </c>
      <c r="D52" s="192">
        <v>115799.89599999999</v>
      </c>
      <c r="E52" s="192">
        <v>2435.7359999999999</v>
      </c>
      <c r="F52" s="836">
        <v>1356</v>
      </c>
    </row>
    <row r="53" spans="2:6" ht="12.95">
      <c r="B53" s="196" t="s">
        <v>56</v>
      </c>
      <c r="C53" s="235">
        <f>'Fin. Data'!B19</f>
        <v>6144</v>
      </c>
      <c r="D53" s="192">
        <v>-12681.357</v>
      </c>
      <c r="E53" s="192">
        <v>-1322</v>
      </c>
      <c r="F53" s="836">
        <v>-1220</v>
      </c>
    </row>
    <row r="54" spans="2:6" ht="12.95">
      <c r="B54" s="196" t="s">
        <v>265</v>
      </c>
      <c r="C54" s="591">
        <f>'Fin. Data'!B11</f>
        <v>-1832</v>
      </c>
      <c r="D54" s="192">
        <v>-17824.462</v>
      </c>
      <c r="E54" s="192">
        <v>-1458.9159999999999</v>
      </c>
      <c r="F54" s="836">
        <v>-1373</v>
      </c>
    </row>
    <row r="55" spans="2:6" ht="12.95">
      <c r="B55" s="196" t="s">
        <v>266</v>
      </c>
      <c r="C55" s="591">
        <f>'Fin. Data'!B14</f>
        <v>-426</v>
      </c>
      <c r="D55" s="192">
        <v>1112</v>
      </c>
      <c r="E55" s="192">
        <v>-19</v>
      </c>
      <c r="F55" s="837">
        <v>-353</v>
      </c>
    </row>
    <row r="56" spans="2:6" ht="12.95">
      <c r="B56" s="196" t="s">
        <v>267</v>
      </c>
      <c r="C56" s="591">
        <f>+Inputs!B11</f>
        <v>-181</v>
      </c>
      <c r="D56" s="192">
        <v>568</v>
      </c>
      <c r="E56" s="192">
        <v>5872</v>
      </c>
      <c r="F56" s="836">
        <v>6</v>
      </c>
    </row>
    <row r="57" spans="2:6" ht="12.95">
      <c r="B57" s="196" t="s">
        <v>69</v>
      </c>
      <c r="C57" s="591">
        <v>9141</v>
      </c>
      <c r="D57" s="192">
        <v>23784</v>
      </c>
      <c r="E57" s="192">
        <v>-1585</v>
      </c>
      <c r="F57" s="836">
        <v>-1683</v>
      </c>
    </row>
    <row r="58" spans="2:6" ht="12.95">
      <c r="B58" s="201" t="s">
        <v>268</v>
      </c>
      <c r="C58" s="202"/>
      <c r="D58" s="202"/>
      <c r="E58" s="202"/>
      <c r="F58" s="838"/>
    </row>
    <row r="59" spans="2:6" ht="12.95">
      <c r="B59" s="196" t="s">
        <v>269</v>
      </c>
      <c r="C59" s="235">
        <f>'Fin. Data'!B39</f>
        <v>4208</v>
      </c>
      <c r="D59" s="662">
        <v>20855</v>
      </c>
      <c r="E59" s="192">
        <v>281.08999999999997</v>
      </c>
      <c r="F59" s="836">
        <v>1952</v>
      </c>
    </row>
    <row r="60" spans="2:6" ht="12.95">
      <c r="B60" s="196" t="s">
        <v>270</v>
      </c>
      <c r="C60" s="235">
        <f>'Fin. Data'!B40</f>
        <v>2779</v>
      </c>
      <c r="D60" s="192">
        <v>2252</v>
      </c>
      <c r="E60" s="192">
        <v>0</v>
      </c>
      <c r="F60" s="836">
        <v>372</v>
      </c>
    </row>
    <row r="61" spans="2:6" ht="12.95">
      <c r="B61" s="196" t="s">
        <v>271</v>
      </c>
      <c r="C61" s="235">
        <f>'Fin. Data'!B41</f>
        <v>0</v>
      </c>
      <c r="D61" s="192">
        <v>0</v>
      </c>
      <c r="E61" s="192">
        <v>0</v>
      </c>
      <c r="F61" s="836">
        <v>48</v>
      </c>
    </row>
    <row r="62" spans="2:6" ht="12.95">
      <c r="B62" s="196" t="s">
        <v>272</v>
      </c>
      <c r="C62" s="235">
        <f>Inputs!B27</f>
        <v>9249</v>
      </c>
      <c r="D62" s="192">
        <v>51052.061000000002</v>
      </c>
      <c r="E62" s="192">
        <v>2582.8589999999999</v>
      </c>
      <c r="F62" s="836">
        <v>5688</v>
      </c>
    </row>
    <row r="63" spans="2:6" ht="12.95">
      <c r="B63" s="196" t="s">
        <v>273</v>
      </c>
      <c r="C63" s="235">
        <f>'Fin. Data'!B42</f>
        <v>2082</v>
      </c>
      <c r="D63" s="192">
        <v>5718</v>
      </c>
      <c r="E63" s="192">
        <v>313.40199999999999</v>
      </c>
      <c r="F63" s="836">
        <v>492</v>
      </c>
    </row>
    <row r="64" spans="2:6" ht="12.95">
      <c r="B64" s="196" t="s">
        <v>44</v>
      </c>
      <c r="C64" s="235">
        <f>'Fin. Data'!B44</f>
        <v>32109</v>
      </c>
      <c r="D64" s="192">
        <v>131213</v>
      </c>
      <c r="E64" s="192">
        <v>4556.4309999999996</v>
      </c>
      <c r="F64" s="836">
        <v>9170</v>
      </c>
    </row>
    <row r="65" spans="2:7" ht="12.95">
      <c r="B65" s="196" t="s">
        <v>274</v>
      </c>
      <c r="C65" s="235">
        <f>Inputs!B43</f>
        <v>728</v>
      </c>
      <c r="D65" s="192">
        <v>2870</v>
      </c>
      <c r="E65" s="192">
        <v>107.801</v>
      </c>
      <c r="F65" s="836">
        <v>933</v>
      </c>
    </row>
    <row r="66" spans="2:7" ht="12.95">
      <c r="B66" s="196" t="s">
        <v>275</v>
      </c>
      <c r="C66" s="235">
        <f>Inputs!B42</f>
        <v>8853</v>
      </c>
      <c r="D66" s="192">
        <v>20248.47</v>
      </c>
      <c r="E66" s="192">
        <v>3132.5630000000001</v>
      </c>
      <c r="F66" s="836">
        <v>1097</v>
      </c>
    </row>
    <row r="67" spans="2:7" ht="12.95">
      <c r="B67" s="196" t="s">
        <v>276</v>
      </c>
      <c r="C67" s="235">
        <f>'Fin. Data'!B58</f>
        <v>11139</v>
      </c>
      <c r="D67" s="192">
        <v>17548</v>
      </c>
      <c r="E67" s="192">
        <v>803</v>
      </c>
      <c r="F67" s="836">
        <v>1248</v>
      </c>
    </row>
    <row r="68" spans="2:7" ht="12.95">
      <c r="B68" s="197" t="s">
        <v>277</v>
      </c>
      <c r="C68" s="236">
        <f>'Fin. Data'!B64</f>
        <v>8074</v>
      </c>
      <c r="D68" s="198">
        <v>95276.180999999997</v>
      </c>
      <c r="E68" s="198">
        <v>388.66800000000001</v>
      </c>
      <c r="F68" s="839">
        <v>6657</v>
      </c>
    </row>
    <row r="70" spans="2:7" ht="12.75" customHeight="1">
      <c r="C70" s="711">
        <f>+C67/C68</f>
        <v>1.3796135744364628</v>
      </c>
      <c r="D70" s="711">
        <f>+D67/D68</f>
        <v>0.18418034618746945</v>
      </c>
      <c r="E70" s="711">
        <f t="shared" ref="E70:F70" si="25">+E67/E68</f>
        <v>2.0660306482653574</v>
      </c>
      <c r="F70" s="711">
        <f t="shared" si="25"/>
        <v>0.18747183415953131</v>
      </c>
      <c r="G70" s="184"/>
    </row>
    <row r="71" spans="2:7" ht="12.75" customHeight="1">
      <c r="D71" s="708"/>
      <c r="E71" s="708"/>
      <c r="G71" s="184"/>
    </row>
  </sheetData>
  <mergeCells count="8">
    <mergeCell ref="J8:K9"/>
    <mergeCell ref="J10:K11"/>
    <mergeCell ref="D4:F4"/>
    <mergeCell ref="D1:F1"/>
    <mergeCell ref="D2:F2"/>
    <mergeCell ref="D3:F3"/>
    <mergeCell ref="I10:I11"/>
    <mergeCell ref="I8:I9"/>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A100"/>
  <sheetViews>
    <sheetView showGridLines="0" topLeftCell="A16" zoomScale="83" zoomScaleNormal="70" workbookViewId="0">
      <selection activeCell="G34" sqref="G34"/>
    </sheetView>
  </sheetViews>
  <sheetFormatPr defaultColWidth="11.42578125" defaultRowHeight="12.95"/>
  <cols>
    <col min="1" max="1" width="1" style="89" customWidth="1"/>
    <col min="2" max="2" width="59.42578125" style="89" customWidth="1"/>
    <col min="3" max="4" width="12.85546875" style="89" customWidth="1"/>
    <col min="5" max="5" width="11.42578125" style="89" bestFit="1" customWidth="1"/>
    <col min="6" max="6" width="11" style="89" customWidth="1"/>
    <col min="7" max="7" width="10.28515625" style="89" customWidth="1"/>
    <col min="8" max="8" width="20.140625" style="577" customWidth="1"/>
    <col min="9" max="9" width="22.28515625" style="577" customWidth="1"/>
    <col min="10" max="10" width="64.140625" style="89" customWidth="1"/>
    <col min="11" max="11" width="39" style="89" customWidth="1"/>
    <col min="12" max="12" width="21.28515625" style="89" customWidth="1"/>
    <col min="13" max="13" width="19.85546875" style="89" customWidth="1"/>
    <col min="14" max="14" width="20.85546875" style="89" bestFit="1" customWidth="1"/>
    <col min="15" max="15" width="19.85546875" style="89" bestFit="1" customWidth="1"/>
    <col min="16" max="16" width="19.85546875" style="89" customWidth="1"/>
    <col min="17" max="17" width="22.140625" style="89" bestFit="1" customWidth="1"/>
    <col min="18" max="18" width="14.85546875" style="89" bestFit="1" customWidth="1"/>
    <col min="19" max="19" width="10.28515625" style="89" customWidth="1"/>
    <col min="20" max="20" width="12.28515625" style="89" bestFit="1" customWidth="1"/>
    <col min="21" max="21" width="15.28515625" style="89" customWidth="1"/>
    <col min="22" max="22" width="18.140625" style="89" bestFit="1" customWidth="1"/>
    <col min="23" max="23" width="18.28515625" style="89" bestFit="1" customWidth="1"/>
    <col min="24" max="24" width="17.28515625" style="89" bestFit="1" customWidth="1"/>
    <col min="25" max="30" width="11.42578125" style="89"/>
    <col min="31" max="31" width="13" style="89" bestFit="1" customWidth="1"/>
    <col min="32" max="16384" width="11.42578125" style="89"/>
  </cols>
  <sheetData>
    <row r="1" spans="1:24">
      <c r="B1" s="252" t="s">
        <v>278</v>
      </c>
      <c r="C1" s="93"/>
      <c r="D1" s="93"/>
      <c r="E1" s="93"/>
      <c r="F1" s="93"/>
      <c r="G1" s="93"/>
      <c r="H1" s="571"/>
      <c r="I1" s="571"/>
      <c r="J1" s="93"/>
      <c r="T1" s="105" t="s">
        <v>20</v>
      </c>
    </row>
    <row r="2" spans="1:24" ht="14.1" thickBot="1">
      <c r="B2" s="101" t="s">
        <v>279</v>
      </c>
      <c r="C2" s="253" t="s">
        <v>280</v>
      </c>
      <c r="D2" s="93"/>
      <c r="E2" s="93"/>
      <c r="F2" s="93"/>
      <c r="G2" s="93"/>
      <c r="H2" s="571"/>
      <c r="I2" s="571"/>
      <c r="J2" s="93"/>
      <c r="T2" s="105" t="s">
        <v>14</v>
      </c>
    </row>
    <row r="3" spans="1:24" ht="21" thickBot="1">
      <c r="B3" s="1088" t="s">
        <v>281</v>
      </c>
      <c r="C3" s="1088"/>
      <c r="D3" s="1088"/>
      <c r="E3" s="1088"/>
      <c r="F3" s="1088"/>
      <c r="G3" s="1088"/>
      <c r="H3" s="1088"/>
      <c r="I3" s="1088"/>
      <c r="J3" s="1088"/>
      <c r="K3" s="1089" t="s">
        <v>282</v>
      </c>
      <c r="L3" s="1089"/>
      <c r="M3" s="1089"/>
      <c r="N3" s="1089"/>
      <c r="O3" s="1089"/>
      <c r="P3" s="1089"/>
      <c r="Q3" s="1089"/>
    </row>
    <row r="4" spans="1:24" ht="51">
      <c r="B4" s="243" t="s">
        <v>283</v>
      </c>
      <c r="C4" s="275" t="s">
        <v>284</v>
      </c>
      <c r="D4" s="275" t="s">
        <v>285</v>
      </c>
      <c r="E4" s="275" t="s">
        <v>286</v>
      </c>
      <c r="F4" s="275" t="s">
        <v>287</v>
      </c>
      <c r="G4" s="275" t="s">
        <v>288</v>
      </c>
      <c r="H4" s="244" t="s">
        <v>289</v>
      </c>
      <c r="I4" s="244" t="s">
        <v>290</v>
      </c>
      <c r="J4" s="245" t="s">
        <v>291</v>
      </c>
      <c r="K4" s="243" t="s">
        <v>283</v>
      </c>
      <c r="L4" s="447" t="s">
        <v>292</v>
      </c>
      <c r="M4" s="448" t="e" vm="3">
        <v>#VALUE!</v>
      </c>
      <c r="N4" s="449" t="e" vm="4">
        <v>#VALUE!</v>
      </c>
      <c r="O4" s="450" t="e" vm="5">
        <v>#VALUE!</v>
      </c>
      <c r="P4" s="277"/>
      <c r="Q4" s="277"/>
    </row>
    <row r="5" spans="1:24" ht="15" thickBot="1">
      <c r="B5" s="254" t="s">
        <v>293</v>
      </c>
      <c r="C5" s="255"/>
      <c r="D5" s="256"/>
      <c r="E5" s="256"/>
      <c r="F5" s="256"/>
      <c r="G5" s="256"/>
      <c r="H5" s="572"/>
      <c r="I5" s="572"/>
      <c r="J5" s="257"/>
      <c r="K5" s="254" t="s">
        <v>294</v>
      </c>
      <c r="L5" s="256"/>
      <c r="M5" s="256"/>
      <c r="N5" s="256"/>
      <c r="O5" s="256"/>
      <c r="P5" s="257"/>
      <c r="Q5" s="257"/>
    </row>
    <row r="6" spans="1:24" ht="279.95">
      <c r="A6" s="89">
        <v>1</v>
      </c>
      <c r="B6" s="248" t="s">
        <v>295</v>
      </c>
      <c r="C6" s="246" t="str">
        <f>VLOOKUP($B$2,'Sector Impact'!$K$4:$AA$16,A6+1,FALSE)</f>
        <v>Medium</v>
      </c>
      <c r="D6" s="246" t="s">
        <v>20</v>
      </c>
      <c r="E6" s="246" t="s">
        <v>296</v>
      </c>
      <c r="F6" s="258" t="s">
        <v>20</v>
      </c>
      <c r="G6" s="355"/>
      <c r="H6" s="247" t="s">
        <v>20</v>
      </c>
      <c r="I6" s="247" t="s">
        <v>297</v>
      </c>
      <c r="J6" s="247"/>
      <c r="K6" s="248" t="s">
        <v>298</v>
      </c>
      <c r="L6" s="549">
        <f>L12/L$11</f>
        <v>0.72189133230856106</v>
      </c>
      <c r="M6" s="549">
        <f t="shared" ref="M6:O6" si="0">M12/M$11</f>
        <v>0</v>
      </c>
      <c r="N6" s="549">
        <f t="shared" si="0"/>
        <v>0.33950249999999998</v>
      </c>
      <c r="O6" s="549">
        <f t="shared" si="0"/>
        <v>4.9144355555555554</v>
      </c>
      <c r="P6" s="804" t="e">
        <f t="shared" ref="P6:Q9" si="1">P12/P$11</f>
        <v>#DIV/0!</v>
      </c>
      <c r="Q6" s="804" t="e">
        <f t="shared" si="1"/>
        <v>#DIV/0!</v>
      </c>
    </row>
    <row r="7" spans="1:24" s="93" customFormat="1" ht="18">
      <c r="A7" s="93">
        <v>2</v>
      </c>
      <c r="B7" s="248" t="s">
        <v>299</v>
      </c>
      <c r="C7" s="246" t="str">
        <f>VLOOKUP($B$2,'Sector Impact'!$K$4:$AA$16,A7+1,FALSE)</f>
        <v>Low</v>
      </c>
      <c r="D7" s="246"/>
      <c r="E7" s="246"/>
      <c r="F7" s="258"/>
      <c r="G7" s="355"/>
      <c r="H7" s="247"/>
      <c r="I7" s="247"/>
      <c r="J7" s="247"/>
      <c r="K7" s="248" t="s">
        <v>300</v>
      </c>
      <c r="L7" s="549">
        <f t="shared" ref="L7:O9" si="2">L13/L$11</f>
        <v>2.5169495247357027E-2</v>
      </c>
      <c r="M7" s="804">
        <f t="shared" si="2"/>
        <v>0</v>
      </c>
      <c r="N7" s="804">
        <f t="shared" si="2"/>
        <v>0</v>
      </c>
      <c r="O7" s="804">
        <f t="shared" si="2"/>
        <v>0</v>
      </c>
      <c r="P7" s="804" t="e">
        <f t="shared" si="1"/>
        <v>#DIV/0!</v>
      </c>
      <c r="Q7" s="804" t="e">
        <f t="shared" si="1"/>
        <v>#DIV/0!</v>
      </c>
    </row>
    <row r="8" spans="1:24" ht="18">
      <c r="A8" s="89">
        <v>3</v>
      </c>
      <c r="B8" s="248" t="s">
        <v>301</v>
      </c>
      <c r="C8" s="246" t="str">
        <f>VLOOKUP($B$2,'Sector Impact'!$K$4:$AA$16,A8+1,FALSE)</f>
        <v>High</v>
      </c>
      <c r="D8" s="246" t="s">
        <v>20</v>
      </c>
      <c r="E8" s="246" t="s">
        <v>302</v>
      </c>
      <c r="F8" s="258" t="s">
        <v>20</v>
      </c>
      <c r="G8" s="355"/>
      <c r="H8" s="247" t="s">
        <v>14</v>
      </c>
      <c r="I8" t="s">
        <v>303</v>
      </c>
      <c r="J8" s="247"/>
      <c r="K8" s="248" t="s">
        <v>304</v>
      </c>
      <c r="L8" s="549">
        <f t="shared" si="2"/>
        <v>11.533057314050883</v>
      </c>
      <c r="M8" s="549">
        <f t="shared" si="2"/>
        <v>0</v>
      </c>
      <c r="N8" s="549">
        <f t="shared" si="2"/>
        <v>4.5449999999999999E-4</v>
      </c>
      <c r="O8" s="549">
        <f t="shared" si="2"/>
        <v>116.23975259259259</v>
      </c>
      <c r="P8" s="804" t="e">
        <f t="shared" si="1"/>
        <v>#DIV/0!</v>
      </c>
      <c r="Q8" s="804" t="e">
        <f t="shared" si="1"/>
        <v>#DIV/0!</v>
      </c>
    </row>
    <row r="9" spans="1:24" ht="18">
      <c r="A9" s="89">
        <v>4</v>
      </c>
      <c r="B9" s="248" t="s">
        <v>305</v>
      </c>
      <c r="C9" s="246" t="str">
        <f>VLOOKUP($B$2,'Sector Impact'!$K$4:$AA$16,A9+1,FALSE)</f>
        <v>Low</v>
      </c>
      <c r="D9" s="246"/>
      <c r="E9" s="246"/>
      <c r="F9" s="258"/>
      <c r="G9" s="352"/>
      <c r="H9" s="247"/>
      <c r="I9" s="247"/>
      <c r="J9" s="249"/>
      <c r="K9" s="248" t="s">
        <v>306</v>
      </c>
      <c r="L9" s="549">
        <f t="shared" si="2"/>
        <v>1E-3</v>
      </c>
      <c r="M9" s="804">
        <f t="shared" si="2"/>
        <v>1E-3</v>
      </c>
      <c r="N9" s="804">
        <f t="shared" si="2"/>
        <v>1E-3</v>
      </c>
      <c r="O9" s="804">
        <f t="shared" si="2"/>
        <v>1E-3</v>
      </c>
      <c r="P9" s="804" t="e">
        <f t="shared" si="1"/>
        <v>#DIV/0!</v>
      </c>
      <c r="Q9" s="804" t="e">
        <f t="shared" si="1"/>
        <v>#DIV/0!</v>
      </c>
    </row>
    <row r="10" spans="1:24" ht="14.1">
      <c r="A10" s="89">
        <v>5</v>
      </c>
      <c r="B10" s="248" t="s">
        <v>307</v>
      </c>
      <c r="C10" s="246" t="str">
        <f>VLOOKUP($B$2,'Sector Impact'!$K$4:$AA$16,A10+1,FALSE)</f>
        <v>Low</v>
      </c>
      <c r="D10" s="246"/>
      <c r="E10" s="246"/>
      <c r="F10" s="258"/>
      <c r="G10" s="352"/>
      <c r="H10" s="247"/>
      <c r="I10" s="247"/>
      <c r="J10" s="249"/>
      <c r="K10" s="254" t="s">
        <v>308</v>
      </c>
      <c r="L10" s="256" t="s">
        <v>292</v>
      </c>
      <c r="M10" s="256" t="s">
        <v>309</v>
      </c>
      <c r="N10" s="256" t="s">
        <v>310</v>
      </c>
      <c r="O10" s="256" t="e" vm="6">
        <v>#VALUE!</v>
      </c>
      <c r="P10" s="256"/>
      <c r="Q10" s="257"/>
      <c r="S10"/>
      <c r="V10" s="93"/>
      <c r="W10" s="93"/>
      <c r="X10" s="93"/>
    </row>
    <row r="11" spans="1:24" ht="14.1">
      <c r="B11" s="254" t="s">
        <v>311</v>
      </c>
      <c r="C11" s="251"/>
      <c r="D11" s="251"/>
      <c r="E11" s="260"/>
      <c r="F11" s="260"/>
      <c r="G11" s="261"/>
      <c r="H11" s="573"/>
      <c r="I11" s="573"/>
      <c r="J11" s="262"/>
      <c r="K11" s="248" t="s">
        <v>312</v>
      </c>
      <c r="L11" s="550">
        <f>L15*1000</f>
        <v>31877000</v>
      </c>
      <c r="M11" s="550">
        <f t="shared" ref="M11:O11" si="3">M15*1000</f>
        <v>20412875000</v>
      </c>
      <c r="N11" s="550">
        <f t="shared" si="3"/>
        <v>4000000</v>
      </c>
      <c r="O11" s="550">
        <f t="shared" si="3"/>
        <v>675000</v>
      </c>
      <c r="P11" s="807"/>
      <c r="Q11" s="807"/>
      <c r="S11"/>
    </row>
    <row r="12" spans="1:24">
      <c r="A12" s="89">
        <v>6</v>
      </c>
      <c r="B12" s="248" t="s">
        <v>313</v>
      </c>
      <c r="C12" s="246" t="str">
        <f>VLOOKUP($B$2,'Sector Impact'!$K$4:$AA$16,A12+1,FALSE)</f>
        <v>Low</v>
      </c>
      <c r="D12" s="246"/>
      <c r="E12" s="246"/>
      <c r="F12" s="258"/>
      <c r="G12" s="357"/>
      <c r="H12" s="247"/>
      <c r="I12" s="247"/>
      <c r="J12" s="263"/>
      <c r="K12" s="248" t="s">
        <v>314</v>
      </c>
      <c r="L12" s="628">
        <v>23011730</v>
      </c>
      <c r="M12" s="806"/>
      <c r="N12" s="627">
        <v>1358010</v>
      </c>
      <c r="O12" s="627">
        <v>3317244</v>
      </c>
      <c r="P12" s="806"/>
      <c r="Q12" s="806"/>
      <c r="S12"/>
    </row>
    <row r="13" spans="1:24">
      <c r="A13" s="89">
        <v>7</v>
      </c>
      <c r="B13" s="248" t="s">
        <v>315</v>
      </c>
      <c r="C13" s="246" t="str">
        <f>VLOOKUP($B$2,'Sector Impact'!$K$4:$AA$16,A13+1,FALSE)</f>
        <v>Low</v>
      </c>
      <c r="D13" s="246"/>
      <c r="E13" s="246"/>
      <c r="F13" s="264"/>
      <c r="G13" s="358"/>
      <c r="H13" s="247"/>
      <c r="I13" s="247"/>
      <c r="J13" s="265"/>
      <c r="K13" s="248" t="s">
        <v>316</v>
      </c>
      <c r="L13" s="628">
        <v>802328</v>
      </c>
      <c r="M13" s="806"/>
      <c r="N13" s="806"/>
      <c r="O13" s="806"/>
      <c r="P13" s="806"/>
      <c r="Q13" s="806"/>
      <c r="S13"/>
    </row>
    <row r="14" spans="1:24">
      <c r="A14" s="89">
        <v>8</v>
      </c>
      <c r="B14" s="266" t="s">
        <v>317</v>
      </c>
      <c r="C14" s="246" t="str">
        <f>VLOOKUP($B$2,'Sector Impact'!$K$4:$AA$16,A14+1,FALSE)</f>
        <v>Low</v>
      </c>
      <c r="D14" s="246"/>
      <c r="E14" s="246"/>
      <c r="F14" s="258"/>
      <c r="G14" s="596"/>
      <c r="H14" s="247"/>
      <c r="I14" s="247"/>
      <c r="J14" s="265"/>
      <c r="K14" s="248" t="s">
        <v>318</v>
      </c>
      <c r="L14" s="628">
        <v>367639268</v>
      </c>
      <c r="M14" s="808"/>
      <c r="N14" s="629">
        <v>1818</v>
      </c>
      <c r="O14" s="627">
        <v>78461833</v>
      </c>
      <c r="P14" s="806"/>
      <c r="Q14" s="806"/>
      <c r="S14"/>
    </row>
    <row r="15" spans="1:24">
      <c r="A15" s="89">
        <v>9</v>
      </c>
      <c r="B15" s="266" t="s">
        <v>319</v>
      </c>
      <c r="C15" s="246" t="str">
        <f>VLOOKUP($B$2,'Sector Impact'!$K$4:$AA$16,A15+1,FALSE)</f>
        <v>Low</v>
      </c>
      <c r="D15" s="246"/>
      <c r="E15" s="246"/>
      <c r="F15" s="258" t="s">
        <v>20</v>
      </c>
      <c r="G15" s="259"/>
      <c r="H15" s="574"/>
      <c r="I15" s="574"/>
      <c r="J15" s="265"/>
      <c r="K15" s="248" t="s">
        <v>320</v>
      </c>
      <c r="L15" s="628">
        <v>31877</v>
      </c>
      <c r="M15" s="276">
        <v>20412875</v>
      </c>
      <c r="N15" s="276">
        <v>4000</v>
      </c>
      <c r="O15" s="276">
        <v>675</v>
      </c>
      <c r="P15" s="806"/>
      <c r="Q15" s="806"/>
      <c r="S15"/>
    </row>
    <row r="16" spans="1:24" ht="42" customHeight="1">
      <c r="A16" s="89">
        <v>10</v>
      </c>
      <c r="B16" s="248" t="s">
        <v>321</v>
      </c>
      <c r="C16" s="246" t="str">
        <f>VLOOKUP($B$2,'Sector Impact'!$K$4:$AA$16,A16+1,FALSE)</f>
        <v>High</v>
      </c>
      <c r="D16" s="246" t="s">
        <v>20</v>
      </c>
      <c r="E16" s="246" t="s">
        <v>302</v>
      </c>
      <c r="F16" s="258" t="s">
        <v>14</v>
      </c>
      <c r="G16" s="597"/>
      <c r="H16" t="s">
        <v>322</v>
      </c>
      <c r="I16" s="247" t="s">
        <v>323</v>
      </c>
      <c r="J16" s="265" t="s">
        <v>324</v>
      </c>
      <c r="K16" s="254" t="s">
        <v>325</v>
      </c>
      <c r="L16" s="256"/>
      <c r="M16" s="256"/>
      <c r="N16" s="256"/>
      <c r="O16" s="256"/>
      <c r="P16" s="257"/>
      <c r="Q16" s="257"/>
      <c r="S16"/>
    </row>
    <row r="17" spans="1:19">
      <c r="A17" s="89">
        <v>11</v>
      </c>
      <c r="B17" s="248" t="s">
        <v>326</v>
      </c>
      <c r="C17" s="246" t="str">
        <f>VLOOKUP($B$2,'Sector Impact'!$K$4:$AA$16,A17+1,FALSE)</f>
        <v>Low</v>
      </c>
      <c r="D17" s="267"/>
      <c r="E17" s="267"/>
      <c r="F17" s="267"/>
      <c r="G17" s="352"/>
      <c r="H17" s="247"/>
      <c r="I17" s="575"/>
      <c r="J17" s="265"/>
      <c r="K17" s="248" t="s">
        <v>327</v>
      </c>
      <c r="L17" s="805"/>
      <c r="M17" s="805"/>
      <c r="N17" s="805"/>
      <c r="O17" s="805"/>
      <c r="P17" s="805"/>
      <c r="Q17" s="805"/>
      <c r="S17"/>
    </row>
    <row r="18" spans="1:19">
      <c r="A18" s="89">
        <v>12</v>
      </c>
      <c r="B18" s="248" t="s">
        <v>328</v>
      </c>
      <c r="C18" s="246" t="str">
        <f>VLOOKUP($B$2,'Sector Impact'!$K$4:$AA$16,A18+1,FALSE)</f>
        <v>Low</v>
      </c>
      <c r="D18" s="246"/>
      <c r="E18" s="246"/>
      <c r="F18" s="258"/>
      <c r="G18" s="259"/>
      <c r="H18" s="574"/>
      <c r="I18" s="574"/>
      <c r="J18" s="268"/>
      <c r="K18" s="248" t="s">
        <v>329</v>
      </c>
      <c r="L18" s="805"/>
      <c r="M18" s="805"/>
      <c r="N18" s="805"/>
      <c r="O18" s="805"/>
      <c r="P18" s="805"/>
      <c r="Q18" s="805"/>
    </row>
    <row r="19" spans="1:19">
      <c r="A19" s="89">
        <v>13</v>
      </c>
      <c r="B19" s="248" t="s">
        <v>330</v>
      </c>
      <c r="C19" s="246" t="str">
        <f>VLOOKUP($B$2,'Sector Impact'!$K$4:$AA$16,A19+1,FALSE)</f>
        <v>Low</v>
      </c>
      <c r="D19" s="246"/>
      <c r="E19" s="246"/>
      <c r="F19" s="258"/>
      <c r="G19" s="356"/>
      <c r="H19" s="247"/>
      <c r="I19" s="575"/>
      <c r="J19" s="265"/>
      <c r="K19" s="248" t="s">
        <v>331</v>
      </c>
      <c r="L19" s="806"/>
      <c r="M19" s="806"/>
      <c r="N19" s="806"/>
      <c r="O19" s="806"/>
      <c r="P19" s="806"/>
      <c r="Q19" s="806"/>
    </row>
    <row r="20" spans="1:19">
      <c r="A20" s="89">
        <v>14</v>
      </c>
      <c r="B20" s="248" t="s">
        <v>332</v>
      </c>
      <c r="C20" s="246" t="str">
        <f>VLOOKUP($B$2,'Sector Impact'!$K$4:$AA$16,A20+1,FALSE)</f>
        <v>Low</v>
      </c>
      <c r="D20" s="246"/>
      <c r="E20" s="246"/>
      <c r="F20" s="258"/>
      <c r="G20" s="259"/>
      <c r="H20" s="574"/>
      <c r="I20" s="574"/>
      <c r="J20" s="265"/>
      <c r="K20" s="248" t="s">
        <v>333</v>
      </c>
      <c r="L20" s="805"/>
      <c r="M20" s="805"/>
      <c r="N20" s="805"/>
      <c r="O20" s="805"/>
      <c r="P20" s="805"/>
      <c r="Q20" s="805"/>
    </row>
    <row r="21" spans="1:19">
      <c r="A21" s="89">
        <v>15</v>
      </c>
      <c r="B21" s="248" t="s">
        <v>334</v>
      </c>
      <c r="C21" s="246" t="str">
        <f>VLOOKUP($B$2,'Sector Impact'!$K$4:$AA$16,A21+1,FALSE)</f>
        <v>Medium</v>
      </c>
      <c r="D21" s="246" t="s">
        <v>14</v>
      </c>
      <c r="E21" s="246" t="s">
        <v>302</v>
      </c>
      <c r="F21" s="258" t="s">
        <v>20</v>
      </c>
      <c r="G21" s="352"/>
      <c r="H21" s="247"/>
      <c r="I21" s="575"/>
      <c r="J21" s="265"/>
    </row>
    <row r="22" spans="1:19" ht="14.1" thickBot="1">
      <c r="A22" s="89">
        <v>16</v>
      </c>
      <c r="B22" s="248" t="s">
        <v>335</v>
      </c>
      <c r="C22" s="250" t="str">
        <f>VLOOKUP($B$2,'Sector Impact'!$K$4:$AA$16,A22+1,FALSE)</f>
        <v>Very High</v>
      </c>
      <c r="D22" s="246" t="s">
        <v>20</v>
      </c>
      <c r="E22" s="246" t="s">
        <v>302</v>
      </c>
      <c r="F22" s="258" t="s">
        <v>20</v>
      </c>
      <c r="G22" s="259"/>
      <c r="H22" s="574"/>
      <c r="I22" s="574"/>
      <c r="J22" s="249"/>
    </row>
    <row r="23" spans="1:19" ht="15" thickBot="1">
      <c r="B23" s="254" t="s">
        <v>336</v>
      </c>
      <c r="C23" s="269"/>
      <c r="D23" s="251"/>
      <c r="E23" s="260"/>
      <c r="F23" s="260"/>
      <c r="G23" s="261"/>
      <c r="H23" s="573"/>
      <c r="I23" s="573"/>
      <c r="J23" s="262"/>
      <c r="K23" s="303" t="s">
        <v>337</v>
      </c>
      <c r="L23" s="280"/>
      <c r="M23" s="281"/>
    </row>
    <row r="24" spans="1:19">
      <c r="A24" s="89">
        <v>17</v>
      </c>
      <c r="B24" s="248" t="s">
        <v>338</v>
      </c>
      <c r="C24" s="270"/>
      <c r="D24" s="271"/>
      <c r="E24" s="264" t="s">
        <v>339</v>
      </c>
      <c r="F24" s="264" t="s">
        <v>20</v>
      </c>
      <c r="G24" s="356"/>
      <c r="H24" s="247"/>
      <c r="I24" s="575"/>
      <c r="J24" s="272"/>
      <c r="K24" s="307" t="s">
        <v>340</v>
      </c>
      <c r="L24" s="90" t="s">
        <v>341</v>
      </c>
      <c r="M24" s="91" t="s">
        <v>342</v>
      </c>
    </row>
    <row r="25" spans="1:19" ht="14.1">
      <c r="A25" s="89">
        <v>18</v>
      </c>
      <c r="B25" s="248" t="s">
        <v>343</v>
      </c>
      <c r="C25" s="270"/>
      <c r="D25" s="271"/>
      <c r="E25" s="264" t="s">
        <v>339</v>
      </c>
      <c r="F25" s="264" t="s">
        <v>20</v>
      </c>
      <c r="G25" s="352"/>
      <c r="I25" s="575"/>
      <c r="J25" t="s">
        <v>344</v>
      </c>
      <c r="K25" s="237" t="s">
        <v>345</v>
      </c>
      <c r="L25" s="238" t="s">
        <v>339</v>
      </c>
      <c r="M25" s="304" t="s">
        <v>346</v>
      </c>
    </row>
    <row r="26" spans="1:19" ht="57" customHeight="1">
      <c r="A26" s="89">
        <v>19</v>
      </c>
      <c r="B26" s="248" t="s">
        <v>347</v>
      </c>
      <c r="C26" s="270"/>
      <c r="D26" s="271"/>
      <c r="E26" s="264" t="s">
        <v>296</v>
      </c>
      <c r="F26" s="264" t="s">
        <v>20</v>
      </c>
      <c r="G26" s="352"/>
      <c r="H26" s="247"/>
      <c r="I26" s="575"/>
      <c r="J26" t="s">
        <v>348</v>
      </c>
      <c r="K26" s="237" t="s">
        <v>296</v>
      </c>
      <c r="L26" s="238" t="s">
        <v>349</v>
      </c>
      <c r="M26" s="305"/>
    </row>
    <row r="27" spans="1:19">
      <c r="A27" s="89">
        <v>20</v>
      </c>
      <c r="B27" s="248" t="s">
        <v>350</v>
      </c>
      <c r="C27" s="270"/>
      <c r="D27" s="271"/>
      <c r="E27" s="264"/>
      <c r="F27" s="264"/>
      <c r="G27" s="352"/>
      <c r="H27" s="247"/>
      <c r="I27" s="575"/>
      <c r="J27" s="272"/>
      <c r="K27" s="239" t="s">
        <v>351</v>
      </c>
      <c r="L27" s="240" t="s">
        <v>296</v>
      </c>
      <c r="M27" s="305"/>
    </row>
    <row r="28" spans="1:19" ht="14.1">
      <c r="A28" s="89">
        <v>21</v>
      </c>
      <c r="B28" s="248" t="s">
        <v>352</v>
      </c>
      <c r="C28" s="270"/>
      <c r="D28" s="271"/>
      <c r="E28" s="264" t="s">
        <v>339</v>
      </c>
      <c r="F28" s="264" t="s">
        <v>14</v>
      </c>
      <c r="G28" s="356"/>
      <c r="H28" s="247"/>
      <c r="I28" s="575"/>
      <c r="J28" s="265" t="s">
        <v>353</v>
      </c>
      <c r="K28" s="241" t="s">
        <v>354</v>
      </c>
      <c r="L28" s="242" t="s">
        <v>302</v>
      </c>
      <c r="M28" s="306"/>
    </row>
    <row r="29" spans="1:19" ht="14.1" thickBot="1">
      <c r="A29" s="89">
        <v>22</v>
      </c>
      <c r="B29" s="248" t="s">
        <v>355</v>
      </c>
      <c r="C29" s="270"/>
      <c r="D29" s="271"/>
      <c r="E29" s="264" t="s">
        <v>339</v>
      </c>
      <c r="F29" s="264"/>
      <c r="G29" s="356"/>
      <c r="H29" s="247"/>
      <c r="I29" s="575"/>
      <c r="J29" s="265"/>
    </row>
    <row r="30" spans="1:19" ht="26.1" customHeight="1" thickBot="1">
      <c r="A30" s="89">
        <v>23</v>
      </c>
      <c r="B30" s="248" t="s">
        <v>356</v>
      </c>
      <c r="C30" s="270"/>
      <c r="D30" s="271"/>
      <c r="E30" s="264" t="s">
        <v>349</v>
      </c>
      <c r="F30" s="264"/>
      <c r="G30" s="356"/>
      <c r="H30" s="247"/>
      <c r="I30" s="575"/>
      <c r="J30" s="272"/>
      <c r="L30" s="99"/>
    </row>
    <row r="31" spans="1:19" ht="27.95">
      <c r="A31" s="89">
        <v>24</v>
      </c>
      <c r="B31" s="273" t="s">
        <v>357</v>
      </c>
      <c r="C31" s="270"/>
      <c r="D31" s="271"/>
      <c r="E31" s="264" t="s">
        <v>339</v>
      </c>
      <c r="F31" s="264"/>
      <c r="G31" s="356"/>
      <c r="H31" s="247"/>
      <c r="I31" s="575"/>
      <c r="J31" s="263" t="s">
        <v>358</v>
      </c>
      <c r="L31" s="119"/>
    </row>
    <row r="32" spans="1:19" ht="14.1">
      <c r="A32" s="89">
        <v>25</v>
      </c>
      <c r="B32" s="248" t="s">
        <v>359</v>
      </c>
      <c r="C32" s="270"/>
      <c r="D32" s="264" t="s">
        <v>20</v>
      </c>
      <c r="E32" s="264" t="s">
        <v>349</v>
      </c>
      <c r="F32" s="264" t="s">
        <v>14</v>
      </c>
      <c r="G32" s="352"/>
      <c r="H32" s="247"/>
      <c r="I32" s="575"/>
      <c r="J32" s="265" t="s">
        <v>360</v>
      </c>
      <c r="L32" s="100"/>
    </row>
    <row r="33" spans="1:27">
      <c r="A33" s="89">
        <v>26</v>
      </c>
      <c r="B33" s="248" t="s">
        <v>361</v>
      </c>
      <c r="C33" s="270"/>
      <c r="D33" s="264" t="s">
        <v>20</v>
      </c>
      <c r="E33" s="264" t="s">
        <v>296</v>
      </c>
      <c r="F33" s="264" t="s">
        <v>20</v>
      </c>
      <c r="G33" s="356"/>
      <c r="H33" s="247"/>
      <c r="I33" t="s">
        <v>362</v>
      </c>
      <c r="J33" t="s">
        <v>362</v>
      </c>
      <c r="N33" s="353"/>
    </row>
    <row r="34" spans="1:27" ht="396.95">
      <c r="A34" s="89">
        <v>27</v>
      </c>
      <c r="B34" s="248" t="s">
        <v>363</v>
      </c>
      <c r="C34" s="270"/>
      <c r="D34" s="274" t="s">
        <v>20</v>
      </c>
      <c r="E34" s="264" t="s">
        <v>349</v>
      </c>
      <c r="F34" s="264" t="s">
        <v>20</v>
      </c>
      <c r="G34" s="356"/>
      <c r="H34" s="247"/>
      <c r="I34" s="575" t="s">
        <v>364</v>
      </c>
      <c r="J34" t="s">
        <v>365</v>
      </c>
      <c r="N34" s="354"/>
    </row>
    <row r="35" spans="1:27">
      <c r="B35" s="96"/>
      <c r="C35" s="96"/>
      <c r="D35" s="96"/>
      <c r="E35" s="96"/>
      <c r="F35" s="96"/>
      <c r="G35" s="96"/>
      <c r="H35" s="576"/>
      <c r="I35" s="576"/>
      <c r="J35" s="96"/>
      <c r="T35" s="97"/>
    </row>
    <row r="36" spans="1:27" ht="18">
      <c r="B36" s="98"/>
      <c r="T36" s="97"/>
    </row>
    <row r="37" spans="1:27">
      <c r="K37"/>
      <c r="T37" s="97"/>
    </row>
    <row r="38" spans="1:27">
      <c r="C38"/>
      <c r="D38"/>
      <c r="E38"/>
      <c r="F38"/>
      <c r="G38"/>
      <c r="H38" s="578"/>
      <c r="I38" s="578"/>
      <c r="J38"/>
      <c r="K38"/>
      <c r="L38"/>
      <c r="M38"/>
      <c r="N38"/>
      <c r="O38"/>
      <c r="P38"/>
      <c r="Q38"/>
      <c r="R38"/>
      <c r="S38"/>
      <c r="T38"/>
      <c r="U38"/>
      <c r="V38"/>
      <c r="W38"/>
      <c r="X38"/>
      <c r="Y38"/>
      <c r="Z38"/>
      <c r="AA38"/>
    </row>
    <row r="39" spans="1:27">
      <c r="C39"/>
      <c r="D39"/>
      <c r="E39"/>
      <c r="F39"/>
      <c r="G39"/>
      <c r="H39" s="578"/>
      <c r="I39" s="578"/>
      <c r="J39"/>
      <c r="M39"/>
      <c r="N39"/>
      <c r="O39"/>
      <c r="P39"/>
      <c r="Q39"/>
      <c r="R39"/>
      <c r="S39"/>
      <c r="T39"/>
      <c r="U39"/>
      <c r="V39"/>
      <c r="W39"/>
      <c r="X39"/>
      <c r="Y39"/>
      <c r="Z39"/>
      <c r="AA39"/>
    </row>
    <row r="54" spans="14:19">
      <c r="N54" s="1090"/>
      <c r="O54" s="1090"/>
      <c r="P54" s="1090"/>
      <c r="Q54" s="1090"/>
      <c r="R54" s="1090"/>
      <c r="S54" s="1090"/>
    </row>
    <row r="55" spans="14:19">
      <c r="O55" s="579"/>
      <c r="P55" s="579"/>
      <c r="Q55" s="579"/>
      <c r="R55" s="579"/>
      <c r="S55" s="579"/>
    </row>
    <row r="56" spans="14:19">
      <c r="N56" s="580"/>
      <c r="O56" s="580"/>
      <c r="P56" s="580"/>
      <c r="Q56" s="580"/>
      <c r="R56" s="580"/>
      <c r="S56" s="580"/>
    </row>
    <row r="57" spans="14:19">
      <c r="N57" s="580"/>
      <c r="O57" s="580"/>
      <c r="P57" s="580"/>
      <c r="Q57" s="580"/>
      <c r="R57" s="580"/>
      <c r="S57" s="580"/>
    </row>
    <row r="58" spans="14:19">
      <c r="N58" s="580"/>
      <c r="O58" s="580"/>
      <c r="P58" s="580"/>
      <c r="Q58" s="580"/>
      <c r="R58" s="580"/>
      <c r="S58" s="580"/>
    </row>
    <row r="59" spans="14:19">
      <c r="N59" s="580"/>
      <c r="O59" s="580"/>
      <c r="P59" s="580"/>
      <c r="Q59" s="580"/>
      <c r="R59" s="580"/>
      <c r="S59" s="580"/>
    </row>
    <row r="60" spans="14:19">
      <c r="N60" s="580"/>
      <c r="O60" s="580"/>
      <c r="P60" s="580"/>
      <c r="Q60" s="580"/>
      <c r="R60" s="580"/>
      <c r="S60" s="580"/>
    </row>
    <row r="61" spans="14:19">
      <c r="N61" s="580"/>
      <c r="O61" s="580"/>
      <c r="P61" s="580"/>
      <c r="Q61" s="580"/>
      <c r="R61" s="580"/>
      <c r="S61" s="580"/>
    </row>
    <row r="62" spans="14:19">
      <c r="N62" s="580"/>
      <c r="O62" s="580"/>
      <c r="P62" s="580"/>
      <c r="Q62" s="580"/>
      <c r="R62" s="580"/>
      <c r="S62" s="580"/>
    </row>
    <row r="63" spans="14:19">
      <c r="N63" s="580"/>
      <c r="O63" s="580"/>
      <c r="P63" s="580"/>
      <c r="Q63" s="580"/>
      <c r="R63" s="580"/>
      <c r="S63" s="580"/>
    </row>
    <row r="64" spans="14:19">
      <c r="N64" s="580"/>
      <c r="O64" s="580"/>
      <c r="P64" s="580"/>
      <c r="Q64" s="580"/>
      <c r="R64" s="580"/>
      <c r="S64" s="580"/>
    </row>
    <row r="65" spans="14:19">
      <c r="N65" s="580"/>
      <c r="O65" s="580"/>
      <c r="P65" s="580"/>
      <c r="Q65" s="580"/>
      <c r="R65" s="580"/>
      <c r="S65" s="580"/>
    </row>
    <row r="66" spans="14:19">
      <c r="N66" s="1087"/>
      <c r="O66" s="1087"/>
      <c r="P66" s="1087"/>
      <c r="Q66" s="1087"/>
      <c r="R66" s="1087"/>
      <c r="S66" s="1087"/>
    </row>
    <row r="67" spans="14:19">
      <c r="N67" s="580"/>
      <c r="O67" s="580"/>
      <c r="P67" s="580"/>
      <c r="Q67" s="580"/>
      <c r="R67" s="580"/>
      <c r="S67" s="580"/>
    </row>
    <row r="68" spans="14:19">
      <c r="N68" s="580"/>
      <c r="O68" s="580"/>
      <c r="P68" s="580"/>
      <c r="Q68" s="580"/>
      <c r="R68" s="580"/>
      <c r="S68" s="580"/>
    </row>
    <row r="69" spans="14:19">
      <c r="N69" s="580"/>
      <c r="O69" s="580"/>
      <c r="P69" s="580"/>
      <c r="Q69" s="580"/>
      <c r="R69" s="580"/>
      <c r="S69" s="580"/>
    </row>
    <row r="70" spans="14:19">
      <c r="N70" s="580"/>
      <c r="O70" s="580"/>
      <c r="P70" s="580"/>
      <c r="Q70" s="580"/>
      <c r="R70" s="580"/>
      <c r="S70" s="580"/>
    </row>
    <row r="71" spans="14:19">
      <c r="N71" s="580"/>
      <c r="O71" s="580"/>
      <c r="P71" s="580"/>
      <c r="Q71" s="580"/>
      <c r="R71" s="580"/>
      <c r="S71" s="580"/>
    </row>
    <row r="72" spans="14:19">
      <c r="N72" s="580"/>
      <c r="O72" s="580"/>
      <c r="P72" s="580"/>
      <c r="Q72" s="580"/>
      <c r="R72" s="580"/>
      <c r="S72" s="580"/>
    </row>
    <row r="73" spans="14:19">
      <c r="N73" s="580"/>
      <c r="O73" s="580"/>
      <c r="P73" s="580"/>
      <c r="Q73" s="580"/>
      <c r="R73" s="580"/>
      <c r="S73" s="580"/>
    </row>
    <row r="74" spans="14:19">
      <c r="N74" s="581"/>
      <c r="O74" s="580"/>
      <c r="P74" s="580"/>
      <c r="Q74" s="580"/>
      <c r="R74" s="580"/>
      <c r="S74" s="580"/>
    </row>
    <row r="75" spans="14:19">
      <c r="N75" s="581"/>
      <c r="O75" s="580"/>
      <c r="P75" s="580"/>
      <c r="Q75" s="580"/>
      <c r="R75" s="580"/>
      <c r="S75" s="580"/>
    </row>
    <row r="76" spans="14:19">
      <c r="N76" s="581"/>
      <c r="O76" s="580"/>
      <c r="P76" s="580"/>
      <c r="Q76" s="580"/>
      <c r="R76" s="580"/>
      <c r="S76" s="580"/>
    </row>
    <row r="77" spans="14:19">
      <c r="N77" s="580"/>
      <c r="O77" s="580"/>
      <c r="P77" s="580"/>
      <c r="Q77" s="580"/>
      <c r="R77" s="580"/>
      <c r="S77" s="580"/>
    </row>
    <row r="78" spans="14:19">
      <c r="N78" s="1087"/>
      <c r="O78" s="1087"/>
      <c r="P78" s="1087"/>
      <c r="Q78" s="1087"/>
      <c r="R78" s="1087"/>
      <c r="S78" s="1087"/>
    </row>
    <row r="79" spans="14:19">
      <c r="N79" s="580"/>
      <c r="O79" s="580"/>
      <c r="P79" s="580"/>
      <c r="Q79" s="580"/>
      <c r="R79" s="580"/>
      <c r="S79" s="580"/>
    </row>
    <row r="80" spans="14:19">
      <c r="N80" s="580"/>
      <c r="O80" s="580"/>
      <c r="P80" s="580"/>
      <c r="Q80" s="580"/>
      <c r="R80" s="580"/>
      <c r="S80" s="580"/>
    </row>
    <row r="81" spans="14:19">
      <c r="N81" s="580"/>
      <c r="O81" s="580"/>
      <c r="P81" s="580"/>
      <c r="Q81" s="580"/>
      <c r="R81" s="580"/>
      <c r="S81" s="580"/>
    </row>
    <row r="82" spans="14:19">
      <c r="N82" s="580"/>
      <c r="O82" s="580"/>
      <c r="P82" s="580"/>
      <c r="Q82" s="580"/>
      <c r="R82" s="580"/>
      <c r="S82" s="580"/>
    </row>
    <row r="83" spans="14:19">
      <c r="N83" s="580"/>
      <c r="O83" s="580"/>
      <c r="P83" s="580"/>
      <c r="Q83" s="580"/>
      <c r="R83" s="580"/>
      <c r="S83" s="580"/>
    </row>
    <row r="84" spans="14:19">
      <c r="N84" s="580"/>
      <c r="O84" s="580"/>
      <c r="P84" s="580"/>
      <c r="Q84" s="580"/>
      <c r="R84" s="580"/>
      <c r="S84" s="580"/>
    </row>
    <row r="85" spans="14:19">
      <c r="N85" s="580"/>
      <c r="O85" s="580"/>
      <c r="P85" s="580"/>
      <c r="Q85" s="580"/>
      <c r="R85" s="580"/>
      <c r="S85" s="580"/>
    </row>
    <row r="86" spans="14:19">
      <c r="N86" s="581"/>
      <c r="O86" s="580"/>
      <c r="P86" s="580"/>
      <c r="Q86" s="580"/>
      <c r="R86" s="580"/>
      <c r="S86" s="580"/>
    </row>
    <row r="87" spans="14:19">
      <c r="N87" s="581"/>
      <c r="O87" s="580"/>
      <c r="P87" s="580"/>
      <c r="Q87" s="580"/>
      <c r="R87" s="580"/>
      <c r="S87" s="580"/>
    </row>
    <row r="88" spans="14:19">
      <c r="N88" s="581"/>
      <c r="O88" s="580"/>
      <c r="P88" s="580"/>
      <c r="Q88" s="580"/>
      <c r="R88" s="580"/>
      <c r="S88" s="580"/>
    </row>
    <row r="89" spans="14:19">
      <c r="N89" s="580"/>
      <c r="O89" s="580"/>
      <c r="P89" s="580"/>
      <c r="Q89" s="580"/>
      <c r="R89" s="580"/>
      <c r="S89" s="580"/>
    </row>
    <row r="90" spans="14:19">
      <c r="N90" s="1087"/>
      <c r="O90" s="1087"/>
      <c r="P90" s="1087"/>
      <c r="Q90" s="1087"/>
      <c r="R90" s="1087"/>
      <c r="S90" s="1087"/>
    </row>
    <row r="91" spans="14:19">
      <c r="N91" s="580"/>
      <c r="O91" s="580"/>
      <c r="P91" s="580"/>
      <c r="Q91" s="580"/>
      <c r="R91" s="580"/>
      <c r="S91" s="580"/>
    </row>
    <row r="92" spans="14:19">
      <c r="N92" s="581"/>
      <c r="O92" s="580"/>
      <c r="P92" s="580"/>
      <c r="Q92" s="580"/>
      <c r="R92" s="580"/>
      <c r="S92" s="580"/>
    </row>
    <row r="93" spans="14:19">
      <c r="N93" s="581"/>
      <c r="O93" s="580"/>
      <c r="P93" s="580"/>
      <c r="Q93" s="580"/>
      <c r="R93" s="580"/>
      <c r="S93" s="580"/>
    </row>
    <row r="94" spans="14:19">
      <c r="N94" s="581"/>
      <c r="O94" s="580"/>
      <c r="P94" s="580"/>
      <c r="Q94" s="580"/>
      <c r="R94" s="580"/>
      <c r="S94" s="580"/>
    </row>
    <row r="95" spans="14:19">
      <c r="N95" s="581"/>
      <c r="O95" s="580"/>
      <c r="P95" s="580"/>
      <c r="Q95" s="580"/>
      <c r="R95" s="580"/>
      <c r="S95" s="580"/>
    </row>
    <row r="96" spans="14:19">
      <c r="N96" s="581"/>
      <c r="O96" s="580"/>
      <c r="P96" s="580"/>
      <c r="Q96" s="580"/>
      <c r="R96" s="580"/>
      <c r="S96" s="580"/>
    </row>
    <row r="97" spans="14:19">
      <c r="N97" s="581"/>
      <c r="O97" s="580"/>
      <c r="P97" s="580"/>
      <c r="Q97" s="580"/>
      <c r="R97" s="580"/>
      <c r="S97" s="580"/>
    </row>
    <row r="98" spans="14:19">
      <c r="N98" s="581"/>
      <c r="O98" s="580"/>
      <c r="P98" s="580"/>
      <c r="Q98" s="580"/>
      <c r="R98" s="580"/>
      <c r="S98" s="580"/>
    </row>
    <row r="99" spans="14:19">
      <c r="N99" s="581"/>
      <c r="O99" s="580"/>
      <c r="P99" s="580"/>
      <c r="Q99" s="580"/>
      <c r="R99" s="580"/>
      <c r="S99" s="580"/>
    </row>
    <row r="100" spans="14:19">
      <c r="N100" s="581"/>
      <c r="O100" s="580"/>
      <c r="P100" s="580"/>
      <c r="Q100" s="580"/>
      <c r="R100" s="580"/>
      <c r="S100" s="580"/>
    </row>
  </sheetData>
  <mergeCells count="6">
    <mergeCell ref="N90:S90"/>
    <mergeCell ref="B3:J3"/>
    <mergeCell ref="K3:Q3"/>
    <mergeCell ref="N54:S54"/>
    <mergeCell ref="N66:S66"/>
    <mergeCell ref="N78:S78"/>
  </mergeCells>
  <conditionalFormatting sqref="C10:G10">
    <cfRule type="expression" dxfId="57" priority="19">
      <formula>$C$10="Low"</formula>
    </cfRule>
  </conditionalFormatting>
  <conditionalFormatting sqref="D6:F6 H6:J6">
    <cfRule type="expression" dxfId="56" priority="36">
      <formula>$C$6="Low"</formula>
    </cfRule>
  </conditionalFormatting>
  <conditionalFormatting sqref="D7:G7 J7">
    <cfRule type="expression" dxfId="55" priority="35">
      <formula>$C$7="Low"</formula>
    </cfRule>
  </conditionalFormatting>
  <conditionalFormatting sqref="D8:G8 J8">
    <cfRule type="expression" dxfId="54" priority="34">
      <formula>$C$8="Low"</formula>
    </cfRule>
  </conditionalFormatting>
  <conditionalFormatting sqref="D9:G9 J9:J10">
    <cfRule type="expression" dxfId="53" priority="33">
      <formula>$C$9="Low"</formula>
    </cfRule>
  </conditionalFormatting>
  <conditionalFormatting sqref="D12:G12 J12">
    <cfRule type="expression" dxfId="52" priority="31">
      <formula>$C$12="Low"</formula>
    </cfRule>
  </conditionalFormatting>
  <conditionalFormatting sqref="D13:G13 J13">
    <cfRule type="expression" dxfId="51" priority="30">
      <formula>$C$13="Low"</formula>
    </cfRule>
  </conditionalFormatting>
  <conditionalFormatting sqref="D14:G14 J14">
    <cfRule type="expression" dxfId="50" priority="29">
      <formula>$C$14="Low"</formula>
    </cfRule>
  </conditionalFormatting>
  <conditionalFormatting sqref="D16:G16 J16">
    <cfRule type="expression" dxfId="49" priority="27">
      <formula>$C$16="Low"</formula>
    </cfRule>
  </conditionalFormatting>
  <conditionalFormatting sqref="D17:G17 J17">
    <cfRule type="expression" dxfId="48" priority="26">
      <formula>$C$17="Low"</formula>
    </cfRule>
  </conditionalFormatting>
  <conditionalFormatting sqref="D19:G19 J20">
    <cfRule type="expression" dxfId="47" priority="24">
      <formula>$C$19="Low"</formula>
    </cfRule>
  </conditionalFormatting>
  <conditionalFormatting sqref="D21:G21 J21">
    <cfRule type="expression" dxfId="46" priority="22">
      <formula>$C$21="Low"</formula>
    </cfRule>
  </conditionalFormatting>
  <conditionalFormatting sqref="D15:J15">
    <cfRule type="expression" dxfId="45" priority="28">
      <formula>$C$15="Low"</formula>
    </cfRule>
  </conditionalFormatting>
  <conditionalFormatting sqref="D18:J18">
    <cfRule type="expression" dxfId="44" priority="25">
      <formula>$C$18="Low"</formula>
    </cfRule>
  </conditionalFormatting>
  <conditionalFormatting sqref="D20:J20">
    <cfRule type="expression" dxfId="43" priority="23">
      <formula>$C$20="Low"</formula>
    </cfRule>
  </conditionalFormatting>
  <conditionalFormatting sqref="D22:J22">
    <cfRule type="expression" dxfId="42" priority="21">
      <formula>$C$22="Low"</formula>
    </cfRule>
  </conditionalFormatting>
  <conditionalFormatting sqref="G6">
    <cfRule type="expression" dxfId="41" priority="17">
      <formula>$C$7="Low"</formula>
    </cfRule>
  </conditionalFormatting>
  <conditionalFormatting sqref="H17">
    <cfRule type="expression" dxfId="40" priority="6">
      <formula>$C$6="Low"</formula>
    </cfRule>
  </conditionalFormatting>
  <conditionalFormatting sqref="H19">
    <cfRule type="expression" dxfId="39" priority="5">
      <formula>$C$6="Low"</formula>
    </cfRule>
  </conditionalFormatting>
  <conditionalFormatting sqref="H21">
    <cfRule type="expression" dxfId="38" priority="4">
      <formula>$C$6="Low"</formula>
    </cfRule>
  </conditionalFormatting>
  <conditionalFormatting sqref="H24 H26:H34">
    <cfRule type="expression" dxfId="37" priority="3">
      <formula>$C$6="Low"</formula>
    </cfRule>
  </conditionalFormatting>
  <conditionalFormatting sqref="H7:I7 H8 H9:I10">
    <cfRule type="expression" dxfId="36" priority="14">
      <formula>$C$6="Low"</formula>
    </cfRule>
  </conditionalFormatting>
  <conditionalFormatting sqref="H12:I14">
    <cfRule type="expression" dxfId="35" priority="7">
      <formula>$C$6="Low"</formula>
    </cfRule>
  </conditionalFormatting>
  <conditionalFormatting sqref="I16">
    <cfRule type="expression" dxfId="34" priority="1">
      <formula>$C$6="Low"</formula>
    </cfRule>
  </conditionalFormatting>
  <conditionalFormatting sqref="I17">
    <cfRule type="expression" dxfId="33" priority="11">
      <formula>$C$16="Low"</formula>
    </cfRule>
  </conditionalFormatting>
  <conditionalFormatting sqref="I19">
    <cfRule type="expression" dxfId="32" priority="10">
      <formula>$C$16="Low"</formula>
    </cfRule>
  </conditionalFormatting>
  <conditionalFormatting sqref="I21">
    <cfRule type="expression" dxfId="31" priority="9">
      <formula>$C$16="Low"</formula>
    </cfRule>
  </conditionalFormatting>
  <conditionalFormatting sqref="I24:I32 I34">
    <cfRule type="expression" dxfId="30" priority="8">
      <formula>$C$16="Low"</formula>
    </cfRule>
  </conditionalFormatting>
  <conditionalFormatting sqref="J19">
    <cfRule type="expression" dxfId="29" priority="2">
      <formula>$C$17="Low"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7"/>
  <sheetViews>
    <sheetView showGridLines="0" topLeftCell="A55" zoomScale="78" zoomScaleNormal="78" workbookViewId="0">
      <selection activeCell="D38" sqref="D38"/>
    </sheetView>
  </sheetViews>
  <sheetFormatPr defaultColWidth="11.42578125" defaultRowHeight="12.95" outlineLevelCol="1"/>
  <cols>
    <col min="1" max="1" width="24.28515625" bestFit="1" customWidth="1"/>
    <col min="2" max="2" width="11.42578125" customWidth="1" outlineLevel="1"/>
    <col min="3" max="3" width="32.140625" customWidth="1" outlineLevel="1"/>
    <col min="4" max="4" width="20" customWidth="1" outlineLevel="1"/>
    <col min="5" max="5" width="24" customWidth="1"/>
    <col min="6" max="6" width="27.140625" customWidth="1"/>
    <col min="7" max="7" width="14.140625" style="2" customWidth="1"/>
    <col min="8" max="8" width="12.28515625" style="2" customWidth="1"/>
    <col min="9" max="11" width="11.140625" style="2" customWidth="1"/>
    <col min="12" max="12" width="19" style="2" customWidth="1"/>
    <col min="13" max="14" width="24.28515625" style="2" bestFit="1" customWidth="1"/>
    <col min="15" max="15" width="23.140625" style="2" bestFit="1" customWidth="1"/>
    <col min="16" max="25" width="24.28515625" style="2" bestFit="1" customWidth="1"/>
    <col min="26" max="28" width="23.140625" style="2" bestFit="1" customWidth="1"/>
    <col min="29" max="30" width="24.28515625" style="2" bestFit="1" customWidth="1"/>
    <col min="31" max="32" width="23.140625" style="2" bestFit="1" customWidth="1"/>
    <col min="33" max="33" width="14.42578125" customWidth="1"/>
  </cols>
  <sheetData>
    <row r="1" spans="1:40" ht="21" customHeight="1">
      <c r="A1" s="1098" t="s">
        <v>366</v>
      </c>
      <c r="B1" s="1098"/>
      <c r="C1" s="1098"/>
      <c r="D1" s="1098"/>
      <c r="E1" s="1098"/>
      <c r="F1" s="1098"/>
      <c r="G1" s="1098"/>
      <c r="H1" s="1098"/>
      <c r="I1" s="1098"/>
      <c r="J1" s="1098"/>
      <c r="K1" s="1098"/>
      <c r="L1" s="1098"/>
      <c r="M1" s="1098"/>
      <c r="N1" s="1098"/>
      <c r="O1" s="1098"/>
      <c r="P1" s="1098"/>
      <c r="Q1" s="1098"/>
      <c r="R1" s="1098"/>
      <c r="S1" s="1098"/>
      <c r="T1" s="1098"/>
      <c r="U1" s="1098"/>
      <c r="V1" s="1098"/>
      <c r="W1" s="1098"/>
      <c r="X1" s="1098"/>
      <c r="Y1" s="1098"/>
      <c r="Z1" s="1098"/>
      <c r="AA1" s="1098"/>
      <c r="AB1" s="1098"/>
      <c r="AC1" s="1098"/>
      <c r="AD1" s="1098"/>
      <c r="AE1" s="1098"/>
      <c r="AF1" s="1098"/>
      <c r="AG1" s="11"/>
      <c r="AH1" s="11"/>
      <c r="AI1" s="11"/>
      <c r="AJ1" s="11"/>
      <c r="AK1" s="11"/>
      <c r="AL1" s="11"/>
      <c r="AM1" s="11"/>
      <c r="AN1" s="11"/>
    </row>
    <row r="2" spans="1:40" ht="3.75" customHeight="1" thickBot="1">
      <c r="A2" s="1099"/>
      <c r="B2" s="1099"/>
      <c r="C2" s="1099"/>
      <c r="D2" s="1099"/>
      <c r="E2" s="1099"/>
      <c r="F2" s="1099"/>
      <c r="G2" s="1099"/>
      <c r="H2" s="1099"/>
      <c r="I2" s="1099"/>
      <c r="J2" s="1099"/>
      <c r="K2" s="1099"/>
      <c r="L2" s="1099"/>
      <c r="M2" s="1099"/>
      <c r="N2" s="1099"/>
      <c r="O2" s="1099"/>
      <c r="P2" s="1099"/>
      <c r="Q2" s="1099"/>
      <c r="R2" s="1099"/>
      <c r="S2" s="1099"/>
      <c r="T2" s="1099"/>
      <c r="U2" s="1099"/>
      <c r="V2" s="1099"/>
      <c r="W2" s="1099"/>
      <c r="X2" s="1099"/>
      <c r="Y2" s="1099"/>
      <c r="Z2" s="1099"/>
      <c r="AA2" s="1099"/>
      <c r="AB2" s="1099"/>
      <c r="AC2" s="1099"/>
      <c r="AD2" s="1099"/>
      <c r="AE2" s="1099"/>
      <c r="AF2" s="1099"/>
      <c r="AG2" s="585"/>
      <c r="AH2" s="11"/>
      <c r="AI2" s="11"/>
      <c r="AJ2" s="11"/>
      <c r="AK2" s="11"/>
      <c r="AL2" s="11"/>
      <c r="AM2" s="11"/>
      <c r="AN2" s="11"/>
    </row>
    <row r="3" spans="1:40" ht="20.100000000000001" thickBot="1">
      <c r="A3" s="282"/>
      <c r="B3" s="282"/>
      <c r="C3" s="282"/>
      <c r="D3" s="282"/>
      <c r="E3" s="282"/>
      <c r="F3" s="282"/>
      <c r="G3" s="1107" t="s">
        <v>367</v>
      </c>
      <c r="H3" s="1108"/>
      <c r="I3" s="1108"/>
      <c r="J3" s="1108"/>
      <c r="K3" s="1107" t="s">
        <v>368</v>
      </c>
      <c r="L3" s="1108"/>
      <c r="M3" s="1108"/>
      <c r="N3" s="1108"/>
      <c r="O3" s="1108"/>
      <c r="P3" s="1108"/>
      <c r="Q3" s="1108"/>
      <c r="R3" s="1108"/>
      <c r="S3" s="1108"/>
      <c r="T3" s="1108"/>
      <c r="U3" s="1108"/>
      <c r="V3" s="1108"/>
      <c r="W3" s="1108"/>
      <c r="X3" s="1108"/>
      <c r="Y3" s="1108"/>
      <c r="Z3" s="1108"/>
      <c r="AA3" s="1108"/>
      <c r="AB3" s="1108"/>
      <c r="AC3" s="1108"/>
      <c r="AD3" s="1108"/>
      <c r="AE3" s="1108"/>
      <c r="AF3" s="1109"/>
      <c r="AG3" s="585"/>
      <c r="AH3" s="11"/>
      <c r="AI3" s="11"/>
      <c r="AJ3" s="11"/>
      <c r="AK3" s="11"/>
      <c r="AL3" s="11"/>
      <c r="AM3" s="11"/>
      <c r="AN3" s="11"/>
    </row>
    <row r="4" spans="1:40" ht="15.95" thickBot="1">
      <c r="A4" s="311" t="s">
        <v>369</v>
      </c>
      <c r="B4" s="314" t="s">
        <v>370</v>
      </c>
      <c r="C4" s="315" t="s">
        <v>371</v>
      </c>
      <c r="D4" s="324" t="s">
        <v>372</v>
      </c>
      <c r="E4" s="324" t="s">
        <v>373</v>
      </c>
      <c r="F4" s="325" t="s">
        <v>374</v>
      </c>
      <c r="G4" s="324">
        <v>2023</v>
      </c>
      <c r="H4" s="324">
        <f>G4+1</f>
        <v>2024</v>
      </c>
      <c r="I4" s="324">
        <f t="shared" ref="I4:AF4" si="0">H4+1</f>
        <v>2025</v>
      </c>
      <c r="J4" s="325">
        <f t="shared" si="0"/>
        <v>2026</v>
      </c>
      <c r="K4" s="326">
        <f t="shared" si="0"/>
        <v>2027</v>
      </c>
      <c r="L4" s="326">
        <f t="shared" si="0"/>
        <v>2028</v>
      </c>
      <c r="M4" s="326">
        <f t="shared" si="0"/>
        <v>2029</v>
      </c>
      <c r="N4" s="326">
        <f t="shared" si="0"/>
        <v>2030</v>
      </c>
      <c r="O4" s="326">
        <f t="shared" si="0"/>
        <v>2031</v>
      </c>
      <c r="P4" s="326">
        <f t="shared" si="0"/>
        <v>2032</v>
      </c>
      <c r="Q4" s="326">
        <f t="shared" si="0"/>
        <v>2033</v>
      </c>
      <c r="R4" s="326">
        <f t="shared" si="0"/>
        <v>2034</v>
      </c>
      <c r="S4" s="326">
        <f t="shared" si="0"/>
        <v>2035</v>
      </c>
      <c r="T4" s="326">
        <f t="shared" si="0"/>
        <v>2036</v>
      </c>
      <c r="U4" s="326">
        <f t="shared" si="0"/>
        <v>2037</v>
      </c>
      <c r="V4" s="326">
        <f t="shared" si="0"/>
        <v>2038</v>
      </c>
      <c r="W4" s="326">
        <f t="shared" si="0"/>
        <v>2039</v>
      </c>
      <c r="X4" s="326">
        <f t="shared" si="0"/>
        <v>2040</v>
      </c>
      <c r="Y4" s="326">
        <f t="shared" si="0"/>
        <v>2041</v>
      </c>
      <c r="Z4" s="326">
        <f t="shared" si="0"/>
        <v>2042</v>
      </c>
      <c r="AA4" s="326">
        <f t="shared" si="0"/>
        <v>2043</v>
      </c>
      <c r="AB4" s="326">
        <f t="shared" si="0"/>
        <v>2044</v>
      </c>
      <c r="AC4" s="326">
        <f t="shared" si="0"/>
        <v>2045</v>
      </c>
      <c r="AD4" s="326">
        <f t="shared" si="0"/>
        <v>2046</v>
      </c>
      <c r="AE4" s="326">
        <f t="shared" si="0"/>
        <v>2047</v>
      </c>
      <c r="AF4" s="327">
        <f t="shared" si="0"/>
        <v>2048</v>
      </c>
      <c r="AG4" s="585"/>
      <c r="AH4" s="11"/>
      <c r="AI4" s="11"/>
      <c r="AJ4" s="11"/>
      <c r="AK4" s="11"/>
      <c r="AL4" s="11"/>
      <c r="AM4" s="11"/>
      <c r="AN4" s="11"/>
    </row>
    <row r="5" spans="1:40">
      <c r="A5" s="1103" t="s">
        <v>375</v>
      </c>
      <c r="B5" s="316">
        <v>1</v>
      </c>
      <c r="C5" s="322" t="s">
        <v>376</v>
      </c>
      <c r="D5" s="332">
        <f>'Fin. Data'!D6</f>
        <v>-0.14315384615384619</v>
      </c>
      <c r="E5" s="336">
        <f t="shared" ref="E5:F5" si="1">+E6/D6-1</f>
        <v>0.56701678786246523</v>
      </c>
      <c r="F5" s="378">
        <f t="shared" si="1"/>
        <v>0.8262389000286452</v>
      </c>
      <c r="G5" s="393">
        <v>0.25</v>
      </c>
      <c r="H5" s="394">
        <v>0.2</v>
      </c>
      <c r="I5" s="394">
        <v>0.15</v>
      </c>
      <c r="J5" s="395">
        <v>0.15</v>
      </c>
      <c r="K5" s="393">
        <v>0.1</v>
      </c>
      <c r="L5" s="393">
        <v>0.09</v>
      </c>
      <c r="M5" s="393">
        <v>0.09</v>
      </c>
      <c r="N5" s="393">
        <v>0.08</v>
      </c>
      <c r="O5" s="393">
        <v>0.08</v>
      </c>
      <c r="P5" s="393">
        <v>7.0000000000000007E-2</v>
      </c>
      <c r="Q5" s="393">
        <v>7.0000000000000007E-2</v>
      </c>
      <c r="R5" s="393">
        <v>0.06</v>
      </c>
      <c r="S5" s="393">
        <v>0.05</v>
      </c>
      <c r="T5" s="393">
        <v>0.05</v>
      </c>
      <c r="U5" s="393">
        <v>0.05</v>
      </c>
      <c r="V5" s="393">
        <v>0.05</v>
      </c>
      <c r="W5" s="393">
        <v>0.05</v>
      </c>
      <c r="X5" s="393">
        <v>0.05</v>
      </c>
      <c r="Y5" s="393">
        <f>+X5-0.005</f>
        <v>4.5000000000000005E-2</v>
      </c>
      <c r="Z5" s="393">
        <f t="shared" ref="Z5:AF5" si="2">+Y5-0.005</f>
        <v>4.0000000000000008E-2</v>
      </c>
      <c r="AA5" s="393">
        <f t="shared" si="2"/>
        <v>3.500000000000001E-2</v>
      </c>
      <c r="AB5" s="393">
        <f t="shared" si="2"/>
        <v>3.0000000000000009E-2</v>
      </c>
      <c r="AC5" s="393">
        <f t="shared" si="2"/>
        <v>2.5000000000000008E-2</v>
      </c>
      <c r="AD5" s="393">
        <f t="shared" si="2"/>
        <v>2.0000000000000007E-2</v>
      </c>
      <c r="AE5" s="393">
        <f t="shared" si="2"/>
        <v>1.5000000000000006E-2</v>
      </c>
      <c r="AF5" s="393">
        <f t="shared" si="2"/>
        <v>1.0000000000000005E-2</v>
      </c>
      <c r="AG5" s="464"/>
      <c r="AH5" s="11"/>
      <c r="AI5" s="11"/>
      <c r="AJ5" s="11"/>
      <c r="AK5" s="11"/>
      <c r="AL5" s="11"/>
      <c r="AM5" s="11"/>
      <c r="AN5" s="11"/>
    </row>
    <row r="6" spans="1:40" ht="15">
      <c r="A6" s="1103"/>
      <c r="B6" s="316">
        <v>2</v>
      </c>
      <c r="C6" s="310" t="s">
        <v>377</v>
      </c>
      <c r="D6" s="337">
        <f>+Inputs!D6</f>
        <v>11139</v>
      </c>
      <c r="E6" s="333">
        <f>+Inputs!C6</f>
        <v>17455</v>
      </c>
      <c r="F6" s="379">
        <f>+Inputs!B6</f>
        <v>31877</v>
      </c>
      <c r="G6" s="386">
        <f>+F6*(1+G5)</f>
        <v>39846.25</v>
      </c>
      <c r="H6" s="386">
        <f t="shared" ref="H6:AF6" si="3">+G6*(1+H5)</f>
        <v>47815.5</v>
      </c>
      <c r="I6" s="386">
        <f t="shared" si="3"/>
        <v>54987.824999999997</v>
      </c>
      <c r="J6" s="386">
        <f t="shared" si="3"/>
        <v>63235.998749999992</v>
      </c>
      <c r="K6" s="386">
        <f t="shared" si="3"/>
        <v>69559.598624999999</v>
      </c>
      <c r="L6" s="386">
        <f t="shared" si="3"/>
        <v>75819.962501250004</v>
      </c>
      <c r="M6" s="386">
        <f t="shared" si="3"/>
        <v>82643.759126362507</v>
      </c>
      <c r="N6" s="386">
        <f t="shared" si="3"/>
        <v>89255.259856471515</v>
      </c>
      <c r="O6" s="386">
        <f t="shared" si="3"/>
        <v>96395.680644989247</v>
      </c>
      <c r="P6" s="386">
        <f t="shared" si="3"/>
        <v>103143.3782901385</v>
      </c>
      <c r="Q6" s="386">
        <f>+P6*(1+Q5)</f>
        <v>110363.4147704482</v>
      </c>
      <c r="R6" s="386">
        <f>+Q6*(1+R5)</f>
        <v>116985.21965667509</v>
      </c>
      <c r="S6" s="386">
        <f t="shared" si="3"/>
        <v>122834.48063950885</v>
      </c>
      <c r="T6" s="386">
        <f t="shared" si="3"/>
        <v>128976.2046714843</v>
      </c>
      <c r="U6" s="386">
        <f t="shared" si="3"/>
        <v>135425.01490505852</v>
      </c>
      <c r="V6" s="386">
        <f t="shared" si="3"/>
        <v>142196.26565031146</v>
      </c>
      <c r="W6" s="386">
        <f t="shared" si="3"/>
        <v>149306.07893282705</v>
      </c>
      <c r="X6" s="386">
        <f t="shared" si="3"/>
        <v>156771.38287946841</v>
      </c>
      <c r="Y6" s="386">
        <f t="shared" si="3"/>
        <v>163826.09510904449</v>
      </c>
      <c r="Z6" s="386">
        <f t="shared" si="3"/>
        <v>170379.13891340626</v>
      </c>
      <c r="AA6" s="386">
        <f t="shared" si="3"/>
        <v>176342.40877537546</v>
      </c>
      <c r="AB6" s="386">
        <f t="shared" si="3"/>
        <v>181632.68103863671</v>
      </c>
      <c r="AC6" s="386">
        <f t="shared" si="3"/>
        <v>186173.49806460261</v>
      </c>
      <c r="AD6" s="386">
        <f t="shared" si="3"/>
        <v>189896.96802589466</v>
      </c>
      <c r="AE6" s="386">
        <f t="shared" si="3"/>
        <v>192745.42254628305</v>
      </c>
      <c r="AF6" s="386">
        <f t="shared" si="3"/>
        <v>194672.87677174588</v>
      </c>
      <c r="AG6" s="586"/>
      <c r="AH6" s="11"/>
      <c r="AI6" s="11"/>
      <c r="AJ6" s="11"/>
      <c r="AK6" s="11"/>
      <c r="AL6" s="11"/>
      <c r="AM6" s="11"/>
      <c r="AN6" s="11"/>
    </row>
    <row r="7" spans="1:40">
      <c r="A7" s="1103"/>
      <c r="B7" s="316">
        <v>3</v>
      </c>
      <c r="C7" s="106" t="s">
        <v>125</v>
      </c>
      <c r="D7" s="374">
        <f>D8/D6</f>
        <v>-0.43657419876110959</v>
      </c>
      <c r="E7" s="371">
        <f>E8/E6</f>
        <v>-0.2196505299341163</v>
      </c>
      <c r="F7" s="380">
        <f>F8/F6</f>
        <v>-5.7470903786429085E-2</v>
      </c>
      <c r="G7" s="396">
        <v>-3.5999999999999997E-2</v>
      </c>
      <c r="H7" s="396">
        <f>+_xlfn.FORECAST.LINEAR(H4,'Fin. Data'!$B$12:$H$12,'Fin. Data'!$B$4:$H$4)</f>
        <v>-1.3318979719599611E-2</v>
      </c>
      <c r="I7" s="396">
        <v>0.02</v>
      </c>
      <c r="J7" s="396">
        <v>0.04</v>
      </c>
      <c r="K7" s="396">
        <v>0.06</v>
      </c>
      <c r="L7" s="396">
        <v>0.08</v>
      </c>
      <c r="M7" s="396">
        <v>0.09</v>
      </c>
      <c r="N7" s="396">
        <v>0.1</v>
      </c>
      <c r="O7" s="396">
        <v>0.11</v>
      </c>
      <c r="P7" s="396">
        <v>0.12</v>
      </c>
      <c r="Q7" s="396">
        <v>0.13</v>
      </c>
      <c r="R7" s="396">
        <v>0.14000000000000001</v>
      </c>
      <c r="S7" s="396">
        <v>0.14000000000000001</v>
      </c>
      <c r="T7" s="396">
        <v>0.14000000000000001</v>
      </c>
      <c r="U7" s="396">
        <v>0.14000000000000001</v>
      </c>
      <c r="V7" s="396">
        <v>0.13</v>
      </c>
      <c r="W7" s="396">
        <v>0.12</v>
      </c>
      <c r="X7" s="396">
        <v>0.11</v>
      </c>
      <c r="Y7" s="396">
        <v>0.1</v>
      </c>
      <c r="Z7" s="396">
        <v>0.1</v>
      </c>
      <c r="AA7" s="396">
        <v>0.1</v>
      </c>
      <c r="AB7" s="396">
        <v>0.1</v>
      </c>
      <c r="AC7" s="396">
        <v>0.1</v>
      </c>
      <c r="AD7" s="396">
        <v>0.1</v>
      </c>
      <c r="AE7" s="396">
        <v>0.1</v>
      </c>
      <c r="AF7" s="396">
        <v>0.1</v>
      </c>
      <c r="AG7" s="464"/>
      <c r="AH7" s="11"/>
      <c r="AI7" s="11"/>
      <c r="AJ7" s="11"/>
      <c r="AK7" s="11"/>
      <c r="AL7" s="11"/>
      <c r="AM7" s="11"/>
      <c r="AN7" s="11"/>
    </row>
    <row r="8" spans="1:40" ht="15">
      <c r="A8" s="1103"/>
      <c r="B8" s="316">
        <v>4</v>
      </c>
      <c r="C8" s="292" t="s">
        <v>65</v>
      </c>
      <c r="D8" s="375">
        <f>'Fin. Data'!D11</f>
        <v>-4863</v>
      </c>
      <c r="E8" s="372">
        <f>'Fin. Data'!C11</f>
        <v>-3834</v>
      </c>
      <c r="F8" s="381">
        <f>'Fin. Data'!B11</f>
        <v>-1832</v>
      </c>
      <c r="G8" s="386">
        <f>G7*G6</f>
        <v>-1434.4649999999999</v>
      </c>
      <c r="H8" s="384">
        <f t="shared" ref="H8:AF8" si="4">H7*H6</f>
        <v>-636.85367478251521</v>
      </c>
      <c r="I8" s="384">
        <f>I7*I6</f>
        <v>1099.7565</v>
      </c>
      <c r="J8" s="387">
        <f>J7*J6</f>
        <v>2529.4399499999995</v>
      </c>
      <c r="K8" s="386">
        <f>K7*K6</f>
        <v>4173.5759174999994</v>
      </c>
      <c r="L8" s="384">
        <f t="shared" si="4"/>
        <v>6065.5970001000005</v>
      </c>
      <c r="M8" s="384">
        <f>M7*M6</f>
        <v>7437.9383213726251</v>
      </c>
      <c r="N8" s="384">
        <f t="shared" si="4"/>
        <v>8925.5259856471512</v>
      </c>
      <c r="O8" s="384">
        <f t="shared" si="4"/>
        <v>10603.524870948817</v>
      </c>
      <c r="P8" s="384">
        <f t="shared" si="4"/>
        <v>12377.205394816619</v>
      </c>
      <c r="Q8" s="384">
        <f t="shared" si="4"/>
        <v>14347.243920158267</v>
      </c>
      <c r="R8" s="384">
        <f>R7*R6</f>
        <v>16377.930751934515</v>
      </c>
      <c r="S8" s="384">
        <f t="shared" si="4"/>
        <v>17196.82728953124</v>
      </c>
      <c r="T8" s="384">
        <f t="shared" si="4"/>
        <v>18056.668654007804</v>
      </c>
      <c r="U8" s="384">
        <f t="shared" si="4"/>
        <v>18959.502086708195</v>
      </c>
      <c r="V8" s="384">
        <f t="shared" si="4"/>
        <v>18485.514534540489</v>
      </c>
      <c r="W8" s="384">
        <f t="shared" si="4"/>
        <v>17916.729471939245</v>
      </c>
      <c r="X8" s="384">
        <f t="shared" si="4"/>
        <v>17244.852116741524</v>
      </c>
      <c r="Y8" s="384">
        <f t="shared" si="4"/>
        <v>16382.609510904449</v>
      </c>
      <c r="Z8" s="384">
        <f t="shared" si="4"/>
        <v>17037.913891340628</v>
      </c>
      <c r="AA8" s="384">
        <f t="shared" si="4"/>
        <v>17634.240877537548</v>
      </c>
      <c r="AB8" s="384">
        <f t="shared" si="4"/>
        <v>18163.268103863673</v>
      </c>
      <c r="AC8" s="384">
        <f t="shared" si="4"/>
        <v>18617.349806460261</v>
      </c>
      <c r="AD8" s="384">
        <f t="shared" si="4"/>
        <v>18989.696802589468</v>
      </c>
      <c r="AE8" s="384">
        <f t="shared" si="4"/>
        <v>19274.542254628304</v>
      </c>
      <c r="AF8" s="387">
        <f t="shared" si="4"/>
        <v>19467.28767717459</v>
      </c>
      <c r="AG8" s="568"/>
      <c r="AH8" s="7"/>
      <c r="AI8" s="7"/>
      <c r="AJ8" s="7"/>
      <c r="AK8" s="11"/>
      <c r="AL8" s="11"/>
      <c r="AM8" s="11"/>
      <c r="AN8" s="11"/>
    </row>
    <row r="9" spans="1:40" ht="15">
      <c r="A9" s="1103"/>
      <c r="B9" s="316" t="s">
        <v>378</v>
      </c>
      <c r="C9" s="310" t="s">
        <v>379</v>
      </c>
      <c r="D9" s="558">
        <v>420</v>
      </c>
      <c r="E9" s="559">
        <v>463</v>
      </c>
      <c r="F9" s="560">
        <v>424</v>
      </c>
      <c r="G9" s="561">
        <f>+Assumptions!I17</f>
        <v>473.92943790799092</v>
      </c>
      <c r="H9" s="561">
        <f>+Assumptions!J17</f>
        <v>503.13269443783696</v>
      </c>
      <c r="I9" s="561">
        <f>+Assumptions!K17</f>
        <v>536.71643944715993</v>
      </c>
      <c r="J9" s="561">
        <f>+Assumptions!L17</f>
        <v>575.3377462078812</v>
      </c>
      <c r="K9" s="561">
        <f>+Assumptions!M17</f>
        <v>617.82118364467465</v>
      </c>
      <c r="L9" s="561">
        <f>+Assumptions!N17</f>
        <v>598.08771561789888</v>
      </c>
      <c r="M9" s="561">
        <f>+Assumptions!O17</f>
        <v>643.54313316652417</v>
      </c>
      <c r="N9" s="561">
        <f>+Assumptions!P17</f>
        <v>692.63498411903959</v>
      </c>
      <c r="O9" s="561">
        <f>+Assumptions!Q17</f>
        <v>745.65418314775616</v>
      </c>
      <c r="P9" s="561">
        <f>+Assumptions!R17</f>
        <v>802.38472610848282</v>
      </c>
      <c r="Q9" s="561">
        <f>+Assumptions!S17</f>
        <v>1159.4332872115001</v>
      </c>
      <c r="R9" s="561">
        <f>+Assumptions!T17</f>
        <v>1622.4806243819987</v>
      </c>
      <c r="S9" s="561">
        <f>+Assumptions!U17</f>
        <v>2108.6803284110219</v>
      </c>
      <c r="T9" s="561">
        <f>+Assumptions!V17</f>
        <v>2619.190017641497</v>
      </c>
      <c r="U9" s="561">
        <f>+Assumptions!W17</f>
        <v>3155.2251913334953</v>
      </c>
      <c r="V9" s="561">
        <f>+Assumptions!X17</f>
        <v>3718.0621237100941</v>
      </c>
      <c r="W9" s="561">
        <f>+Assumptions!Y17</f>
        <v>4309.040902705523</v>
      </c>
      <c r="X9" s="561">
        <f>+Assumptions!Z17</f>
        <v>4929.5686206507226</v>
      </c>
      <c r="Y9" s="561">
        <f>+Assumptions!AA17</f>
        <v>5578.0200859034567</v>
      </c>
      <c r="Z9" s="561">
        <f>+Assumptions!AB17</f>
        <v>6252.4096097662996</v>
      </c>
      <c r="AA9" s="561">
        <f>+Assumptions!AC17</f>
        <v>6950.4027669643428</v>
      </c>
      <c r="AB9" s="561">
        <f>+Assumptions!AD17</f>
        <v>7669.3357188783266</v>
      </c>
      <c r="AC9" s="561">
        <f>+Assumptions!AE17</f>
        <v>8406.2419945901602</v>
      </c>
      <c r="AD9" s="561">
        <f>+Assumptions!AF17</f>
        <v>9157.8863958162292</v>
      </c>
      <c r="AE9" s="561">
        <f>+Assumptions!AG17</f>
        <v>9920.8054630606912</v>
      </c>
      <c r="AF9" s="561">
        <f>+Assumptions!AH17</f>
        <v>10691.353720977597</v>
      </c>
      <c r="AG9" s="569">
        <f>SUM(D9:AF9)</f>
        <v>95744.379095808195</v>
      </c>
      <c r="AH9" s="7"/>
      <c r="AI9" s="7"/>
      <c r="AJ9" s="7"/>
      <c r="AK9" s="11"/>
      <c r="AL9" s="11"/>
      <c r="AM9" s="11"/>
      <c r="AN9" s="11"/>
    </row>
    <row r="10" spans="1:40" ht="15">
      <c r="A10" s="1103"/>
      <c r="B10" s="316" t="s">
        <v>380</v>
      </c>
      <c r="C10" s="310" t="s">
        <v>381</v>
      </c>
      <c r="D10" s="558">
        <v>155</v>
      </c>
      <c r="E10" s="559">
        <v>439</v>
      </c>
      <c r="F10" s="560">
        <v>523</v>
      </c>
      <c r="G10" s="561">
        <f>+Assumptions!I24</f>
        <v>259.82766861519377</v>
      </c>
      <c r="H10" s="561">
        <f>+Assumptions!J24</f>
        <v>275.8380985509566</v>
      </c>
      <c r="I10" s="561">
        <f>+Assumptions!K24</f>
        <v>294.2500929770838</v>
      </c>
      <c r="J10" s="561">
        <f>+Assumptions!L24</f>
        <v>315.42388656713001</v>
      </c>
      <c r="K10" s="561">
        <f>+Assumptions!M24</f>
        <v>338.71505951618093</v>
      </c>
      <c r="L10" s="561">
        <f>+Assumptions!N24</f>
        <v>364.1024380306464</v>
      </c>
      <c r="M10" s="561">
        <f>+Assumptions!O24</f>
        <v>391.77468061141377</v>
      </c>
      <c r="N10" s="561">
        <f>+Assumptions!P24</f>
        <v>421.66070259864256</v>
      </c>
      <c r="O10" s="561">
        <f>+Assumptions!Q24</f>
        <v>453.93760634484966</v>
      </c>
      <c r="P10" s="561">
        <f>+Assumptions!R24</f>
        <v>488.47389335329115</v>
      </c>
      <c r="Q10" s="561">
        <f>+Assumptions!S24</f>
        <v>783.77510173800727</v>
      </c>
      <c r="R10" s="561">
        <f>+Assumptions!T24</f>
        <v>1096.7943826258065</v>
      </c>
      <c r="S10" s="561">
        <f>+Assumptions!U24</f>
        <v>1425.4646275579958</v>
      </c>
      <c r="T10" s="561">
        <f>+Assumptions!V24</f>
        <v>1770.5683847367943</v>
      </c>
      <c r="U10" s="561">
        <f>+Assumptions!W24</f>
        <v>2132.9273297745331</v>
      </c>
      <c r="V10" s="561">
        <f>+Assumptions!X24</f>
        <v>2513.4042220641586</v>
      </c>
      <c r="W10" s="561">
        <f>+Assumptions!Y24</f>
        <v>2912.9049589682659</v>
      </c>
      <c r="X10" s="561">
        <f>+Assumptions!Z24</f>
        <v>3332.3807327175778</v>
      </c>
      <c r="Y10" s="561">
        <f>+Assumptions!AA24</f>
        <v>3770.7329162856095</v>
      </c>
      <c r="Z10" s="561">
        <f>+Assumptions!AB24</f>
        <v>4226.619187196362</v>
      </c>
      <c r="AA10" s="561">
        <f>+Assumptions!AC24</f>
        <v>4698.4614775889904</v>
      </c>
      <c r="AB10" s="561">
        <f>+Assumptions!AD24</f>
        <v>5184.459036693398</v>
      </c>
      <c r="AC10" s="561">
        <f>+Assumptions!AE24</f>
        <v>5682.6065347754165</v>
      </c>
      <c r="AD10" s="561">
        <f>+Assumptions!AF24</f>
        <v>6190.7169828190745</v>
      </c>
      <c r="AE10" s="561">
        <f>+Assumptions!AG24</f>
        <v>6706.4490875833872</v>
      </c>
      <c r="AF10" s="561">
        <f>+Assumptions!AH24</f>
        <v>7227.3385133953434</v>
      </c>
      <c r="AG10" s="568"/>
      <c r="AH10" s="7"/>
      <c r="AI10" s="7"/>
      <c r="AJ10" s="7"/>
      <c r="AK10" s="11"/>
      <c r="AL10" s="11"/>
      <c r="AM10" s="11"/>
      <c r="AN10" s="11"/>
    </row>
    <row r="11" spans="1:40" ht="15">
      <c r="A11" s="1103"/>
      <c r="B11" s="316" t="s">
        <v>382</v>
      </c>
      <c r="C11" s="310" t="s">
        <v>383</v>
      </c>
      <c r="D11" s="558">
        <f>D20</f>
        <v>827</v>
      </c>
      <c r="E11" s="559">
        <f>E20</f>
        <v>1168</v>
      </c>
      <c r="F11" s="560">
        <f>F20</f>
        <v>1793</v>
      </c>
      <c r="G11" s="561">
        <f>G6*$D$55</f>
        <v>2621.9632569300607</v>
      </c>
      <c r="H11" s="563">
        <f t="shared" ref="H11:AF11" si="5">H6*$D$55</f>
        <v>3146.3559083160731</v>
      </c>
      <c r="I11" s="563">
        <f t="shared" si="5"/>
        <v>3618.3092945634835</v>
      </c>
      <c r="J11" s="564">
        <f t="shared" si="5"/>
        <v>4161.0556887480061</v>
      </c>
      <c r="K11" s="561">
        <f>K6*$D$55</f>
        <v>4577.1612576228072</v>
      </c>
      <c r="L11" s="758">
        <f t="shared" si="5"/>
        <v>4989.1057708088601</v>
      </c>
      <c r="M11" s="561">
        <f t="shared" si="5"/>
        <v>5438.1252901816579</v>
      </c>
      <c r="N11" s="561">
        <f t="shared" si="5"/>
        <v>5873.1753133961911</v>
      </c>
      <c r="O11" s="561">
        <f t="shared" si="5"/>
        <v>6343.0293384678871</v>
      </c>
      <c r="P11" s="561">
        <f t="shared" si="5"/>
        <v>6787.0413921606387</v>
      </c>
      <c r="Q11" s="561">
        <f t="shared" si="5"/>
        <v>7262.134289611884</v>
      </c>
      <c r="R11" s="561">
        <f t="shared" si="5"/>
        <v>7697.862346988597</v>
      </c>
      <c r="S11" s="561">
        <f t="shared" si="5"/>
        <v>8082.7554643380272</v>
      </c>
      <c r="T11" s="561">
        <f t="shared" si="5"/>
        <v>8486.8932375549302</v>
      </c>
      <c r="U11" s="561">
        <f t="shared" si="5"/>
        <v>8911.2378994326755</v>
      </c>
      <c r="V11" s="561">
        <f t="shared" si="5"/>
        <v>9356.7997944043109</v>
      </c>
      <c r="W11" s="561">
        <f t="shared" si="5"/>
        <v>9824.6397841245271</v>
      </c>
      <c r="X11" s="561">
        <f t="shared" si="5"/>
        <v>10315.871773330755</v>
      </c>
      <c r="Y11" s="561">
        <f t="shared" si="5"/>
        <v>10780.086003130638</v>
      </c>
      <c r="Z11" s="561">
        <f t="shared" si="5"/>
        <v>11211.289443255864</v>
      </c>
      <c r="AA11" s="561">
        <f t="shared" si="5"/>
        <v>11603.684573769817</v>
      </c>
      <c r="AB11" s="561">
        <f t="shared" si="5"/>
        <v>11951.795110982912</v>
      </c>
      <c r="AC11" s="561">
        <f t="shared" si="5"/>
        <v>12250.589988757481</v>
      </c>
      <c r="AD11" s="561">
        <f t="shared" si="5"/>
        <v>12495.601788532633</v>
      </c>
      <c r="AE11" s="561">
        <f t="shared" si="5"/>
        <v>12683.035815360619</v>
      </c>
      <c r="AF11" s="561">
        <f t="shared" si="5"/>
        <v>12809.866173514225</v>
      </c>
      <c r="AG11" s="568"/>
      <c r="AH11" s="7"/>
      <c r="AI11" s="7"/>
      <c r="AJ11" s="7"/>
      <c r="AK11" s="11"/>
      <c r="AL11" s="11"/>
      <c r="AM11" s="11"/>
      <c r="AN11" s="11"/>
    </row>
    <row r="12" spans="1:40" ht="15">
      <c r="A12" s="1103"/>
      <c r="B12" s="316">
        <v>6</v>
      </c>
      <c r="C12" s="292" t="s">
        <v>384</v>
      </c>
      <c r="D12" s="375">
        <f>D8-D9-D10</f>
        <v>-5438</v>
      </c>
      <c r="E12" s="344">
        <f t="shared" ref="E12:AF12" si="6">E8-E9-E10</f>
        <v>-4736</v>
      </c>
      <c r="F12" s="381">
        <f>F8-F9-F10</f>
        <v>-2779</v>
      </c>
      <c r="G12" s="397">
        <f>G8-G9-G10</f>
        <v>-2168.2221065231847</v>
      </c>
      <c r="H12" s="398">
        <f t="shared" si="6"/>
        <v>-1415.8244677713087</v>
      </c>
      <c r="I12" s="398">
        <f t="shared" si="6"/>
        <v>268.78996757575624</v>
      </c>
      <c r="J12" s="399">
        <f t="shared" si="6"/>
        <v>1638.6783172249884</v>
      </c>
      <c r="K12" s="760">
        <f>K8-K9-K10</f>
        <v>3217.0396743391439</v>
      </c>
      <c r="L12" s="762">
        <f t="shared" si="6"/>
        <v>5103.4068464514557</v>
      </c>
      <c r="M12" s="763">
        <f t="shared" si="6"/>
        <v>6402.6205075946873</v>
      </c>
      <c r="N12" s="398">
        <f t="shared" si="6"/>
        <v>7811.2302989294685</v>
      </c>
      <c r="O12" s="398">
        <f t="shared" si="6"/>
        <v>9403.9330814562109</v>
      </c>
      <c r="P12" s="398">
        <f t="shared" si="6"/>
        <v>11086.346775354845</v>
      </c>
      <c r="Q12" s="398">
        <f t="shared" si="6"/>
        <v>12404.035531208759</v>
      </c>
      <c r="R12" s="398">
        <f t="shared" si="6"/>
        <v>13658.655744926709</v>
      </c>
      <c r="S12" s="398">
        <f t="shared" si="6"/>
        <v>13662.682333562223</v>
      </c>
      <c r="T12" s="398">
        <f t="shared" si="6"/>
        <v>13666.910251629513</v>
      </c>
      <c r="U12" s="398">
        <f t="shared" si="6"/>
        <v>13671.349565600167</v>
      </c>
      <c r="V12" s="398">
        <f t="shared" si="6"/>
        <v>12254.048188766237</v>
      </c>
      <c r="W12" s="398">
        <f t="shared" si="6"/>
        <v>10694.783610265456</v>
      </c>
      <c r="X12" s="398">
        <f t="shared" si="6"/>
        <v>8982.9027633732221</v>
      </c>
      <c r="Y12" s="398">
        <f t="shared" si="6"/>
        <v>7033.856508715382</v>
      </c>
      <c r="Z12" s="398">
        <f t="shared" si="6"/>
        <v>6558.8850943779671</v>
      </c>
      <c r="AA12" s="398">
        <f t="shared" si="6"/>
        <v>5985.3766329842138</v>
      </c>
      <c r="AB12" s="398">
        <f t="shared" si="6"/>
        <v>5309.4733482919482</v>
      </c>
      <c r="AC12" s="398">
        <f t="shared" si="6"/>
        <v>4528.5012770946842</v>
      </c>
      <c r="AD12" s="398">
        <f t="shared" si="6"/>
        <v>3641.0934239541639</v>
      </c>
      <c r="AE12" s="398">
        <f t="shared" si="6"/>
        <v>2647.287703984226</v>
      </c>
      <c r="AF12" s="399">
        <f t="shared" si="6"/>
        <v>1548.5954428016503</v>
      </c>
      <c r="AG12" s="364"/>
      <c r="AH12" s="7"/>
      <c r="AI12" s="7"/>
      <c r="AJ12" s="7"/>
      <c r="AK12" s="11"/>
      <c r="AL12" s="11"/>
      <c r="AM12" s="11"/>
      <c r="AN12" s="11"/>
    </row>
    <row r="13" spans="1:40" ht="15">
      <c r="A13" s="1103"/>
      <c r="B13" s="316">
        <v>7</v>
      </c>
      <c r="C13" s="310" t="s">
        <v>385</v>
      </c>
      <c r="D13" s="555">
        <f>'Fin. Data'!D14</f>
        <v>-403</v>
      </c>
      <c r="E13" s="556">
        <f>'Fin. Data'!C14</f>
        <v>-446</v>
      </c>
      <c r="F13" s="557">
        <f>'Fin. Data'!B14</f>
        <v>-426</v>
      </c>
      <c r="G13" s="562">
        <f>-F44*$D$57</f>
        <v>0</v>
      </c>
      <c r="H13" s="562">
        <f t="shared" ref="H13:M13" si="7">-G44*$D$57</f>
        <v>0</v>
      </c>
      <c r="I13" s="562">
        <f t="shared" si="7"/>
        <v>0</v>
      </c>
      <c r="J13" s="756">
        <f t="shared" si="7"/>
        <v>0</v>
      </c>
      <c r="K13" s="764">
        <f t="shared" si="7"/>
        <v>0</v>
      </c>
      <c r="L13" s="765">
        <f t="shared" si="7"/>
        <v>0</v>
      </c>
      <c r="M13" s="761">
        <f t="shared" si="7"/>
        <v>0</v>
      </c>
      <c r="N13" s="562">
        <f>-M44*$E$57</f>
        <v>-885.43804691490413</v>
      </c>
      <c r="O13" s="562">
        <f t="shared" ref="O13:AF13" si="8">-N44*$E$57</f>
        <v>-952.98804929737946</v>
      </c>
      <c r="P13" s="562">
        <f t="shared" si="8"/>
        <v>-1025.0180245326176</v>
      </c>
      <c r="Q13" s="562">
        <f t="shared" si="8"/>
        <v>-1101.7424390942626</v>
      </c>
      <c r="R13" s="562">
        <f t="shared" si="8"/>
        <v>-1154.7855980259608</v>
      </c>
      <c r="S13" s="562">
        <f t="shared" si="8"/>
        <v>-1208.7495475933415</v>
      </c>
      <c r="T13" s="562">
        <f t="shared" si="8"/>
        <v>-1263.5353967582066</v>
      </c>
      <c r="U13" s="562">
        <f t="shared" si="8"/>
        <v>-1319.0300010962485</v>
      </c>
      <c r="V13" s="562">
        <f t="shared" si="8"/>
        <v>-1375.1047130811069</v>
      </c>
      <c r="W13" s="562">
        <f t="shared" si="8"/>
        <v>-1472.5172989044952</v>
      </c>
      <c r="X13" s="562">
        <f t="shared" si="8"/>
        <v>-1575.9468080258259</v>
      </c>
      <c r="Y13" s="562">
        <f t="shared" si="8"/>
        <v>-1685.7399383702673</v>
      </c>
      <c r="Z13" s="562">
        <f t="shared" si="8"/>
        <v>-1802.2625568296569</v>
      </c>
      <c r="AA13" s="562">
        <f t="shared" si="8"/>
        <v>-1925.9007310736508</v>
      </c>
      <c r="AB13" s="562">
        <f t="shared" si="8"/>
        <v>-2057.0618158859447</v>
      </c>
      <c r="AC13" s="562">
        <f t="shared" si="8"/>
        <v>-2196.1755968691969</v>
      </c>
      <c r="AD13" s="562">
        <f t="shared" si="8"/>
        <v>-2343.6954945091702</v>
      </c>
      <c r="AE13" s="562">
        <f t="shared" si="8"/>
        <v>-2500.0998317430026</v>
      </c>
      <c r="AF13" s="562">
        <f t="shared" si="8"/>
        <v>-2665.8931683388619</v>
      </c>
      <c r="AG13" s="568"/>
      <c r="AH13" s="7"/>
      <c r="AI13" s="7"/>
      <c r="AJ13" s="7"/>
      <c r="AK13" s="11"/>
      <c r="AL13" s="11"/>
      <c r="AM13" s="11"/>
      <c r="AN13" s="11"/>
    </row>
    <row r="14" spans="1:40" ht="15">
      <c r="A14" s="1103"/>
      <c r="B14" s="316">
        <v>8</v>
      </c>
      <c r="C14" s="310" t="s">
        <v>386</v>
      </c>
      <c r="D14" s="376">
        <f>'Fin. Data'!D15</f>
        <v>-1625</v>
      </c>
      <c r="E14" s="373">
        <f>'Fin. Data'!C15</f>
        <v>3292</v>
      </c>
      <c r="F14" s="383">
        <f>'Fin. Data'!B15</f>
        <v>-7029</v>
      </c>
      <c r="G14" s="386">
        <f>AVERAGE(D14:F14)*(1+G5)</f>
        <v>-2234.1666666666665</v>
      </c>
      <c r="H14" s="384">
        <f>AVERAGE(E14:G14)*(1+H5)</f>
        <v>-2388.4666666666662</v>
      </c>
      <c r="I14" s="384">
        <f>AVERAGE(E14:H14)*(1+I5)</f>
        <v>-2403.3945833333328</v>
      </c>
      <c r="J14" s="387">
        <f>AVERAGE(G14:I14)*(1+J5)</f>
        <v>-2693.3107013888884</v>
      </c>
      <c r="K14" s="757">
        <f>AVERAGE(H14:J14)*(1+K5)</f>
        <v>-2744.5630488425923</v>
      </c>
      <c r="L14" s="759">
        <f>AVERAGE(I14:K14)*(1+L5)</f>
        <v>-2848.9941611952154</v>
      </c>
      <c r="M14" s="384">
        <f>AVERAGE(J14:L14)*(1+M5)</f>
        <v>-3010.8953411517</v>
      </c>
      <c r="N14" s="384">
        <f t="shared" ref="N14:AF14" si="9">AVERAGE(K14:M14)*(1+N5)</f>
        <v>-3097.6029184282233</v>
      </c>
      <c r="O14" s="384">
        <f t="shared" si="9"/>
        <v>-3224.6972714790504</v>
      </c>
      <c r="P14" s="384">
        <f t="shared" si="9"/>
        <v>-3328.8397394110339</v>
      </c>
      <c r="Q14" s="384">
        <f t="shared" si="9"/>
        <v>-3442.2399081235299</v>
      </c>
      <c r="R14" s="384">
        <f t="shared" si="9"/>
        <v>-3531.8411780514771</v>
      </c>
      <c r="S14" s="384">
        <f t="shared" si="9"/>
        <v>-3606.0222889551137</v>
      </c>
      <c r="T14" s="384">
        <f t="shared" si="9"/>
        <v>-3703.0361812955421</v>
      </c>
      <c r="U14" s="384">
        <f t="shared" si="9"/>
        <v>-3794.3148769057466</v>
      </c>
      <c r="V14" s="384">
        <f t="shared" si="9"/>
        <v>-3886.1806715047414</v>
      </c>
      <c r="W14" s="384">
        <f t="shared" si="9"/>
        <v>-3984.2361053971108</v>
      </c>
      <c r="X14" s="384">
        <f t="shared" si="9"/>
        <v>-4082.6560788326597</v>
      </c>
      <c r="Y14" s="384">
        <f t="shared" si="9"/>
        <v>-4163.6537114141884</v>
      </c>
      <c r="Z14" s="384">
        <f t="shared" si="9"/>
        <v>-4239.9225771565725</v>
      </c>
      <c r="AA14" s="384">
        <f t="shared" si="9"/>
        <v>-4307.7501667541792</v>
      </c>
      <c r="AB14" s="384">
        <f t="shared" si="9"/>
        <v>-4364.2220829948965</v>
      </c>
      <c r="AC14" s="384">
        <f t="shared" si="9"/>
        <v>-4411.5640658594293</v>
      </c>
      <c r="AD14" s="384">
        <f t="shared" si="9"/>
        <v>-4448.4023473068928</v>
      </c>
      <c r="AE14" s="384">
        <f t="shared" si="9"/>
        <v>-4474.1837745345456</v>
      </c>
      <c r="AF14" s="387">
        <f t="shared" si="9"/>
        <v>-4489.163896525959</v>
      </c>
      <c r="AG14" s="568"/>
      <c r="AH14" s="7"/>
      <c r="AI14" s="7"/>
      <c r="AJ14" s="7"/>
      <c r="AK14" s="11"/>
      <c r="AL14" s="11"/>
      <c r="AM14" s="11"/>
      <c r="AN14" s="11"/>
    </row>
    <row r="15" spans="1:40" ht="15">
      <c r="A15" s="1103"/>
      <c r="B15" s="316">
        <v>9</v>
      </c>
      <c r="C15" s="292" t="s">
        <v>387</v>
      </c>
      <c r="D15" s="343">
        <f t="shared" ref="D15:AF15" si="10">D8+D13+D14</f>
        <v>-6891</v>
      </c>
      <c r="E15" s="344">
        <f t="shared" si="10"/>
        <v>-988</v>
      </c>
      <c r="F15" s="382">
        <f t="shared" si="10"/>
        <v>-9287</v>
      </c>
      <c r="G15" s="397">
        <f t="shared" si="10"/>
        <v>-3668.6316666666662</v>
      </c>
      <c r="H15" s="398">
        <f t="shared" si="10"/>
        <v>-3025.3203414491813</v>
      </c>
      <c r="I15" s="398">
        <f>I8+I13+I14</f>
        <v>-1303.6380833333328</v>
      </c>
      <c r="J15" s="399">
        <f t="shared" si="10"/>
        <v>-163.87075138888895</v>
      </c>
      <c r="K15" s="397">
        <f>K8+K13+K14</f>
        <v>1429.0128686574071</v>
      </c>
      <c r="L15" s="398">
        <f t="shared" si="10"/>
        <v>3216.6028389047851</v>
      </c>
      <c r="M15" s="398">
        <f>M8+M13+M14</f>
        <v>4427.0429802209255</v>
      </c>
      <c r="N15" s="398">
        <f t="shared" si="10"/>
        <v>4942.4850203040241</v>
      </c>
      <c r="O15" s="398">
        <f t="shared" si="10"/>
        <v>6425.839550172388</v>
      </c>
      <c r="P15" s="398">
        <f t="shared" si="10"/>
        <v>8023.3476308729678</v>
      </c>
      <c r="Q15" s="398">
        <f t="shared" si="10"/>
        <v>9803.2615729404752</v>
      </c>
      <c r="R15" s="398">
        <f t="shared" si="10"/>
        <v>11691.303975857078</v>
      </c>
      <c r="S15" s="398">
        <f t="shared" si="10"/>
        <v>12382.055452982786</v>
      </c>
      <c r="T15" s="398">
        <f t="shared" si="10"/>
        <v>13090.097075954058</v>
      </c>
      <c r="U15" s="398">
        <f t="shared" si="10"/>
        <v>13846.1572087062</v>
      </c>
      <c r="V15" s="398">
        <f t="shared" si="10"/>
        <v>13224.229149954641</v>
      </c>
      <c r="W15" s="398">
        <f t="shared" si="10"/>
        <v>12459.976067637639</v>
      </c>
      <c r="X15" s="398">
        <f t="shared" si="10"/>
        <v>11586.249229883037</v>
      </c>
      <c r="Y15" s="398">
        <f t="shared" si="10"/>
        <v>10533.215861119994</v>
      </c>
      <c r="Z15" s="398">
        <f t="shared" si="10"/>
        <v>10995.728757354398</v>
      </c>
      <c r="AA15" s="398">
        <f t="shared" si="10"/>
        <v>11400.589979709719</v>
      </c>
      <c r="AB15" s="398">
        <f t="shared" si="10"/>
        <v>11741.984204982831</v>
      </c>
      <c r="AC15" s="398">
        <f t="shared" si="10"/>
        <v>12009.610143731634</v>
      </c>
      <c r="AD15" s="398">
        <f t="shared" si="10"/>
        <v>12197.598960773405</v>
      </c>
      <c r="AE15" s="398">
        <f t="shared" si="10"/>
        <v>12300.258648350757</v>
      </c>
      <c r="AF15" s="399">
        <f t="shared" si="10"/>
        <v>12312.23061230977</v>
      </c>
      <c r="AG15" s="568"/>
      <c r="AH15" s="7"/>
      <c r="AI15" s="7"/>
      <c r="AJ15" s="7"/>
      <c r="AK15" s="11"/>
      <c r="AL15" s="11"/>
      <c r="AM15" s="11"/>
      <c r="AN15" s="11"/>
    </row>
    <row r="16" spans="1:40" ht="15">
      <c r="A16" s="1103"/>
      <c r="B16" s="316">
        <v>10</v>
      </c>
      <c r="C16" s="310" t="s">
        <v>388</v>
      </c>
      <c r="D16" s="552">
        <f>'Fin. Data'!D21</f>
        <v>-192</v>
      </c>
      <c r="E16" s="553">
        <f>'Fin. Data'!C21</f>
        <v>-492</v>
      </c>
      <c r="F16" s="554">
        <f>'Fin. Data'!B21</f>
        <v>-181</v>
      </c>
      <c r="G16" s="531">
        <f>(1*$D$56)*G15</f>
        <v>-541.49003399999992</v>
      </c>
      <c r="H16" s="490">
        <f>(1*$D$56)*H15</f>
        <v>-446.53728239789922</v>
      </c>
      <c r="I16" s="490">
        <f>(1*$D$56)*I15</f>
        <v>-192.41698109999993</v>
      </c>
      <c r="J16" s="491">
        <f>(1*$D$56)*J15</f>
        <v>-24.187322905000009</v>
      </c>
      <c r="K16" s="489">
        <f>-(1*$E$56)*K15</f>
        <v>-191.37340337059993</v>
      </c>
      <c r="L16" s="490">
        <f>-(1*$E$56)*L15</f>
        <v>-430.76745218612876</v>
      </c>
      <c r="M16" s="490">
        <f t="shared" ref="M16:AF16" si="11">-(1*$E$56)*M15</f>
        <v>-592.86959591118625</v>
      </c>
      <c r="N16" s="490">
        <f t="shared" si="11"/>
        <v>-661.8975939191148</v>
      </c>
      <c r="O16" s="490">
        <f t="shared" si="11"/>
        <v>-860.54843255908611</v>
      </c>
      <c r="P16" s="490">
        <f t="shared" si="11"/>
        <v>-1074.4867147265077</v>
      </c>
      <c r="Q16" s="490">
        <f t="shared" si="11"/>
        <v>-1312.8527898481882</v>
      </c>
      <c r="R16" s="490">
        <f t="shared" si="11"/>
        <v>-1565.6994284467796</v>
      </c>
      <c r="S16" s="490">
        <f t="shared" si="11"/>
        <v>-1658.2048662634545</v>
      </c>
      <c r="T16" s="490">
        <f t="shared" si="11"/>
        <v>-1753.0258004117672</v>
      </c>
      <c r="U16" s="490">
        <f t="shared" si="11"/>
        <v>-1854.2773733899339</v>
      </c>
      <c r="V16" s="490">
        <f t="shared" si="11"/>
        <v>-1770.9887677619254</v>
      </c>
      <c r="W16" s="490">
        <f t="shared" si="11"/>
        <v>-1668.6399949780325</v>
      </c>
      <c r="X16" s="490">
        <f t="shared" si="11"/>
        <v>-1551.630496865936</v>
      </c>
      <c r="Y16" s="490">
        <f t="shared" si="11"/>
        <v>-1410.6082681211894</v>
      </c>
      <c r="Z16" s="490">
        <f t="shared" si="11"/>
        <v>-1472.5479951849009</v>
      </c>
      <c r="AA16" s="490">
        <f t="shared" si="11"/>
        <v>-1526.7670100827254</v>
      </c>
      <c r="AB16" s="490">
        <f t="shared" si="11"/>
        <v>-1572.4865247313005</v>
      </c>
      <c r="AC16" s="490">
        <f t="shared" si="11"/>
        <v>-1608.3269904485403</v>
      </c>
      <c r="AD16" s="490">
        <f t="shared" si="11"/>
        <v>-1633.5024528267741</v>
      </c>
      <c r="AE16" s="490">
        <f t="shared" si="11"/>
        <v>-1647.2506381871331</v>
      </c>
      <c r="AF16" s="491">
        <f t="shared" si="11"/>
        <v>-1648.8539236005242</v>
      </c>
      <c r="AG16" s="568"/>
      <c r="AH16" s="7"/>
      <c r="AI16" s="7"/>
      <c r="AJ16" s="7"/>
      <c r="AK16" s="11"/>
      <c r="AL16" s="11"/>
      <c r="AM16" s="11"/>
      <c r="AN16" s="11"/>
    </row>
    <row r="17" spans="1:40" ht="15.95" thickBot="1">
      <c r="A17" s="1103"/>
      <c r="B17" s="317">
        <v>11</v>
      </c>
      <c r="C17" s="323" t="s">
        <v>389</v>
      </c>
      <c r="D17" s="692">
        <f>'Fin. Data'!D23</f>
        <v>-6768</v>
      </c>
      <c r="E17" s="377">
        <f>'Fin. Data'!C23</f>
        <v>-496</v>
      </c>
      <c r="F17" s="665">
        <f>'Fin. Data'!B23</f>
        <v>-9141</v>
      </c>
      <c r="G17" s="390">
        <f>G16+G15</f>
        <v>-4210.1217006666666</v>
      </c>
      <c r="H17" s="391">
        <f t="shared" ref="H17:AF17" si="12">H16+H15</f>
        <v>-3471.8576238470805</v>
      </c>
      <c r="I17" s="391">
        <f>I16+I15</f>
        <v>-1496.0550644333327</v>
      </c>
      <c r="J17" s="392">
        <f t="shared" si="12"/>
        <v>-188.05807429388895</v>
      </c>
      <c r="K17" s="390">
        <f>K16+K15</f>
        <v>1237.6394652868071</v>
      </c>
      <c r="L17" s="391">
        <f t="shared" si="12"/>
        <v>2785.8353867186565</v>
      </c>
      <c r="M17" s="391">
        <f>M16+M15</f>
        <v>3834.173384309739</v>
      </c>
      <c r="N17" s="391">
        <f t="shared" si="12"/>
        <v>4280.5874263849091</v>
      </c>
      <c r="O17" s="391">
        <f t="shared" si="12"/>
        <v>5565.291117613302</v>
      </c>
      <c r="P17" s="391">
        <f t="shared" si="12"/>
        <v>6948.8609161464601</v>
      </c>
      <c r="Q17" s="391">
        <f t="shared" si="12"/>
        <v>8490.4087830922872</v>
      </c>
      <c r="R17" s="391">
        <f t="shared" si="12"/>
        <v>10125.604547410298</v>
      </c>
      <c r="S17" s="391">
        <f t="shared" si="12"/>
        <v>10723.850586719331</v>
      </c>
      <c r="T17" s="391">
        <f t="shared" si="12"/>
        <v>11337.07127554229</v>
      </c>
      <c r="U17" s="391">
        <f t="shared" si="12"/>
        <v>11991.879835316266</v>
      </c>
      <c r="V17" s="391">
        <f t="shared" si="12"/>
        <v>11453.240382192715</v>
      </c>
      <c r="W17" s="391">
        <f t="shared" si="12"/>
        <v>10791.336072659607</v>
      </c>
      <c r="X17" s="391">
        <f t="shared" si="12"/>
        <v>10034.618733017101</v>
      </c>
      <c r="Y17" s="391">
        <f t="shared" si="12"/>
        <v>9122.6075929988037</v>
      </c>
      <c r="Z17" s="391">
        <f t="shared" si="12"/>
        <v>9523.180762169497</v>
      </c>
      <c r="AA17" s="391">
        <f t="shared" si="12"/>
        <v>9873.8229696269937</v>
      </c>
      <c r="AB17" s="391">
        <f t="shared" si="12"/>
        <v>10169.49768025153</v>
      </c>
      <c r="AC17" s="391">
        <f t="shared" si="12"/>
        <v>10401.283153283093</v>
      </c>
      <c r="AD17" s="391">
        <f t="shared" si="12"/>
        <v>10564.09650794663</v>
      </c>
      <c r="AE17" s="391">
        <f t="shared" si="12"/>
        <v>10653.008010163623</v>
      </c>
      <c r="AF17" s="392">
        <f t="shared" si="12"/>
        <v>10663.376688709246</v>
      </c>
      <c r="AG17" s="568"/>
      <c r="AH17" s="7"/>
      <c r="AI17" s="7"/>
      <c r="AJ17" s="7"/>
      <c r="AK17" s="11"/>
      <c r="AL17" s="11"/>
      <c r="AM17" s="11"/>
      <c r="AN17" s="11"/>
    </row>
    <row r="18" spans="1:40" ht="15">
      <c r="A18" s="296"/>
      <c r="B18" s="312"/>
      <c r="C18" s="313" t="s">
        <v>390</v>
      </c>
      <c r="D18" s="321" t="s">
        <v>390</v>
      </c>
      <c r="E18" s="321" t="s">
        <v>390</v>
      </c>
      <c r="F18" s="321" t="s">
        <v>390</v>
      </c>
      <c r="G18" s="318" t="s">
        <v>390</v>
      </c>
      <c r="H18" s="798"/>
      <c r="I18" s="799">
        <f t="shared" ref="I18:AF18" si="13">+J8/I8-1</f>
        <v>1.2999999999999998</v>
      </c>
      <c r="J18" s="799">
        <f t="shared" si="13"/>
        <v>0.65000000000000013</v>
      </c>
      <c r="K18" s="799">
        <f t="shared" si="13"/>
        <v>0.45333333333333359</v>
      </c>
      <c r="L18" s="799">
        <f t="shared" si="13"/>
        <v>0.22624999999999984</v>
      </c>
      <c r="M18" s="799">
        <f t="shared" si="13"/>
        <v>0.20000000000000018</v>
      </c>
      <c r="N18" s="799">
        <f t="shared" si="13"/>
        <v>0.18800000000000017</v>
      </c>
      <c r="O18" s="799">
        <f t="shared" si="13"/>
        <v>0.16727272727272724</v>
      </c>
      <c r="P18" s="799">
        <f t="shared" si="13"/>
        <v>0.1591666666666669</v>
      </c>
      <c r="Q18" s="799">
        <f t="shared" si="13"/>
        <v>0.14153846153846161</v>
      </c>
      <c r="R18" s="799">
        <f t="shared" si="13"/>
        <v>5.0000000000000044E-2</v>
      </c>
      <c r="S18" s="799">
        <f t="shared" si="13"/>
        <v>5.0000000000000044E-2</v>
      </c>
      <c r="T18" s="799">
        <f t="shared" si="13"/>
        <v>5.0000000000000044E-2</v>
      </c>
      <c r="U18" s="799">
        <f t="shared" si="13"/>
        <v>-2.5000000000000022E-2</v>
      </c>
      <c r="V18" s="799">
        <f t="shared" si="13"/>
        <v>-3.076923076923066E-2</v>
      </c>
      <c r="W18" s="799">
        <f t="shared" si="13"/>
        <v>-3.7499999999999978E-2</v>
      </c>
      <c r="X18" s="799">
        <f t="shared" si="13"/>
        <v>-4.9999999999999933E-2</v>
      </c>
      <c r="Y18" s="799">
        <f t="shared" si="13"/>
        <v>4.0000000000000036E-2</v>
      </c>
      <c r="Z18" s="799">
        <f t="shared" si="13"/>
        <v>3.499999999999992E-2</v>
      </c>
      <c r="AA18" s="799">
        <f t="shared" si="13"/>
        <v>2.9999999999999805E-2</v>
      </c>
      <c r="AB18" s="799">
        <f t="shared" si="13"/>
        <v>2.4999999999999689E-2</v>
      </c>
      <c r="AC18" s="799">
        <f t="shared" si="13"/>
        <v>2.0000000000000018E-2</v>
      </c>
      <c r="AD18" s="799">
        <f t="shared" si="13"/>
        <v>1.499999999999968E-2</v>
      </c>
      <c r="AE18" s="799">
        <f t="shared" si="13"/>
        <v>1.0000000000000231E-2</v>
      </c>
      <c r="AF18" s="799">
        <f t="shared" si="13"/>
        <v>-1</v>
      </c>
      <c r="AG18" s="568"/>
      <c r="AH18" s="7"/>
      <c r="AI18" s="7"/>
      <c r="AJ18" s="7"/>
      <c r="AK18" s="11"/>
      <c r="AL18" s="11"/>
      <c r="AM18" s="11"/>
      <c r="AN18" s="11"/>
    </row>
    <row r="19" spans="1:40" ht="15">
      <c r="A19" s="1104" t="s">
        <v>391</v>
      </c>
      <c r="B19" s="285">
        <v>12</v>
      </c>
      <c r="C19" s="503" t="s">
        <v>392</v>
      </c>
      <c r="D19" s="548">
        <f>+D22-D21</f>
        <v>-3583</v>
      </c>
      <c r="E19" s="548">
        <f t="shared" ref="E19" si="14">+E22-E21</f>
        <v>-1186</v>
      </c>
      <c r="F19" s="548">
        <f>+F22-F21</f>
        <v>170</v>
      </c>
      <c r="G19" s="548">
        <f>+G17+G10+G9</f>
        <v>-3476.3645941434816</v>
      </c>
      <c r="H19" s="548">
        <f>+H17+H10+H9</f>
        <v>-2692.8868308582869</v>
      </c>
      <c r="I19" s="548">
        <f>+I17+I10+I9</f>
        <v>-665.08853200908902</v>
      </c>
      <c r="J19" s="548">
        <f>+J17+J10+J9</f>
        <v>702.70355848112229</v>
      </c>
      <c r="K19" s="548">
        <f t="shared" ref="K19:AF19" si="15">+K17+K10+K9</f>
        <v>2194.1757084476626</v>
      </c>
      <c r="L19" s="548">
        <f t="shared" si="15"/>
        <v>3748.0255403672018</v>
      </c>
      <c r="M19" s="548">
        <f t="shared" si="15"/>
        <v>4869.4911980876768</v>
      </c>
      <c r="N19" s="548">
        <f t="shared" si="15"/>
        <v>5394.8831131025909</v>
      </c>
      <c r="O19" s="548">
        <f t="shared" si="15"/>
        <v>6764.8829071059081</v>
      </c>
      <c r="P19" s="548">
        <f t="shared" si="15"/>
        <v>8239.7195356082339</v>
      </c>
      <c r="Q19" s="548">
        <f t="shared" si="15"/>
        <v>10433.617172041795</v>
      </c>
      <c r="R19" s="548">
        <f t="shared" si="15"/>
        <v>12844.879554418103</v>
      </c>
      <c r="S19" s="548">
        <f t="shared" si="15"/>
        <v>14257.99554268835</v>
      </c>
      <c r="T19" s="548">
        <f t="shared" si="15"/>
        <v>15726.829677920581</v>
      </c>
      <c r="U19" s="548">
        <f t="shared" si="15"/>
        <v>17280.032356424294</v>
      </c>
      <c r="V19" s="548">
        <f t="shared" si="15"/>
        <v>17684.706727966968</v>
      </c>
      <c r="W19" s="548">
        <f t="shared" si="15"/>
        <v>18013.281934333398</v>
      </c>
      <c r="X19" s="548">
        <f t="shared" si="15"/>
        <v>18296.568086385403</v>
      </c>
      <c r="Y19" s="548">
        <f t="shared" si="15"/>
        <v>18471.360595187871</v>
      </c>
      <c r="Z19" s="548">
        <f t="shared" si="15"/>
        <v>20002.209559132159</v>
      </c>
      <c r="AA19" s="548">
        <f t="shared" si="15"/>
        <v>21522.687214180329</v>
      </c>
      <c r="AB19" s="548">
        <f t="shared" si="15"/>
        <v>23023.292435823256</v>
      </c>
      <c r="AC19" s="548">
        <f t="shared" si="15"/>
        <v>24490.131682648669</v>
      </c>
      <c r="AD19" s="548">
        <f t="shared" si="15"/>
        <v>25912.699886581933</v>
      </c>
      <c r="AE19" s="548">
        <f t="shared" si="15"/>
        <v>27280.2625608077</v>
      </c>
      <c r="AF19" s="548">
        <f t="shared" si="15"/>
        <v>28582.068923082188</v>
      </c>
      <c r="AG19" s="568"/>
      <c r="AH19" s="7"/>
      <c r="AI19" s="7"/>
      <c r="AJ19" s="7"/>
      <c r="AK19" s="11"/>
      <c r="AL19" s="11"/>
      <c r="AM19" s="11"/>
      <c r="AN19" s="11"/>
    </row>
    <row r="20" spans="1:40" ht="15">
      <c r="A20" s="1105"/>
      <c r="B20" s="285">
        <v>13</v>
      </c>
      <c r="C20" s="310" t="s">
        <v>393</v>
      </c>
      <c r="D20" s="338">
        <v>827</v>
      </c>
      <c r="E20" s="338">
        <v>1168</v>
      </c>
      <c r="F20" s="338">
        <v>1793</v>
      </c>
      <c r="G20" s="548">
        <f>G11</f>
        <v>2621.9632569300607</v>
      </c>
      <c r="H20" s="565">
        <f t="shared" ref="H20:AF20" si="16">H11</f>
        <v>3146.3559083160731</v>
      </c>
      <c r="I20" s="565">
        <f t="shared" si="16"/>
        <v>3618.3092945634835</v>
      </c>
      <c r="J20" s="566">
        <f t="shared" si="16"/>
        <v>4161.0556887480061</v>
      </c>
      <c r="K20" s="548">
        <f t="shared" si="16"/>
        <v>4577.1612576228072</v>
      </c>
      <c r="L20" s="565">
        <f t="shared" si="16"/>
        <v>4989.1057708088601</v>
      </c>
      <c r="M20" s="565">
        <f t="shared" si="16"/>
        <v>5438.1252901816579</v>
      </c>
      <c r="N20" s="565">
        <f t="shared" si="16"/>
        <v>5873.1753133961911</v>
      </c>
      <c r="O20" s="565">
        <f t="shared" si="16"/>
        <v>6343.0293384678871</v>
      </c>
      <c r="P20" s="565">
        <f t="shared" si="16"/>
        <v>6787.0413921606387</v>
      </c>
      <c r="Q20" s="565">
        <f t="shared" si="16"/>
        <v>7262.134289611884</v>
      </c>
      <c r="R20" s="565">
        <f t="shared" si="16"/>
        <v>7697.862346988597</v>
      </c>
      <c r="S20" s="565">
        <f t="shared" si="16"/>
        <v>8082.7554643380272</v>
      </c>
      <c r="T20" s="565">
        <f t="shared" si="16"/>
        <v>8486.8932375549302</v>
      </c>
      <c r="U20" s="565">
        <f t="shared" si="16"/>
        <v>8911.2378994326755</v>
      </c>
      <c r="V20" s="565">
        <f t="shared" si="16"/>
        <v>9356.7997944043109</v>
      </c>
      <c r="W20" s="565">
        <f t="shared" si="16"/>
        <v>9824.6397841245271</v>
      </c>
      <c r="X20" s="565">
        <f t="shared" si="16"/>
        <v>10315.871773330755</v>
      </c>
      <c r="Y20" s="565">
        <f t="shared" si="16"/>
        <v>10780.086003130638</v>
      </c>
      <c r="Z20" s="565">
        <f t="shared" si="16"/>
        <v>11211.289443255864</v>
      </c>
      <c r="AA20" s="565">
        <f t="shared" si="16"/>
        <v>11603.684573769817</v>
      </c>
      <c r="AB20" s="565">
        <f t="shared" si="16"/>
        <v>11951.795110982912</v>
      </c>
      <c r="AC20" s="565">
        <f t="shared" si="16"/>
        <v>12250.589988757481</v>
      </c>
      <c r="AD20" s="565">
        <f t="shared" si="16"/>
        <v>12495.601788532633</v>
      </c>
      <c r="AE20" s="565">
        <f t="shared" si="16"/>
        <v>12683.035815360619</v>
      </c>
      <c r="AF20" s="567">
        <f t="shared" si="16"/>
        <v>12809.866173514225</v>
      </c>
      <c r="AG20" s="568"/>
      <c r="AH20" s="7"/>
      <c r="AI20" s="7"/>
      <c r="AJ20" s="7"/>
      <c r="AK20" s="11"/>
      <c r="AL20" s="11"/>
      <c r="AM20" s="11"/>
      <c r="AN20" s="11"/>
    </row>
    <row r="21" spans="1:40" ht="15">
      <c r="A21" s="1105"/>
      <c r="B21" s="285">
        <v>14</v>
      </c>
      <c r="C21" s="310" t="s">
        <v>394</v>
      </c>
      <c r="D21" s="342">
        <f>+Assumptions!M117</f>
        <v>838</v>
      </c>
      <c r="E21" s="342">
        <f>+Assumptions!N117</f>
        <v>741</v>
      </c>
      <c r="F21" s="342">
        <f>+Assumptions!O117</f>
        <v>472</v>
      </c>
      <c r="G21" s="342">
        <f>+Assumptions!P117</f>
        <v>555.58944063926947</v>
      </c>
      <c r="H21" s="342">
        <f>+Assumptions!Q117</f>
        <v>545.33480593607328</v>
      </c>
      <c r="I21" s="342">
        <f>+Assumptions!R117</f>
        <v>500.40809246575327</v>
      </c>
      <c r="J21" s="342">
        <f>+Assumptions!S117</f>
        <v>579.61222465753417</v>
      </c>
      <c r="K21" s="342">
        <f>+Assumptions!T117</f>
        <v>458.13306755137</v>
      </c>
      <c r="L21" s="342">
        <f>+Assumptions!U117</f>
        <v>460.19007300034355</v>
      </c>
      <c r="M21" s="342">
        <f>+Assumptions!V117</f>
        <v>505.03465732727818</v>
      </c>
      <c r="N21" s="342">
        <f>+Assumptions!W117</f>
        <v>497.25559798653921</v>
      </c>
      <c r="O21" s="342">
        <f>+Assumptions!X117</f>
        <v>540.62255855028889</v>
      </c>
      <c r="P21" s="342">
        <f>+Assumptions!Y117</f>
        <v>520.32981257812571</v>
      </c>
      <c r="Q21" s="342">
        <f>+Assumptions!Z117</f>
        <v>560.37940180030455</v>
      </c>
      <c r="R21" s="342">
        <f>+Assumptions!AA117</f>
        <v>525.19308332050605</v>
      </c>
      <c r="S21" s="342">
        <f>+Assumptions!AB117</f>
        <v>476.6518251301477</v>
      </c>
      <c r="T21" s="342">
        <f>+Assumptions!AC117</f>
        <v>503.56930060363266</v>
      </c>
      <c r="U21" s="342">
        <f>+Assumptions!AD117</f>
        <v>531.9868940616343</v>
      </c>
      <c r="V21" s="342">
        <f>+Assumptions!AE117</f>
        <v>561.98732361393013</v>
      </c>
      <c r="W21" s="342">
        <f>+Assumptions!AF117</f>
        <v>593.65782888630201</v>
      </c>
      <c r="X21" s="342">
        <f>+Assumptions!AG117</f>
        <v>627.09041637687369</v>
      </c>
      <c r="Y21" s="342">
        <f>+Assumptions!AH117</f>
        <v>604.01826793700457</v>
      </c>
      <c r="Z21" s="342">
        <f>+Assumptions!AI117</f>
        <v>573.50034982145735</v>
      </c>
      <c r="AA21" s="342">
        <f>+Assumptions!AJ117</f>
        <v>535.57788840545254</v>
      </c>
      <c r="AB21" s="342">
        <f>+Assumptions!AK117</f>
        <v>490.44471432520004</v>
      </c>
      <c r="AC21" s="342">
        <f>+Assumptions!AL117</f>
        <v>438.4509933052268</v>
      </c>
      <c r="AD21" s="342">
        <f>+Assumptions!AM117</f>
        <v>380.10241110007155</v>
      </c>
      <c r="AE21" s="342">
        <f>+Assumptions!AN117</f>
        <v>316.05458475618434</v>
      </c>
      <c r="AF21" s="342">
        <f>+Assumptions!AO117</f>
        <v>247.10265315000652</v>
      </c>
      <c r="AG21" s="568"/>
      <c r="AH21" s="7"/>
      <c r="AI21" s="7"/>
      <c r="AJ21" s="7"/>
      <c r="AK21" s="11"/>
      <c r="AL21" s="11"/>
      <c r="AM21" s="11"/>
      <c r="AN21" s="11"/>
    </row>
    <row r="22" spans="1:40" ht="15">
      <c r="A22" s="1105"/>
      <c r="B22" s="285">
        <v>15</v>
      </c>
      <c r="C22" s="319" t="s">
        <v>395</v>
      </c>
      <c r="D22" s="689">
        <f>+'Fin. Data'!D67</f>
        <v>-2745</v>
      </c>
      <c r="E22" s="690">
        <f>+'Fin. Data'!C67</f>
        <v>-445</v>
      </c>
      <c r="F22" s="500">
        <f>+'Fin. Data'!B67</f>
        <v>642</v>
      </c>
      <c r="G22" s="520">
        <f>G19+G20+G21</f>
        <v>-298.81189657415143</v>
      </c>
      <c r="H22" s="521">
        <f>H19+H20+H21</f>
        <v>998.80388339385945</v>
      </c>
      <c r="I22" s="521">
        <f t="shared" ref="I22:AF22" si="17">I19+I20+I21</f>
        <v>3453.6288550201475</v>
      </c>
      <c r="J22" s="522">
        <f>J19+J20+J21</f>
        <v>5443.3714718866622</v>
      </c>
      <c r="K22" s="520">
        <f t="shared" si="17"/>
        <v>7229.4700336218402</v>
      </c>
      <c r="L22" s="521">
        <f t="shared" si="17"/>
        <v>9197.3213841764045</v>
      </c>
      <c r="M22" s="521">
        <f t="shared" si="17"/>
        <v>10812.651145596612</v>
      </c>
      <c r="N22" s="521">
        <f t="shared" si="17"/>
        <v>11765.31402448532</v>
      </c>
      <c r="O22" s="521">
        <f t="shared" si="17"/>
        <v>13648.534804124085</v>
      </c>
      <c r="P22" s="521">
        <f t="shared" si="17"/>
        <v>15547.090740346997</v>
      </c>
      <c r="Q22" s="521">
        <f t="shared" si="17"/>
        <v>18256.130863453982</v>
      </c>
      <c r="R22" s="521">
        <f t="shared" si="17"/>
        <v>21067.934984727202</v>
      </c>
      <c r="S22" s="521">
        <f t="shared" si="17"/>
        <v>22817.402832156527</v>
      </c>
      <c r="T22" s="521">
        <f t="shared" si="17"/>
        <v>24717.292216079142</v>
      </c>
      <c r="U22" s="521">
        <f t="shared" si="17"/>
        <v>26723.257149918601</v>
      </c>
      <c r="V22" s="521">
        <f t="shared" si="17"/>
        <v>27603.493845985213</v>
      </c>
      <c r="W22" s="521">
        <f t="shared" si="17"/>
        <v>28431.579547344227</v>
      </c>
      <c r="X22" s="521">
        <f t="shared" si="17"/>
        <v>29239.530276093028</v>
      </c>
      <c r="Y22" s="521">
        <f t="shared" si="17"/>
        <v>29855.464866255512</v>
      </c>
      <c r="Z22" s="521">
        <f t="shared" si="17"/>
        <v>31786.999352209481</v>
      </c>
      <c r="AA22" s="521">
        <f t="shared" si="17"/>
        <v>33661.949676355602</v>
      </c>
      <c r="AB22" s="521">
        <f t="shared" si="17"/>
        <v>35465.532261131375</v>
      </c>
      <c r="AC22" s="521">
        <f t="shared" si="17"/>
        <v>37179.172664711376</v>
      </c>
      <c r="AD22" s="521">
        <f t="shared" si="17"/>
        <v>38788.404086214636</v>
      </c>
      <c r="AE22" s="521">
        <f t="shared" si="17"/>
        <v>40279.352960924502</v>
      </c>
      <c r="AF22" s="523">
        <f t="shared" si="17"/>
        <v>41639.037749746421</v>
      </c>
      <c r="AG22" s="568"/>
      <c r="AH22" s="7"/>
      <c r="AI22" s="7"/>
      <c r="AJ22" s="7"/>
      <c r="AK22" s="11"/>
      <c r="AL22" s="11"/>
      <c r="AM22" s="11"/>
      <c r="AN22" s="11"/>
    </row>
    <row r="23" spans="1:40" ht="15">
      <c r="A23" s="1105"/>
      <c r="B23" s="285">
        <v>16</v>
      </c>
      <c r="C23" s="310" t="s">
        <v>396</v>
      </c>
      <c r="D23" s="361">
        <f>'Fin. Data'!D32</f>
        <v>-616</v>
      </c>
      <c r="E23" s="360">
        <f>'Fin. Data'!C32</f>
        <v>-298</v>
      </c>
      <c r="F23" s="400">
        <f>'Fin. Data'!B32</f>
        <v>-252</v>
      </c>
      <c r="G23" s="388">
        <f>+Assumptions!I51</f>
        <v>-497.63699513033515</v>
      </c>
      <c r="H23" s="388">
        <f>+Assumptions!J51</f>
        <v>-597.16439415640218</v>
      </c>
      <c r="I23" s="388">
        <f>+Assumptions!K51</f>
        <v>-686.73905327986245</v>
      </c>
      <c r="J23" s="388">
        <f>+Assumptions!L51</f>
        <v>-789.74991127184171</v>
      </c>
      <c r="K23" s="388">
        <f>+Assumptions!M51</f>
        <v>-868.72490239902606</v>
      </c>
      <c r="L23" s="388">
        <f>+Assumptions!N51</f>
        <v>-946.91014361493842</v>
      </c>
      <c r="M23" s="388">
        <f>+Assumptions!O51</f>
        <v>-1032.132056540283</v>
      </c>
      <c r="N23" s="388">
        <f>+Assumptions!P51</f>
        <v>-1114.7026210635056</v>
      </c>
      <c r="O23" s="388">
        <f>+Assumptions!Q51</f>
        <v>-1203.8788307485863</v>
      </c>
      <c r="P23" s="388">
        <f>+Assumptions!R51</f>
        <v>-1288.1503489009874</v>
      </c>
      <c r="Q23" s="388">
        <f>+Assumptions!S51</f>
        <v>-3560.5138799062165</v>
      </c>
      <c r="R23" s="388">
        <f>+Assumptions!T51</f>
        <v>-3774.1447127005895</v>
      </c>
      <c r="S23" s="388">
        <f>+Assumptions!U51</f>
        <v>-3962.851948335619</v>
      </c>
      <c r="T23" s="388">
        <f>+Assumptions!V51</f>
        <v>-4160.9945457524</v>
      </c>
      <c r="U23" s="388">
        <f>+Assumptions!W51</f>
        <v>-4369.04427304002</v>
      </c>
      <c r="V23" s="388">
        <f>+Assumptions!X51</f>
        <v>-4587.4964866920218</v>
      </c>
      <c r="W23" s="388">
        <f>+Assumptions!Y51</f>
        <v>-4816.8713110266235</v>
      </c>
      <c r="X23" s="388">
        <f>+Assumptions!Z51</f>
        <v>-5057.7148765779548</v>
      </c>
      <c r="Y23" s="388">
        <f>+Assumptions!AA51</f>
        <v>-5285.3120460239625</v>
      </c>
      <c r="Z23" s="388">
        <f>+Assumptions!AB51</f>
        <v>-5496.7245278649216</v>
      </c>
      <c r="AA23" s="388">
        <f>+Assumptions!AC51</f>
        <v>-5689.109886340193</v>
      </c>
      <c r="AB23" s="388">
        <f>+Assumptions!AD51</f>
        <v>-5859.7831829303987</v>
      </c>
      <c r="AC23" s="388">
        <f>+Assumptions!AE51</f>
        <v>-6006.2777625036579</v>
      </c>
      <c r="AD23" s="388">
        <f>+Assumptions!AF51</f>
        <v>-6126.4033177537303</v>
      </c>
      <c r="AE23" s="388">
        <f>+Assumptions!AG51</f>
        <v>-6218.299367520036</v>
      </c>
      <c r="AF23" s="388">
        <f>+Assumptions!AH51</f>
        <v>-6280.4823611952361</v>
      </c>
      <c r="AG23" s="569">
        <f>SUM(D23:AF23)</f>
        <v>-91443.813743269347</v>
      </c>
      <c r="AH23" s="7"/>
      <c r="AI23" s="7"/>
      <c r="AJ23" s="7"/>
      <c r="AK23" s="11"/>
      <c r="AL23" s="11"/>
      <c r="AM23" s="11"/>
      <c r="AN23" s="11"/>
    </row>
    <row r="24" spans="1:40" ht="15">
      <c r="A24" s="1105"/>
      <c r="B24" s="285">
        <v>17</v>
      </c>
      <c r="C24" s="310" t="s">
        <v>397</v>
      </c>
      <c r="D24" s="342">
        <f>Inputs!D66</f>
        <v>-2131</v>
      </c>
      <c r="E24" s="341">
        <f>'Fin. Data'!C33</f>
        <v>-618</v>
      </c>
      <c r="F24" s="401">
        <f>'Fin. Data'!B33</f>
        <v>-1139</v>
      </c>
      <c r="G24" s="388">
        <f>G6*$D$63</f>
        <v>-1356.9881375390007</v>
      </c>
      <c r="H24" s="385">
        <f t="shared" ref="H24:J24" si="18">H6*$D$63</f>
        <v>-1628.385765046801</v>
      </c>
      <c r="I24" s="385">
        <f t="shared" si="18"/>
        <v>-1872.6436298038209</v>
      </c>
      <c r="J24" s="501">
        <f t="shared" si="18"/>
        <v>-2153.5401742743938</v>
      </c>
      <c r="K24" s="388">
        <f t="shared" ref="K24:AF24" si="19">K6*$E$63</f>
        <v>-2167.712943655376</v>
      </c>
      <c r="L24" s="385">
        <f t="shared" si="19"/>
        <v>-2362.8071085843599</v>
      </c>
      <c r="M24" s="385">
        <f t="shared" si="19"/>
        <v>-2575.4597483569523</v>
      </c>
      <c r="N24" s="385">
        <f t="shared" si="19"/>
        <v>-2781.4965282255089</v>
      </c>
      <c r="O24" s="385">
        <f t="shared" si="19"/>
        <v>-3004.0162504835498</v>
      </c>
      <c r="P24" s="385">
        <f t="shared" si="19"/>
        <v>-3214.2973880173986</v>
      </c>
      <c r="Q24" s="385">
        <f t="shared" si="19"/>
        <v>-3439.2982051786166</v>
      </c>
      <c r="R24" s="385">
        <f t="shared" si="19"/>
        <v>-3645.6560974893337</v>
      </c>
      <c r="S24" s="385">
        <f t="shared" si="19"/>
        <v>-3827.9389023638005</v>
      </c>
      <c r="T24" s="385">
        <f t="shared" si="19"/>
        <v>-4019.3358474819906</v>
      </c>
      <c r="U24" s="385">
        <f t="shared" si="19"/>
        <v>-4220.3026398560905</v>
      </c>
      <c r="V24" s="385">
        <f t="shared" si="19"/>
        <v>-4431.3177718488951</v>
      </c>
      <c r="W24" s="385">
        <f t="shared" si="19"/>
        <v>-4652.8836604413409</v>
      </c>
      <c r="X24" s="385">
        <f t="shared" si="19"/>
        <v>-4885.5278434634074</v>
      </c>
      <c r="Y24" s="385">
        <f t="shared" si="19"/>
        <v>-5105.3765964192607</v>
      </c>
      <c r="Z24" s="385">
        <f t="shared" si="19"/>
        <v>-5309.5916602760317</v>
      </c>
      <c r="AA24" s="385">
        <f t="shared" si="19"/>
        <v>-5495.4273683856918</v>
      </c>
      <c r="AB24" s="385">
        <f t="shared" si="19"/>
        <v>-5660.2901894372626</v>
      </c>
      <c r="AC24" s="385">
        <f t="shared" si="19"/>
        <v>-5801.7974441731931</v>
      </c>
      <c r="AD24" s="385">
        <f t="shared" si="19"/>
        <v>-5917.8333930566569</v>
      </c>
      <c r="AE24" s="385">
        <f t="shared" si="19"/>
        <v>-6006.6008939525063</v>
      </c>
      <c r="AF24" s="389">
        <f t="shared" si="19"/>
        <v>-6066.6669028920314</v>
      </c>
      <c r="AG24" s="568"/>
      <c r="AH24" s="570">
        <f>AG9-AG23</f>
        <v>187188.19283907756</v>
      </c>
      <c r="AI24" s="7"/>
      <c r="AJ24" s="7"/>
      <c r="AK24" s="11"/>
      <c r="AL24" s="11"/>
      <c r="AM24" s="11"/>
      <c r="AN24" s="11"/>
    </row>
    <row r="25" spans="1:40" ht="15">
      <c r="A25" s="1105"/>
      <c r="B25" s="285">
        <v>18</v>
      </c>
      <c r="C25" s="310" t="s">
        <v>398</v>
      </c>
      <c r="D25" s="342">
        <f>Inputs!D67</f>
        <v>-122</v>
      </c>
      <c r="E25" s="341">
        <f>Inputs!C67</f>
        <v>-285</v>
      </c>
      <c r="F25" s="401">
        <f>Inputs!B67</f>
        <v>-246</v>
      </c>
      <c r="G25" s="388">
        <f>(1+G5)*AVERAGE(D25:F25)</f>
        <v>-272.08333333333331</v>
      </c>
      <c r="H25" s="385">
        <f t="shared" ref="H25:AF25" si="20">(1+H5)*AVERAGE(E25:G25)</f>
        <v>-321.23333333333329</v>
      </c>
      <c r="I25" s="385">
        <f t="shared" si="20"/>
        <v>-321.73805555555549</v>
      </c>
      <c r="J25" s="501">
        <f t="shared" si="20"/>
        <v>-350.7709768518518</v>
      </c>
      <c r="K25" s="388">
        <f t="shared" si="20"/>
        <v>-364.37220077160487</v>
      </c>
      <c r="L25" s="385">
        <f t="shared" si="20"/>
        <v>-376.73351472170782</v>
      </c>
      <c r="M25" s="385">
        <f t="shared" si="20"/>
        <v>-396.71519821874313</v>
      </c>
      <c r="N25" s="385">
        <f t="shared" si="20"/>
        <v>-409.61552893634013</v>
      </c>
      <c r="O25" s="385">
        <f t="shared" si="20"/>
        <v>-425.90312707564482</v>
      </c>
      <c r="P25" s="385">
        <f t="shared" si="20"/>
        <v>-439.49674134229298</v>
      </c>
      <c r="Q25" s="385">
        <f t="shared" si="20"/>
        <v>-454.75549172302578</v>
      </c>
      <c r="R25" s="385">
        <f t="shared" si="20"/>
        <v>-466.45489391647385</v>
      </c>
      <c r="S25" s="385">
        <f t="shared" si="20"/>
        <v>-476.24749444362743</v>
      </c>
      <c r="T25" s="385">
        <f t="shared" si="20"/>
        <v>-489.1102580290945</v>
      </c>
      <c r="U25" s="385">
        <f t="shared" si="20"/>
        <v>-501.13442623621859</v>
      </c>
      <c r="V25" s="385">
        <f t="shared" si="20"/>
        <v>-513.27226254812922</v>
      </c>
      <c r="W25" s="385">
        <f t="shared" si="20"/>
        <v>-526.23093138470483</v>
      </c>
      <c r="X25" s="385">
        <f t="shared" si="20"/>
        <v>-539.22316705916853</v>
      </c>
      <c r="Y25" s="385">
        <f t="shared" si="20"/>
        <v>-549.92301574554756</v>
      </c>
      <c r="Z25" s="385">
        <f t="shared" si="20"/>
        <v>-559.9973995856659</v>
      </c>
      <c r="AA25" s="385">
        <f t="shared" si="20"/>
        <v>-568.95453592468186</v>
      </c>
      <c r="AB25" s="385">
        <f t="shared" si="20"/>
        <v>-576.41373326452401</v>
      </c>
      <c r="AC25" s="385">
        <f t="shared" si="20"/>
        <v>-582.66660349808103</v>
      </c>
      <c r="AD25" s="385">
        <f t="shared" si="20"/>
        <v>-587.5318567136776</v>
      </c>
      <c r="AE25" s="385">
        <f t="shared" si="20"/>
        <v>-590.93712545947551</v>
      </c>
      <c r="AF25" s="389">
        <f t="shared" si="20"/>
        <v>-592.91564717598214</v>
      </c>
      <c r="AG25" s="364"/>
      <c r="AH25" s="7"/>
      <c r="AI25" s="7"/>
      <c r="AJ25" s="7"/>
      <c r="AK25" s="11"/>
      <c r="AL25" s="11"/>
      <c r="AM25" s="11"/>
      <c r="AN25" s="11"/>
    </row>
    <row r="26" spans="1:40" ht="15">
      <c r="A26" s="1105"/>
      <c r="B26" s="285">
        <v>19</v>
      </c>
      <c r="C26" s="319" t="s">
        <v>399</v>
      </c>
      <c r="D26" s="339">
        <f t="shared" ref="D26:AF26" si="21">D23+D24+D25</f>
        <v>-2869</v>
      </c>
      <c r="E26" s="340">
        <f t="shared" si="21"/>
        <v>-1201</v>
      </c>
      <c r="F26" s="691">
        <f>F23+F24+F25</f>
        <v>-1637</v>
      </c>
      <c r="G26" s="403">
        <f>G23+G24+G25</f>
        <v>-2126.7084660026694</v>
      </c>
      <c r="H26" s="402">
        <f>H23+H24+H25</f>
        <v>-2546.7834925365364</v>
      </c>
      <c r="I26" s="402">
        <f t="shared" si="21"/>
        <v>-2881.1207386392389</v>
      </c>
      <c r="J26" s="500">
        <f t="shared" si="21"/>
        <v>-3294.0610623980874</v>
      </c>
      <c r="K26" s="403">
        <f t="shared" si="21"/>
        <v>-3400.8100468260072</v>
      </c>
      <c r="L26" s="402">
        <f t="shared" si="21"/>
        <v>-3686.4507669210061</v>
      </c>
      <c r="M26" s="402">
        <f t="shared" si="21"/>
        <v>-4004.3070031159787</v>
      </c>
      <c r="N26" s="402">
        <f t="shared" si="21"/>
        <v>-4305.8146782253552</v>
      </c>
      <c r="O26" s="402">
        <f t="shared" si="21"/>
        <v>-4633.7982083077814</v>
      </c>
      <c r="P26" s="402">
        <f t="shared" si="21"/>
        <v>-4941.9444782606788</v>
      </c>
      <c r="Q26" s="402">
        <f t="shared" si="21"/>
        <v>-7454.567576807859</v>
      </c>
      <c r="R26" s="402">
        <f t="shared" si="21"/>
        <v>-7886.2557041063974</v>
      </c>
      <c r="S26" s="402">
        <f t="shared" si="21"/>
        <v>-8267.0383451430462</v>
      </c>
      <c r="T26" s="402">
        <f t="shared" si="21"/>
        <v>-8669.4406512634851</v>
      </c>
      <c r="U26" s="402">
        <f t="shared" si="21"/>
        <v>-9090.4813391323296</v>
      </c>
      <c r="V26" s="402">
        <f t="shared" si="21"/>
        <v>-9532.0865210890461</v>
      </c>
      <c r="W26" s="402">
        <f t="shared" si="21"/>
        <v>-9995.9859028526698</v>
      </c>
      <c r="X26" s="402">
        <f t="shared" si="21"/>
        <v>-10482.46588710053</v>
      </c>
      <c r="Y26" s="402">
        <f t="shared" si="21"/>
        <v>-10940.611658188771</v>
      </c>
      <c r="Z26" s="402">
        <f t="shared" si="21"/>
        <v>-11366.31358772662</v>
      </c>
      <c r="AA26" s="402">
        <f t="shared" si="21"/>
        <v>-11753.491790650567</v>
      </c>
      <c r="AB26" s="402">
        <f t="shared" si="21"/>
        <v>-12096.487105632184</v>
      </c>
      <c r="AC26" s="402">
        <f t="shared" si="21"/>
        <v>-12390.741810174932</v>
      </c>
      <c r="AD26" s="402">
        <f t="shared" si="21"/>
        <v>-12631.768567524065</v>
      </c>
      <c r="AE26" s="402">
        <f t="shared" si="21"/>
        <v>-12815.837386932018</v>
      </c>
      <c r="AF26" s="359">
        <f t="shared" si="21"/>
        <v>-12940.064911263249</v>
      </c>
      <c r="AG26" s="568"/>
      <c r="AH26" s="7"/>
      <c r="AI26" s="7"/>
      <c r="AJ26" s="7"/>
      <c r="AK26" s="11"/>
      <c r="AL26" s="11"/>
      <c r="AM26" s="11"/>
      <c r="AN26" s="11"/>
    </row>
    <row r="27" spans="1:40" ht="15">
      <c r="A27" s="1105"/>
      <c r="B27" s="285">
        <v>20</v>
      </c>
      <c r="C27" s="310" t="s">
        <v>400</v>
      </c>
      <c r="D27" s="342">
        <f>Inputs!D71+Inputs!D72</f>
        <v>-224</v>
      </c>
      <c r="E27" s="341">
        <f>Inputs!C71+Inputs!C72</f>
        <v>-116</v>
      </c>
      <c r="F27" s="400">
        <f>Inputs!B71+Inputs!B72</f>
        <v>-139</v>
      </c>
      <c r="G27" s="664">
        <f>+Assumptions!I88</f>
        <v>-384.94038722613607</v>
      </c>
      <c r="H27" s="664">
        <f>+Assumptions!J88</f>
        <v>-461.92846467136332</v>
      </c>
      <c r="I27" s="664">
        <f>+Assumptions!K88</f>
        <v>-531.21773437206775</v>
      </c>
      <c r="J27" s="664">
        <f>+Assumptions!L88</f>
        <v>-610.90039452787789</v>
      </c>
      <c r="K27" s="664">
        <f>+Assumptions!M88</f>
        <v>-671.99043398066578</v>
      </c>
      <c r="L27" s="664">
        <f>+Assumptions!N88</f>
        <v>-732.46957303892566</v>
      </c>
      <c r="M27" s="664">
        <f>+Assumptions!O88</f>
        <v>-798.39183461242908</v>
      </c>
      <c r="N27" s="664">
        <f>+Assumptions!P88</f>
        <v>-862.26318138142346</v>
      </c>
      <c r="O27" s="664">
        <f>+Assumptions!Q88</f>
        <v>-931.24423589193736</v>
      </c>
      <c r="P27" s="664">
        <f>+Assumptions!R88</f>
        <v>-996.43133240437305</v>
      </c>
      <c r="Q27" s="664">
        <f>+Assumptions!S88</f>
        <v>-1066.1815256726793</v>
      </c>
      <c r="R27" s="664">
        <f>+Assumptions!T88</f>
        <v>-1130.1524172130401</v>
      </c>
      <c r="S27" s="664">
        <f>+Assumptions!U88</f>
        <v>-1186.660038073692</v>
      </c>
      <c r="T27" s="664">
        <f>+Assumptions!V88</f>
        <v>-1245.9930399773768</v>
      </c>
      <c r="U27" s="664">
        <f>+Assumptions!W88</f>
        <v>-1308.2926919762456</v>
      </c>
      <c r="V27" s="664">
        <f>+Assumptions!X88</f>
        <v>-1373.707326575058</v>
      </c>
      <c r="W27" s="664">
        <f>+Assumptions!Y88</f>
        <v>-1442.3926929038112</v>
      </c>
      <c r="X27" s="664">
        <f>+Assumptions!Z88</f>
        <v>-1514.5123275490016</v>
      </c>
      <c r="Y27" s="664">
        <f>+Assumptions!AA88</f>
        <v>-1582.6653822887067</v>
      </c>
      <c r="Z27" s="664">
        <f>+Assumptions!AB88</f>
        <v>-1645.971997580255</v>
      </c>
      <c r="AA27" s="664">
        <f>+Assumptions!AC88</f>
        <v>-1703.5810174955636</v>
      </c>
      <c r="AB27" s="664">
        <f>+Assumptions!AD88</f>
        <v>-1754.6884480204305</v>
      </c>
      <c r="AC27" s="664">
        <f>+Assumptions!AE88</f>
        <v>-1798.5556592209412</v>
      </c>
      <c r="AD27" s="664">
        <f>+Assumptions!AF88</f>
        <v>-1834.5267724053599</v>
      </c>
      <c r="AE27" s="664">
        <f>+Assumptions!AG88</f>
        <v>-1862.04467399144</v>
      </c>
      <c r="AF27" s="664">
        <f>+Assumptions!AH88</f>
        <v>-1880.6651207313544</v>
      </c>
      <c r="AG27" s="568"/>
      <c r="AH27" s="7"/>
      <c r="AI27" s="7"/>
      <c r="AJ27" s="7"/>
      <c r="AK27" s="11"/>
      <c r="AL27" s="11"/>
      <c r="AM27" s="11"/>
      <c r="AN27" s="11"/>
    </row>
    <row r="28" spans="1:40" ht="15">
      <c r="A28" s="1105"/>
      <c r="B28" s="285">
        <v>21</v>
      </c>
      <c r="C28" s="310" t="s">
        <v>401</v>
      </c>
      <c r="D28" s="361">
        <f>+SUM(Inputs!D69:D70)</f>
        <v>4046</v>
      </c>
      <c r="E28" s="341">
        <f>+SUM(Inputs!C69:C70)</f>
        <v>1818</v>
      </c>
      <c r="F28" s="401">
        <f>+SUM(Inputs!B69:B70)</f>
        <v>80</v>
      </c>
      <c r="G28" s="388">
        <f>G44-F44</f>
        <v>2921.9099842511823</v>
      </c>
      <c r="H28" s="385">
        <f>H44-G44</f>
        <v>2469.4432522083516</v>
      </c>
      <c r="I28" s="385">
        <f>I44-H44</f>
        <v>92.188063812267501</v>
      </c>
      <c r="J28" s="501">
        <f t="shared" ref="J28:AF28" si="22">J44-I44</f>
        <v>1065.9112585996663</v>
      </c>
      <c r="K28" s="388">
        <f t="shared" si="22"/>
        <v>1384.6350378288153</v>
      </c>
      <c r="L28" s="385">
        <f t="shared" si="22"/>
        <v>1480.7599569914273</v>
      </c>
      <c r="M28" s="385">
        <f t="shared" si="22"/>
        <v>1582.1036191808926</v>
      </c>
      <c r="N28" s="385">
        <f t="shared" si="22"/>
        <v>1688.750059561884</v>
      </c>
      <c r="O28" s="385">
        <f t="shared" si="22"/>
        <v>1800.7493808809522</v>
      </c>
      <c r="P28" s="385">
        <f t="shared" si="22"/>
        <v>1918.1103640411238</v>
      </c>
      <c r="Q28" s="385">
        <f t="shared" si="22"/>
        <v>1326.0789732924532</v>
      </c>
      <c r="R28" s="385">
        <f t="shared" si="22"/>
        <v>1349.0987391845192</v>
      </c>
      <c r="S28" s="385">
        <f>S44-R44</f>
        <v>1369.6462291216303</v>
      </c>
      <c r="T28" s="385">
        <f t="shared" si="22"/>
        <v>1387.3651084510457</v>
      </c>
      <c r="U28" s="385">
        <f t="shared" si="22"/>
        <v>1401.867799621461</v>
      </c>
      <c r="V28" s="385">
        <f t="shared" si="22"/>
        <v>2435.3146455847091</v>
      </c>
      <c r="W28" s="385">
        <f t="shared" si="22"/>
        <v>2585.7377280332657</v>
      </c>
      <c r="X28" s="385">
        <f t="shared" si="22"/>
        <v>2744.8282586110363</v>
      </c>
      <c r="Y28" s="385">
        <f t="shared" si="22"/>
        <v>2913.0654614847372</v>
      </c>
      <c r="Z28" s="385">
        <f t="shared" si="22"/>
        <v>3090.95435609985</v>
      </c>
      <c r="AA28" s="385">
        <f t="shared" si="22"/>
        <v>3279.0271203073426</v>
      </c>
      <c r="AB28" s="385">
        <f t="shared" si="22"/>
        <v>3477.8445245813054</v>
      </c>
      <c r="AC28" s="385">
        <f t="shared" si="22"/>
        <v>3687.9974409993301</v>
      </c>
      <c r="AD28" s="385">
        <f t="shared" si="22"/>
        <v>3910.1084308458157</v>
      </c>
      <c r="AE28" s="385">
        <f t="shared" si="22"/>
        <v>4144.8334148964859</v>
      </c>
      <c r="AF28" s="389">
        <f t="shared" si="22"/>
        <v>4392.8634306500462</v>
      </c>
      <c r="AG28" s="568"/>
      <c r="AH28" s="7"/>
      <c r="AI28" s="7"/>
      <c r="AJ28" s="7"/>
      <c r="AK28" s="11"/>
      <c r="AL28" s="11"/>
      <c r="AM28" s="11"/>
      <c r="AN28" s="11"/>
    </row>
    <row r="29" spans="1:40" ht="15">
      <c r="A29" s="1105"/>
      <c r="B29" s="285">
        <v>22</v>
      </c>
      <c r="C29" s="310" t="s">
        <v>402</v>
      </c>
      <c r="D29" s="361">
        <f>'Fin. Data'!D28</f>
        <v>0</v>
      </c>
      <c r="E29" s="341">
        <f>'Fin. Data'!C28</f>
        <v>0</v>
      </c>
      <c r="F29" s="400">
        <f>'Fin. Data'!B28</f>
        <v>0</v>
      </c>
      <c r="G29" s="388">
        <f>-G17*$D$65</f>
        <v>0</v>
      </c>
      <c r="H29" s="385">
        <f>-H17*$D$65</f>
        <v>0</v>
      </c>
      <c r="I29" s="385">
        <f>-I17*$D$65</f>
        <v>0</v>
      </c>
      <c r="J29" s="501">
        <f>-J17*$D$65</f>
        <v>0</v>
      </c>
      <c r="K29" s="388">
        <f>+Assumptions!N96</f>
        <v>247.52789305736144</v>
      </c>
      <c r="L29" s="388">
        <f>+Assumptions!O96</f>
        <v>696.45884667966413</v>
      </c>
      <c r="M29" s="388">
        <f>+Assumptions!P96</f>
        <v>1150.2520152929217</v>
      </c>
      <c r="N29" s="388">
        <f>+Assumptions!Q96</f>
        <v>1498.2055992347182</v>
      </c>
      <c r="O29" s="388">
        <f>+Assumptions!R96</f>
        <v>2226.1164470453209</v>
      </c>
      <c r="P29" s="388">
        <f>+Assumptions!S96</f>
        <v>3056.5653475429581</v>
      </c>
      <c r="Q29" s="388">
        <f>+Assumptions!T96</f>
        <v>3734.6393295299749</v>
      </c>
      <c r="R29" s="388">
        <f>+Assumptions!U96</f>
        <v>4453.9058064355413</v>
      </c>
      <c r="S29" s="388">
        <f>+Assumptions!V96</f>
        <v>4717.0537000432414</v>
      </c>
      <c r="T29" s="388">
        <f>+Assumptions!W96</f>
        <v>4986.788427859914</v>
      </c>
      <c r="U29" s="388">
        <f>+Assumptions!X96</f>
        <v>5274.8162323061097</v>
      </c>
      <c r="V29" s="388">
        <f>+Assumptions!Y96</f>
        <v>5037.8872295379915</v>
      </c>
      <c r="W29" s="388">
        <f>+Assumptions!Z96</f>
        <v>4746.7382483852361</v>
      </c>
      <c r="X29" s="388">
        <f>+Assumptions!AA96</f>
        <v>4413.8842704243643</v>
      </c>
      <c r="Y29" s="388">
        <f>+Assumptions!AB96</f>
        <v>4012.7218812512369</v>
      </c>
      <c r="Z29" s="388">
        <f>+Assumptions!AC96</f>
        <v>4188.9202658235381</v>
      </c>
      <c r="AA29" s="388">
        <f>+Assumptions!AD96</f>
        <v>4343.1557345764377</v>
      </c>
      <c r="AB29" s="388">
        <f>+Assumptions!AE96</f>
        <v>4473.2128886259288</v>
      </c>
      <c r="AC29" s="388">
        <f>+Assumptions!AF96</f>
        <v>4575.1673605143969</v>
      </c>
      <c r="AD29" s="388">
        <f>+Assumptions!AG96</f>
        <v>4646.7833654952192</v>
      </c>
      <c r="AE29" s="388">
        <f>+Assumptions!AH96</f>
        <v>4685.8924827957226</v>
      </c>
      <c r="AF29" s="388">
        <f>+Assumptions!AI96</f>
        <v>4690.4533085087141</v>
      </c>
      <c r="AG29" s="568"/>
      <c r="AH29" s="7"/>
      <c r="AI29" s="7"/>
      <c r="AJ29" s="7"/>
      <c r="AK29" s="11"/>
      <c r="AL29" s="11"/>
      <c r="AM29" s="11"/>
      <c r="AN29" s="11"/>
    </row>
    <row r="30" spans="1:40" s="7" customFormat="1" ht="15">
      <c r="A30" s="1105"/>
      <c r="B30" s="285">
        <v>23</v>
      </c>
      <c r="C30" s="310" t="s">
        <v>403</v>
      </c>
      <c r="D30" s="342">
        <f>'Fin. Data'!D27</f>
        <v>0</v>
      </c>
      <c r="E30" s="341">
        <f>'Fin. Data'!C27</f>
        <v>0</v>
      </c>
      <c r="F30" s="401">
        <f>'Fin. Data'!B27</f>
        <v>0</v>
      </c>
      <c r="G30" s="388">
        <f>-$D$64*G17</f>
        <v>0</v>
      </c>
      <c r="H30" s="385">
        <f t="shared" ref="H30:K30" si="23">-$D$64*H17</f>
        <v>0</v>
      </c>
      <c r="I30" s="385">
        <f>-$D$64*I17</f>
        <v>0</v>
      </c>
      <c r="J30" s="385">
        <f t="shared" si="23"/>
        <v>0</v>
      </c>
      <c r="K30" s="388">
        <f t="shared" si="23"/>
        <v>0</v>
      </c>
      <c r="L30" s="385">
        <v>0</v>
      </c>
      <c r="M30" s="385">
        <v>0</v>
      </c>
      <c r="N30" s="385">
        <f>+Assumptions!Q98</f>
        <v>428.05874263849091</v>
      </c>
      <c r="O30" s="385">
        <f>+Assumptions!R98</f>
        <v>834.79366764199528</v>
      </c>
      <c r="P30" s="385">
        <f>+Assumptions!S98</f>
        <v>1389.7721832292921</v>
      </c>
      <c r="Q30" s="385">
        <f>+Assumptions!T98</f>
        <v>2122.6021957730718</v>
      </c>
      <c r="R30" s="385">
        <f>+Assumptions!U98</f>
        <v>3037.6813642230891</v>
      </c>
      <c r="S30" s="385">
        <f>+Assumptions!V98</f>
        <v>3587.0104993066293</v>
      </c>
      <c r="T30" s="385">
        <f>+Assumptions!W98</f>
        <v>3792.126099473986</v>
      </c>
      <c r="U30" s="385">
        <f>+Assumptions!X98</f>
        <v>4011.1523867158021</v>
      </c>
      <c r="V30" s="385">
        <f>+Assumptions!Y98</f>
        <v>3830.9833925591952</v>
      </c>
      <c r="W30" s="385">
        <f>+Assumptions!Z98</f>
        <v>3609.5836547847903</v>
      </c>
      <c r="X30" s="385">
        <f>+Assumptions!AA98</f>
        <v>3356.4699974883551</v>
      </c>
      <c r="Y30" s="385">
        <f>+Assumptions!AB98</f>
        <v>3051.4122658204396</v>
      </c>
      <c r="Z30" s="385">
        <f>+Assumptions!AC98</f>
        <v>3185.399601053854</v>
      </c>
      <c r="AA30" s="385">
        <f>+Assumptions!AD98</f>
        <v>3302.6855767842253</v>
      </c>
      <c r="AB30" s="385">
        <f>+Assumptions!AE98</f>
        <v>3401.5855272090403</v>
      </c>
      <c r="AC30" s="385">
        <f>+Assumptions!AF98</f>
        <v>3479.1152278168252</v>
      </c>
      <c r="AD30" s="385">
        <f>+Assumptions!AG98</f>
        <v>3533.5745106912709</v>
      </c>
      <c r="AE30" s="385">
        <f>+Assumptions!AH98</f>
        <v>3563.314433807735</v>
      </c>
      <c r="AF30" s="385">
        <f>+Assumptions!AI98</f>
        <v>3566.782643151601</v>
      </c>
      <c r="AG30" s="568"/>
      <c r="AK30" s="11"/>
      <c r="AL30" s="11"/>
      <c r="AM30" s="11"/>
      <c r="AN30" s="11"/>
    </row>
    <row r="31" spans="1:40" s="3" customFormat="1" ht="15">
      <c r="A31" s="1105"/>
      <c r="B31" s="285">
        <v>24</v>
      </c>
      <c r="C31" s="310" t="s">
        <v>404</v>
      </c>
      <c r="D31" s="431">
        <f>Inputs!D75</f>
        <v>-2443</v>
      </c>
      <c r="E31" s="430">
        <f>Inputs!C75</f>
        <v>78</v>
      </c>
      <c r="F31" s="429">
        <f>Inputs!B75</f>
        <v>74</v>
      </c>
      <c r="G31" s="388">
        <f>(1+G5)*AVERAGE(E31:F31)</f>
        <v>95</v>
      </c>
      <c r="H31" s="385">
        <f>(1+H5)*AVERAGE(E31:G31)</f>
        <v>98.8</v>
      </c>
      <c r="I31" s="385">
        <f t="shared" ref="I31:AF31" si="24">(1+I5)*AVERAGE(F31:H31)</f>
        <v>102.65666666666665</v>
      </c>
      <c r="J31" s="501">
        <f t="shared" si="24"/>
        <v>113.6417222222222</v>
      </c>
      <c r="K31" s="545">
        <f t="shared" si="24"/>
        <v>115.53607592592591</v>
      </c>
      <c r="L31" s="546">
        <f t="shared" si="24"/>
        <v>120.56652221604936</v>
      </c>
      <c r="M31" s="546">
        <f>(1+M5)*AVERAGE(J31:L31)</f>
        <v>127.07376973232509</v>
      </c>
      <c r="N31" s="546">
        <f t="shared" si="24"/>
        <v>130.74349243474813</v>
      </c>
      <c r="O31" s="546">
        <f t="shared" si="24"/>
        <v>136.21816237792416</v>
      </c>
      <c r="P31" s="546">
        <f t="shared" si="24"/>
        <v>140.53930142104909</v>
      </c>
      <c r="Q31" s="546">
        <f t="shared" si="24"/>
        <v>145.34200772336064</v>
      </c>
      <c r="R31" s="546">
        <f t="shared" si="24"/>
        <v>149.14181327122466</v>
      </c>
      <c r="S31" s="546">
        <f t="shared" si="24"/>
        <v>152.25809284547202</v>
      </c>
      <c r="T31" s="546">
        <f t="shared" si="24"/>
        <v>156.35966984402009</v>
      </c>
      <c r="U31" s="546">
        <f t="shared" si="24"/>
        <v>160.21585158625089</v>
      </c>
      <c r="V31" s="546">
        <f t="shared" si="24"/>
        <v>164.09176499651005</v>
      </c>
      <c r="W31" s="546">
        <f t="shared" si="24"/>
        <v>168.23355024937337</v>
      </c>
      <c r="X31" s="546">
        <f t="shared" si="24"/>
        <v>172.38940839124703</v>
      </c>
      <c r="Y31" s="546">
        <f t="shared" si="24"/>
        <v>175.80896206693376</v>
      </c>
      <c r="Z31" s="546">
        <f t="shared" si="24"/>
        <v>179.02973251195209</v>
      </c>
      <c r="AA31" s="546">
        <f t="shared" si="24"/>
        <v>181.8936955246958</v>
      </c>
      <c r="AB31" s="546">
        <f t="shared" si="24"/>
        <v>184.27812060222973</v>
      </c>
      <c r="AC31" s="546">
        <f t="shared" si="24"/>
        <v>186.27719578494984</v>
      </c>
      <c r="AD31" s="546">
        <f t="shared" si="24"/>
        <v>187.83266405003764</v>
      </c>
      <c r="AE31" s="546">
        <f t="shared" si="24"/>
        <v>188.92126671459184</v>
      </c>
      <c r="AF31" s="547">
        <f t="shared" si="24"/>
        <v>189.55381260502503</v>
      </c>
      <c r="AG31" s="568"/>
      <c r="AH31" s="589"/>
      <c r="AI31" s="589"/>
      <c r="AJ31" s="589"/>
      <c r="AK31" s="587"/>
      <c r="AL31" s="587"/>
      <c r="AM31" s="587"/>
      <c r="AN31" s="587"/>
    </row>
    <row r="32" spans="1:40" s="7" customFormat="1" ht="16.5" customHeight="1" thickBot="1">
      <c r="A32" s="1106"/>
      <c r="B32" s="286">
        <v>25</v>
      </c>
      <c r="C32" s="320" t="s">
        <v>405</v>
      </c>
      <c r="D32" s="492">
        <f t="shared" ref="D32:AF32" si="25">D27+D28+D29+D30+D31</f>
        <v>1379</v>
      </c>
      <c r="E32" s="493">
        <f t="shared" si="25"/>
        <v>1780</v>
      </c>
      <c r="F32" s="494">
        <f>F27+F28+F29+F30+F31</f>
        <v>15</v>
      </c>
      <c r="G32" s="497">
        <f>G27+G28+G29+G30+G31</f>
        <v>2631.9695970250464</v>
      </c>
      <c r="H32" s="498">
        <f>H27+H28+H29+H30+H31</f>
        <v>2106.3147875369882</v>
      </c>
      <c r="I32" s="498">
        <f t="shared" si="25"/>
        <v>-336.37300389313361</v>
      </c>
      <c r="J32" s="502">
        <f t="shared" si="25"/>
        <v>568.65258629401069</v>
      </c>
      <c r="K32" s="497">
        <f t="shared" si="25"/>
        <v>1075.7085728314369</v>
      </c>
      <c r="L32" s="498">
        <f t="shared" si="25"/>
        <v>1565.3157528482152</v>
      </c>
      <c r="M32" s="498">
        <f t="shared" si="25"/>
        <v>2061.0375695937105</v>
      </c>
      <c r="N32" s="498">
        <f t="shared" si="25"/>
        <v>2883.4947124884175</v>
      </c>
      <c r="O32" s="498">
        <f t="shared" si="25"/>
        <v>4066.6334220542553</v>
      </c>
      <c r="P32" s="498">
        <f t="shared" si="25"/>
        <v>5508.5558638300499</v>
      </c>
      <c r="Q32" s="498">
        <f>Q27+Q28+Q29+Q30+Q31</f>
        <v>6262.4809806461808</v>
      </c>
      <c r="R32" s="498">
        <f t="shared" si="25"/>
        <v>7859.6753059013336</v>
      </c>
      <c r="S32" s="498">
        <f t="shared" si="25"/>
        <v>8639.3084832432814</v>
      </c>
      <c r="T32" s="498">
        <f t="shared" si="25"/>
        <v>9076.6462656515887</v>
      </c>
      <c r="U32" s="498">
        <f t="shared" si="25"/>
        <v>9539.7595782533772</v>
      </c>
      <c r="V32" s="498">
        <f t="shared" si="25"/>
        <v>10094.569706103348</v>
      </c>
      <c r="W32" s="498">
        <f t="shared" si="25"/>
        <v>9667.9004885488539</v>
      </c>
      <c r="X32" s="498">
        <f t="shared" si="25"/>
        <v>9173.0596073660017</v>
      </c>
      <c r="Y32" s="498">
        <f t="shared" si="25"/>
        <v>8570.343188334642</v>
      </c>
      <c r="Z32" s="498">
        <f t="shared" si="25"/>
        <v>8998.3319579089384</v>
      </c>
      <c r="AA32" s="498">
        <f t="shared" si="25"/>
        <v>9403.1811096971378</v>
      </c>
      <c r="AB32" s="498">
        <f t="shared" si="25"/>
        <v>9782.2326129980738</v>
      </c>
      <c r="AC32" s="498">
        <f t="shared" si="25"/>
        <v>10130.001565894559</v>
      </c>
      <c r="AD32" s="498">
        <f t="shared" si="25"/>
        <v>10443.772198676983</v>
      </c>
      <c r="AE32" s="498">
        <f t="shared" si="25"/>
        <v>10720.916924223095</v>
      </c>
      <c r="AF32" s="499">
        <f t="shared" si="25"/>
        <v>10958.988074184032</v>
      </c>
      <c r="AG32" s="568"/>
      <c r="AK32" s="11"/>
      <c r="AL32" s="11"/>
      <c r="AM32" s="11"/>
      <c r="AN32" s="11"/>
    </row>
    <row r="33" spans="1:40" ht="14.1" thickBot="1">
      <c r="A33" s="1091"/>
      <c r="B33" s="1092"/>
      <c r="C33" s="1092"/>
      <c r="D33" s="1092"/>
      <c r="E33" s="1092"/>
      <c r="F33" s="1092"/>
      <c r="G33" s="1093"/>
      <c r="H33" s="1093"/>
      <c r="I33" s="1093"/>
      <c r="J33" s="1093"/>
      <c r="K33" s="1094"/>
      <c r="L33" s="1094"/>
      <c r="M33" s="1094"/>
      <c r="N33" s="1094"/>
      <c r="O33" s="1094"/>
      <c r="P33" s="1094"/>
      <c r="Q33" s="1094"/>
      <c r="R33" s="1094"/>
      <c r="S33" s="1094"/>
      <c r="T33" s="1094"/>
      <c r="U33" s="1094"/>
      <c r="V33" s="1094"/>
      <c r="W33" s="1094"/>
      <c r="X33" s="1094"/>
      <c r="Y33" s="1094"/>
      <c r="Z33" s="1094"/>
      <c r="AA33" s="1094"/>
      <c r="AB33" s="1094"/>
      <c r="AC33" s="1094"/>
      <c r="AD33" s="1094"/>
      <c r="AE33" s="1094"/>
      <c r="AF33" s="1095"/>
      <c r="AG33" s="7"/>
      <c r="AH33" s="7"/>
      <c r="AI33" s="7"/>
      <c r="AJ33" s="7"/>
      <c r="AK33" s="11"/>
      <c r="AL33" s="11"/>
      <c r="AM33" s="11"/>
      <c r="AN33" s="11"/>
    </row>
    <row r="34" spans="1:40" ht="15">
      <c r="A34" s="1119" t="s">
        <v>406</v>
      </c>
      <c r="B34" s="285">
        <v>26</v>
      </c>
      <c r="C34" s="289" t="s">
        <v>407</v>
      </c>
      <c r="D34" s="688">
        <f>D22+D26+D29+D30+D32</f>
        <v>-4235</v>
      </c>
      <c r="E34" s="688">
        <f t="shared" ref="E34" si="26">E22+E26+E29+E30+E32</f>
        <v>134</v>
      </c>
      <c r="F34" s="688">
        <f>F22+F26+F29+F30+F32</f>
        <v>-980</v>
      </c>
      <c r="G34" s="525">
        <f>G22+G26+G29+G30+G32</f>
        <v>206.44923444822552</v>
      </c>
      <c r="H34" s="525">
        <f>H22+H26+H29+H30+H32</f>
        <v>558.33517839431124</v>
      </c>
      <c r="I34" s="525">
        <f>I22+I26+I29+I30+I32</f>
        <v>236.13511248777502</v>
      </c>
      <c r="J34" s="525">
        <f>J22+J26+J29+J30+J32</f>
        <v>2717.9629957825855</v>
      </c>
      <c r="K34" s="525">
        <f t="shared" ref="K34:AE34" si="27">K22+K26+K29+K30+K32</f>
        <v>5151.8964526846312</v>
      </c>
      <c r="L34" s="525">
        <f t="shared" si="27"/>
        <v>7772.6452167832776</v>
      </c>
      <c r="M34" s="525">
        <f t="shared" si="27"/>
        <v>10019.633727367265</v>
      </c>
      <c r="N34" s="525">
        <f t="shared" si="27"/>
        <v>12269.258400621591</v>
      </c>
      <c r="O34" s="525">
        <f t="shared" si="27"/>
        <v>16142.280132557875</v>
      </c>
      <c r="P34" s="525">
        <f t="shared" si="27"/>
        <v>20560.039656688619</v>
      </c>
      <c r="Q34" s="525">
        <f t="shared" si="27"/>
        <v>22921.285792595354</v>
      </c>
      <c r="R34" s="525">
        <f t="shared" si="27"/>
        <v>28532.941757180764</v>
      </c>
      <c r="S34" s="525">
        <f t="shared" si="27"/>
        <v>31493.737169606633</v>
      </c>
      <c r="T34" s="525">
        <f t="shared" si="27"/>
        <v>33903.412357801142</v>
      </c>
      <c r="U34" s="525">
        <f t="shared" si="27"/>
        <v>36458.504008061558</v>
      </c>
      <c r="V34" s="525">
        <f t="shared" si="27"/>
        <v>37034.847653096702</v>
      </c>
      <c r="W34" s="525">
        <f t="shared" si="27"/>
        <v>36459.816036210439</v>
      </c>
      <c r="X34" s="525">
        <f t="shared" si="27"/>
        <v>35700.478264271223</v>
      </c>
      <c r="Y34" s="525">
        <f t="shared" si="27"/>
        <v>34549.330543473057</v>
      </c>
      <c r="Z34" s="525">
        <f t="shared" si="27"/>
        <v>36793.337589269191</v>
      </c>
      <c r="AA34" s="525">
        <f t="shared" si="27"/>
        <v>38957.480306762838</v>
      </c>
      <c r="AB34" s="525">
        <f t="shared" si="27"/>
        <v>41026.076184332233</v>
      </c>
      <c r="AC34" s="525">
        <f t="shared" si="27"/>
        <v>42972.715008762229</v>
      </c>
      <c r="AD34" s="525">
        <f t="shared" si="27"/>
        <v>44780.765593554046</v>
      </c>
      <c r="AE34" s="525">
        <f t="shared" si="27"/>
        <v>46433.63941481903</v>
      </c>
      <c r="AF34" s="525">
        <f>AF22+AF26+AF29+AF30+AF32</f>
        <v>47915.196864327518</v>
      </c>
      <c r="AG34" s="568"/>
      <c r="AH34" s="7"/>
      <c r="AI34" s="7"/>
      <c r="AJ34" s="7"/>
      <c r="AK34" s="11"/>
      <c r="AL34" s="11"/>
      <c r="AM34" s="11"/>
      <c r="AN34" s="11"/>
    </row>
    <row r="35" spans="1:40" s="3" customFormat="1" ht="15">
      <c r="A35" s="1119"/>
      <c r="B35" s="285">
        <v>27</v>
      </c>
      <c r="C35" s="289" t="s">
        <v>408</v>
      </c>
      <c r="D35" s="407">
        <f>-1*(D29+D30)</f>
        <v>0</v>
      </c>
      <c r="E35" s="404">
        <f t="shared" ref="E35:AF35" si="28">-1*(E29+E30)</f>
        <v>0</v>
      </c>
      <c r="F35" s="410">
        <f t="shared" si="28"/>
        <v>0</v>
      </c>
      <c r="G35" s="415">
        <f>-1*(G29+G30)</f>
        <v>0</v>
      </c>
      <c r="H35" s="362">
        <f t="shared" si="28"/>
        <v>0</v>
      </c>
      <c r="I35" s="362">
        <f>-1*(I29+I30)</f>
        <v>0</v>
      </c>
      <c r="J35" s="416">
        <f>-1*(J29+J30)</f>
        <v>0</v>
      </c>
      <c r="K35" s="362">
        <f>-1*(K29+K30)</f>
        <v>-247.52789305736144</v>
      </c>
      <c r="L35" s="362">
        <f t="shared" si="28"/>
        <v>-696.45884667966413</v>
      </c>
      <c r="M35" s="362">
        <f t="shared" si="28"/>
        <v>-1150.2520152929217</v>
      </c>
      <c r="N35" s="362">
        <f t="shared" si="28"/>
        <v>-1926.2643418732091</v>
      </c>
      <c r="O35" s="362">
        <f t="shared" si="28"/>
        <v>-3060.9101146873163</v>
      </c>
      <c r="P35" s="362">
        <f t="shared" si="28"/>
        <v>-4446.3375307722499</v>
      </c>
      <c r="Q35" s="362">
        <f t="shared" si="28"/>
        <v>-5857.2415253030467</v>
      </c>
      <c r="R35" s="362">
        <f t="shared" si="28"/>
        <v>-7491.5871706586304</v>
      </c>
      <c r="S35" s="362">
        <f t="shared" si="28"/>
        <v>-8304.0641993498703</v>
      </c>
      <c r="T35" s="362">
        <f t="shared" si="28"/>
        <v>-8778.9145273339</v>
      </c>
      <c r="U35" s="362">
        <f t="shared" si="28"/>
        <v>-9285.9686190219109</v>
      </c>
      <c r="V35" s="362">
        <f t="shared" si="28"/>
        <v>-8868.8706220971872</v>
      </c>
      <c r="W35" s="362">
        <f t="shared" si="28"/>
        <v>-8356.3219031700264</v>
      </c>
      <c r="X35" s="362">
        <f t="shared" si="28"/>
        <v>-7770.3542679127195</v>
      </c>
      <c r="Y35" s="362">
        <f t="shared" si="28"/>
        <v>-7064.1341470716761</v>
      </c>
      <c r="Z35" s="362">
        <f t="shared" si="28"/>
        <v>-7374.3198668773921</v>
      </c>
      <c r="AA35" s="362">
        <f t="shared" si="28"/>
        <v>-7645.841311360663</v>
      </c>
      <c r="AB35" s="362">
        <f t="shared" si="28"/>
        <v>-7874.7984158349691</v>
      </c>
      <c r="AC35" s="362">
        <f t="shared" si="28"/>
        <v>-8054.2825883312216</v>
      </c>
      <c r="AD35" s="362">
        <f t="shared" si="28"/>
        <v>-8180.3578761864901</v>
      </c>
      <c r="AE35" s="362">
        <f t="shared" si="28"/>
        <v>-8249.206916603458</v>
      </c>
      <c r="AF35" s="416">
        <f t="shared" si="28"/>
        <v>-8257.2359516603155</v>
      </c>
      <c r="AG35" s="568"/>
      <c r="AH35" s="589"/>
      <c r="AI35" s="589"/>
      <c r="AJ35" s="589"/>
      <c r="AK35" s="587"/>
      <c r="AL35" s="587"/>
      <c r="AM35" s="587"/>
      <c r="AN35" s="587"/>
    </row>
    <row r="36" spans="1:40" s="7" customFormat="1" ht="15.95" thickBot="1">
      <c r="A36" s="1119"/>
      <c r="B36" s="286">
        <v>28</v>
      </c>
      <c r="C36" s="284" t="s">
        <v>409</v>
      </c>
      <c r="D36" s="468">
        <f t="shared" ref="D36:I36" si="29">D34-D35</f>
        <v>-4235</v>
      </c>
      <c r="E36" s="469">
        <f t="shared" si="29"/>
        <v>134</v>
      </c>
      <c r="F36" s="411">
        <f t="shared" si="29"/>
        <v>-980</v>
      </c>
      <c r="G36" s="417">
        <f t="shared" si="29"/>
        <v>206.44923444822552</v>
      </c>
      <c r="H36" s="418">
        <f>H34-H35</f>
        <v>558.33517839431124</v>
      </c>
      <c r="I36" s="418">
        <f t="shared" si="29"/>
        <v>236.13511248777502</v>
      </c>
      <c r="J36" s="419">
        <f>J34-J35</f>
        <v>2717.9629957825855</v>
      </c>
      <c r="K36" s="418">
        <f>K34-K35</f>
        <v>5399.4243457419925</v>
      </c>
      <c r="L36" s="418">
        <f t="shared" ref="L36:AE36" si="30">L34-L35</f>
        <v>8469.1040634629426</v>
      </c>
      <c r="M36" s="418">
        <f>M34-M35</f>
        <v>11169.885742660186</v>
      </c>
      <c r="N36" s="418">
        <f t="shared" si="30"/>
        <v>14195.522742494801</v>
      </c>
      <c r="O36" s="418">
        <f t="shared" si="30"/>
        <v>19203.190247245191</v>
      </c>
      <c r="P36" s="418">
        <f t="shared" si="30"/>
        <v>25006.377187460868</v>
      </c>
      <c r="Q36" s="418">
        <f t="shared" si="30"/>
        <v>28778.527317898399</v>
      </c>
      <c r="R36" s="418">
        <f t="shared" si="30"/>
        <v>36024.528927839398</v>
      </c>
      <c r="S36" s="418">
        <f t="shared" si="30"/>
        <v>39797.801368956505</v>
      </c>
      <c r="T36" s="418">
        <f t="shared" si="30"/>
        <v>42682.326885135044</v>
      </c>
      <c r="U36" s="418">
        <f t="shared" si="30"/>
        <v>45744.472627083465</v>
      </c>
      <c r="V36" s="418">
        <f t="shared" si="30"/>
        <v>45903.718275193889</v>
      </c>
      <c r="W36" s="418">
        <f t="shared" si="30"/>
        <v>44816.137939380467</v>
      </c>
      <c r="X36" s="418">
        <f t="shared" si="30"/>
        <v>43470.832532183944</v>
      </c>
      <c r="Y36" s="418">
        <f t="shared" si="30"/>
        <v>41613.46469054473</v>
      </c>
      <c r="Z36" s="418">
        <f t="shared" si="30"/>
        <v>44167.657456146582</v>
      </c>
      <c r="AA36" s="418">
        <f t="shared" si="30"/>
        <v>46603.321618123504</v>
      </c>
      <c r="AB36" s="418">
        <f t="shared" si="30"/>
        <v>48900.874600167204</v>
      </c>
      <c r="AC36" s="418">
        <f t="shared" si="30"/>
        <v>51026.997597093447</v>
      </c>
      <c r="AD36" s="418">
        <f t="shared" si="30"/>
        <v>52961.123469740538</v>
      </c>
      <c r="AE36" s="418">
        <f t="shared" si="30"/>
        <v>54682.846331422486</v>
      </c>
      <c r="AF36" s="419">
        <f>AF34-AF35</f>
        <v>56172.432815987835</v>
      </c>
      <c r="AG36" s="568"/>
      <c r="AK36" s="11"/>
      <c r="AL36" s="11"/>
      <c r="AM36" s="11"/>
      <c r="AN36" s="11"/>
    </row>
    <row r="37" spans="1:40" ht="15.95" thickBot="1">
      <c r="A37" s="295"/>
      <c r="B37" s="293"/>
      <c r="C37" s="294"/>
      <c r="D37" s="495"/>
      <c r="E37" s="495"/>
      <c r="F37" s="495"/>
      <c r="G37" s="495"/>
      <c r="H37" s="495"/>
      <c r="I37" s="495"/>
      <c r="J37" s="495"/>
      <c r="K37" s="495"/>
      <c r="L37" s="495"/>
      <c r="M37" s="495"/>
      <c r="N37" s="495"/>
      <c r="O37" s="495"/>
      <c r="P37" s="495"/>
      <c r="Q37" s="495"/>
      <c r="R37" s="495"/>
      <c r="S37" s="495"/>
      <c r="T37" s="495"/>
      <c r="U37" s="495"/>
      <c r="V37" s="495"/>
      <c r="W37" s="495"/>
      <c r="X37" s="495"/>
      <c r="Y37" s="495"/>
      <c r="Z37" s="495"/>
      <c r="AA37" s="495"/>
      <c r="AB37" s="495"/>
      <c r="AC37" s="495"/>
      <c r="AD37" s="495"/>
      <c r="AE37" s="495"/>
      <c r="AF37" s="496"/>
      <c r="AG37" s="568"/>
      <c r="AH37" s="7"/>
      <c r="AI37" s="7"/>
      <c r="AJ37" s="7"/>
      <c r="AK37" s="11"/>
      <c r="AL37" s="11"/>
      <c r="AM37" s="11"/>
      <c r="AN37" s="11"/>
    </row>
    <row r="38" spans="1:40" ht="15">
      <c r="A38" s="1120" t="s">
        <v>410</v>
      </c>
      <c r="B38" s="287">
        <v>29</v>
      </c>
      <c r="C38" s="289" t="s">
        <v>411</v>
      </c>
      <c r="D38" s="405">
        <v>1564</v>
      </c>
      <c r="E38" s="406">
        <v>2412</v>
      </c>
      <c r="F38" s="409">
        <v>1847</v>
      </c>
      <c r="G38" s="412">
        <f>+F38+(G10)</f>
        <v>2106.8276686151939</v>
      </c>
      <c r="H38" s="412">
        <f t="shared" ref="H38:AF38" si="31">+G38+(H10)</f>
        <v>2382.6657671661505</v>
      </c>
      <c r="I38" s="412">
        <f t="shared" si="31"/>
        <v>2676.9158601432346</v>
      </c>
      <c r="J38" s="412">
        <f t="shared" si="31"/>
        <v>2992.3397467103646</v>
      </c>
      <c r="K38" s="412">
        <f t="shared" si="31"/>
        <v>3331.0548062265457</v>
      </c>
      <c r="L38" s="412">
        <f t="shared" si="31"/>
        <v>3695.1572442571919</v>
      </c>
      <c r="M38" s="412">
        <f t="shared" si="31"/>
        <v>4086.9319248686056</v>
      </c>
      <c r="N38" s="412">
        <f t="shared" si="31"/>
        <v>4508.5926274672483</v>
      </c>
      <c r="O38" s="412">
        <f t="shared" si="31"/>
        <v>4962.5302338120982</v>
      </c>
      <c r="P38" s="412">
        <f t="shared" si="31"/>
        <v>5451.004127165389</v>
      </c>
      <c r="Q38" s="412">
        <f t="shared" si="31"/>
        <v>6234.779228903396</v>
      </c>
      <c r="R38" s="412">
        <f t="shared" si="31"/>
        <v>7331.573611529202</v>
      </c>
      <c r="S38" s="412">
        <f t="shared" si="31"/>
        <v>8757.0382390871982</v>
      </c>
      <c r="T38" s="412">
        <f t="shared" si="31"/>
        <v>10527.606623823993</v>
      </c>
      <c r="U38" s="412">
        <f t="shared" si="31"/>
        <v>12660.533953598526</v>
      </c>
      <c r="V38" s="412">
        <f t="shared" si="31"/>
        <v>15173.938175662684</v>
      </c>
      <c r="W38" s="412">
        <f t="shared" si="31"/>
        <v>18086.843134630952</v>
      </c>
      <c r="X38" s="412">
        <f t="shared" si="31"/>
        <v>21419.22386734853</v>
      </c>
      <c r="Y38" s="412">
        <f t="shared" si="31"/>
        <v>25189.956783634138</v>
      </c>
      <c r="Z38" s="412">
        <f t="shared" si="31"/>
        <v>29416.575970830498</v>
      </c>
      <c r="AA38" s="412">
        <f t="shared" si="31"/>
        <v>34115.037448419491</v>
      </c>
      <c r="AB38" s="412">
        <f t="shared" si="31"/>
        <v>39299.49648511289</v>
      </c>
      <c r="AC38" s="412">
        <f t="shared" si="31"/>
        <v>44982.103019888309</v>
      </c>
      <c r="AD38" s="412">
        <f t="shared" si="31"/>
        <v>51172.820002707384</v>
      </c>
      <c r="AE38" s="412">
        <f t="shared" si="31"/>
        <v>57879.269090290771</v>
      </c>
      <c r="AF38" s="412">
        <f t="shared" si="31"/>
        <v>65106.607603686112</v>
      </c>
      <c r="AG38" s="569">
        <f>SUM(G38:AF38)</f>
        <v>483547.42324558611</v>
      </c>
      <c r="AH38" s="7"/>
      <c r="AI38" s="7"/>
      <c r="AJ38" s="7"/>
      <c r="AK38" s="11"/>
      <c r="AL38" s="11"/>
      <c r="AM38" s="11"/>
      <c r="AN38" s="11"/>
    </row>
    <row r="39" spans="1:40" ht="15">
      <c r="A39" s="1119"/>
      <c r="B39" s="287">
        <v>30</v>
      </c>
      <c r="C39" s="289" t="s">
        <v>412</v>
      </c>
      <c r="D39" s="407">
        <f>+Assumptions!L129</f>
        <v>175</v>
      </c>
      <c r="E39" s="407">
        <f>+Assumptions!M129</f>
        <v>620</v>
      </c>
      <c r="F39" s="407">
        <f>+Assumptions!N129</f>
        <v>1119</v>
      </c>
      <c r="G39" s="413">
        <f>F39+G10</f>
        <v>1378.8276686151937</v>
      </c>
      <c r="H39" s="413">
        <f t="shared" ref="H39:AF39" si="32">G39+H10</f>
        <v>1654.6657671661503</v>
      </c>
      <c r="I39" s="413">
        <f t="shared" si="32"/>
        <v>1948.9158601432341</v>
      </c>
      <c r="J39" s="413">
        <f t="shared" si="32"/>
        <v>2264.3397467103641</v>
      </c>
      <c r="K39" s="413">
        <f t="shared" si="32"/>
        <v>2603.0548062265452</v>
      </c>
      <c r="L39" s="413">
        <f t="shared" si="32"/>
        <v>2967.1572442571915</v>
      </c>
      <c r="M39" s="413">
        <f t="shared" si="32"/>
        <v>3358.9319248686052</v>
      </c>
      <c r="N39" s="413">
        <f t="shared" si="32"/>
        <v>3780.5926274672479</v>
      </c>
      <c r="O39" s="413">
        <f t="shared" si="32"/>
        <v>4234.5302338120973</v>
      </c>
      <c r="P39" s="413">
        <f t="shared" si="32"/>
        <v>4723.0041271653881</v>
      </c>
      <c r="Q39" s="413">
        <f t="shared" si="32"/>
        <v>5506.7792289033951</v>
      </c>
      <c r="R39" s="413">
        <f t="shared" si="32"/>
        <v>6603.573611529202</v>
      </c>
      <c r="S39" s="413">
        <f t="shared" si="32"/>
        <v>8029.0382390871982</v>
      </c>
      <c r="T39" s="413">
        <f t="shared" si="32"/>
        <v>9799.6066238239928</v>
      </c>
      <c r="U39" s="413">
        <f t="shared" si="32"/>
        <v>11932.533953598526</v>
      </c>
      <c r="V39" s="413">
        <f t="shared" si="32"/>
        <v>14445.938175662684</v>
      </c>
      <c r="W39" s="413">
        <f t="shared" si="32"/>
        <v>17358.843134630952</v>
      </c>
      <c r="X39" s="413">
        <f t="shared" si="32"/>
        <v>20691.22386734853</v>
      </c>
      <c r="Y39" s="413">
        <f t="shared" si="32"/>
        <v>24461.956783634138</v>
      </c>
      <c r="Z39" s="413">
        <f t="shared" si="32"/>
        <v>28688.575970830498</v>
      </c>
      <c r="AA39" s="413">
        <f t="shared" si="32"/>
        <v>33387.037448419491</v>
      </c>
      <c r="AB39" s="413">
        <f t="shared" si="32"/>
        <v>38571.49648511289</v>
      </c>
      <c r="AC39" s="413">
        <f t="shared" si="32"/>
        <v>44254.103019888309</v>
      </c>
      <c r="AD39" s="413">
        <f t="shared" si="32"/>
        <v>50444.820002707384</v>
      </c>
      <c r="AE39" s="413">
        <f t="shared" si="32"/>
        <v>57151.269090290771</v>
      </c>
      <c r="AF39" s="413">
        <f t="shared" si="32"/>
        <v>64378.607603686112</v>
      </c>
      <c r="AG39" s="569">
        <f>SUM(G39:AF39)</f>
        <v>464619.42324558599</v>
      </c>
      <c r="AH39" s="7"/>
      <c r="AI39" s="7"/>
      <c r="AJ39" s="7"/>
      <c r="AK39" s="11"/>
      <c r="AL39" s="11"/>
      <c r="AM39" s="11"/>
      <c r="AN39" s="11"/>
    </row>
    <row r="40" spans="1:40" ht="15">
      <c r="A40" s="1119"/>
      <c r="B40" s="287">
        <v>31</v>
      </c>
      <c r="C40" s="289" t="s">
        <v>413</v>
      </c>
      <c r="D40" s="407">
        <v>1814</v>
      </c>
      <c r="E40" s="404">
        <v>1853</v>
      </c>
      <c r="F40" s="410">
        <v>2082</v>
      </c>
      <c r="G40" s="413">
        <f>F40+(-G23)+G27</f>
        <v>2194.696607904199</v>
      </c>
      <c r="H40" s="413">
        <f>G40+(-H23)+H27</f>
        <v>2329.932537389238</v>
      </c>
      <c r="I40" s="413">
        <f t="shared" ref="I40:AD40" si="33">H40+(-I23)+I27</f>
        <v>2485.4538562970329</v>
      </c>
      <c r="J40" s="413">
        <f t="shared" si="33"/>
        <v>2664.3033730409966</v>
      </c>
      <c r="K40" s="413">
        <f t="shared" si="33"/>
        <v>2861.037841459357</v>
      </c>
      <c r="L40" s="413">
        <f t="shared" si="33"/>
        <v>3075.4784120353697</v>
      </c>
      <c r="M40" s="413">
        <f t="shared" si="33"/>
        <v>3309.2186339632235</v>
      </c>
      <c r="N40" s="413">
        <f t="shared" si="33"/>
        <v>3561.6580736453061</v>
      </c>
      <c r="O40" s="413">
        <f t="shared" si="33"/>
        <v>3834.2926685019552</v>
      </c>
      <c r="P40" s="413">
        <f t="shared" si="33"/>
        <v>4126.0116849985689</v>
      </c>
      <c r="Q40" s="413">
        <f t="shared" si="33"/>
        <v>6620.3440392321054</v>
      </c>
      <c r="R40" s="413">
        <f t="shared" si="33"/>
        <v>9264.3363347196555</v>
      </c>
      <c r="S40" s="413">
        <f t="shared" si="33"/>
        <v>12040.528244981582</v>
      </c>
      <c r="T40" s="413">
        <f t="shared" si="33"/>
        <v>14955.529750756607</v>
      </c>
      <c r="U40" s="413">
        <f t="shared" si="33"/>
        <v>18016.281331820381</v>
      </c>
      <c r="V40" s="413">
        <f t="shared" si="33"/>
        <v>21230.070491937346</v>
      </c>
      <c r="W40" s="413">
        <f t="shared" si="33"/>
        <v>24604.549110060161</v>
      </c>
      <c r="X40" s="413">
        <f t="shared" si="33"/>
        <v>28147.751659089114</v>
      </c>
      <c r="Y40" s="413">
        <f t="shared" si="33"/>
        <v>31850.398322824371</v>
      </c>
      <c r="Z40" s="413">
        <f t="shared" si="33"/>
        <v>35701.150853109037</v>
      </c>
      <c r="AA40" s="413">
        <f t="shared" si="33"/>
        <v>39686.679721953667</v>
      </c>
      <c r="AB40" s="413">
        <f t="shared" si="33"/>
        <v>43791.774456863634</v>
      </c>
      <c r="AC40" s="413">
        <f t="shared" si="33"/>
        <v>47999.496560146355</v>
      </c>
      <c r="AD40" s="413">
        <f t="shared" si="33"/>
        <v>52291.37310549472</v>
      </c>
      <c r="AE40" s="413">
        <f>AD40+(-AE23)+AE27</f>
        <v>56647.627799023314</v>
      </c>
      <c r="AF40" s="413">
        <f>AE40+(-AF23)+AF27</f>
        <v>61047.445039487196</v>
      </c>
      <c r="AG40" s="569">
        <f>SUM(G40:AF40)</f>
        <v>534337.42051073443</v>
      </c>
      <c r="AH40" s="7"/>
      <c r="AI40" s="7"/>
      <c r="AJ40" s="7"/>
      <c r="AK40" s="11"/>
      <c r="AL40" s="11"/>
      <c r="AM40" s="11"/>
      <c r="AN40" s="11"/>
    </row>
    <row r="41" spans="1:40" ht="15.95" thickBot="1">
      <c r="A41" s="1121"/>
      <c r="B41" s="288">
        <v>32</v>
      </c>
      <c r="C41" s="284" t="s">
        <v>414</v>
      </c>
      <c r="D41" s="408">
        <f>+Assumptions!L130</f>
        <v>841</v>
      </c>
      <c r="E41" s="408">
        <f>+Assumptions!M130</f>
        <v>562</v>
      </c>
      <c r="F41" s="408">
        <f>+Assumptions!N130</f>
        <v>166</v>
      </c>
      <c r="G41" s="414">
        <f>F41+G9</f>
        <v>639.92943790799086</v>
      </c>
      <c r="H41" s="414">
        <f>G41+H9</f>
        <v>1143.0621323458279</v>
      </c>
      <c r="I41" s="414">
        <f t="shared" ref="I41:AF41" si="34">H41+I9</f>
        <v>1679.7785717929878</v>
      </c>
      <c r="J41" s="414">
        <f t="shared" si="34"/>
        <v>2255.1163180008689</v>
      </c>
      <c r="K41" s="414">
        <f t="shared" si="34"/>
        <v>2872.9375016455433</v>
      </c>
      <c r="L41" s="414">
        <f t="shared" si="34"/>
        <v>3471.0252172634423</v>
      </c>
      <c r="M41" s="414">
        <f t="shared" si="34"/>
        <v>4114.5683504299668</v>
      </c>
      <c r="N41" s="414">
        <f t="shared" si="34"/>
        <v>4807.2033345490063</v>
      </c>
      <c r="O41" s="414">
        <f t="shared" si="34"/>
        <v>5552.8575176967624</v>
      </c>
      <c r="P41" s="414">
        <f t="shared" si="34"/>
        <v>6355.2422438052454</v>
      </c>
      <c r="Q41" s="414">
        <f t="shared" si="34"/>
        <v>7514.6755310167455</v>
      </c>
      <c r="R41" s="414">
        <f t="shared" si="34"/>
        <v>9137.1561553987449</v>
      </c>
      <c r="S41" s="414">
        <f t="shared" si="34"/>
        <v>11245.836483809766</v>
      </c>
      <c r="T41" s="414">
        <f t="shared" si="34"/>
        <v>13865.026501451262</v>
      </c>
      <c r="U41" s="414">
        <f t="shared" si="34"/>
        <v>17020.251692784757</v>
      </c>
      <c r="V41" s="414">
        <f t="shared" si="34"/>
        <v>20738.31381649485</v>
      </c>
      <c r="W41" s="414">
        <f t="shared" si="34"/>
        <v>25047.354719200375</v>
      </c>
      <c r="X41" s="414">
        <f t="shared" si="34"/>
        <v>29976.923339851099</v>
      </c>
      <c r="Y41" s="414">
        <f t="shared" si="34"/>
        <v>35554.943425754558</v>
      </c>
      <c r="Z41" s="414">
        <f t="shared" si="34"/>
        <v>41807.353035520857</v>
      </c>
      <c r="AA41" s="414">
        <f t="shared" si="34"/>
        <v>48757.755802485197</v>
      </c>
      <c r="AB41" s="414">
        <f t="shared" si="34"/>
        <v>56427.091521363523</v>
      </c>
      <c r="AC41" s="414">
        <f t="shared" si="34"/>
        <v>64833.33351595368</v>
      </c>
      <c r="AD41" s="414">
        <f t="shared" si="34"/>
        <v>73991.219911769906</v>
      </c>
      <c r="AE41" s="414">
        <f t="shared" si="34"/>
        <v>83912.025374830599</v>
      </c>
      <c r="AF41" s="414">
        <f t="shared" si="34"/>
        <v>94603.379095808195</v>
      </c>
      <c r="AG41" s="569">
        <f>SUM(G41:AF41)</f>
        <v>667324.36054893164</v>
      </c>
      <c r="AH41" s="7"/>
      <c r="AI41" s="7"/>
      <c r="AJ41" s="7"/>
      <c r="AK41" s="11"/>
      <c r="AL41" s="11"/>
      <c r="AM41" s="11"/>
      <c r="AN41" s="11"/>
    </row>
    <row r="42" spans="1:40" s="7" customFormat="1" ht="15.95" thickBot="1">
      <c r="A42" s="1110"/>
      <c r="B42" s="1111"/>
      <c r="C42" s="1111"/>
      <c r="D42" s="1112"/>
      <c r="E42" s="1112"/>
      <c r="F42" s="1112"/>
      <c r="G42" s="1113"/>
      <c r="H42" s="1113"/>
      <c r="I42" s="1113"/>
      <c r="J42" s="1113"/>
      <c r="K42" s="1113"/>
      <c r="L42" s="1113"/>
      <c r="M42" s="1113"/>
      <c r="N42" s="1113"/>
      <c r="O42" s="1113"/>
      <c r="P42" s="1113"/>
      <c r="Q42" s="1113"/>
      <c r="R42" s="1113"/>
      <c r="S42" s="1113"/>
      <c r="T42" s="1113"/>
      <c r="U42" s="1113"/>
      <c r="V42" s="1113"/>
      <c r="W42" s="1113"/>
      <c r="X42" s="1113"/>
      <c r="Y42" s="1113"/>
      <c r="Z42" s="1113"/>
      <c r="AA42" s="1113"/>
      <c r="AB42" s="1113"/>
      <c r="AC42" s="1113"/>
      <c r="AD42" s="1113"/>
      <c r="AE42" s="1113"/>
      <c r="AF42" s="1114"/>
      <c r="AG42" s="568"/>
      <c r="AK42" s="11"/>
      <c r="AL42" s="11"/>
      <c r="AM42" s="11"/>
      <c r="AN42" s="11"/>
    </row>
    <row r="43" spans="1:40" ht="15" customHeight="1">
      <c r="A43" s="1104" t="s">
        <v>415</v>
      </c>
      <c r="B43" s="285">
        <v>33</v>
      </c>
      <c r="C43" s="283" t="s">
        <v>416</v>
      </c>
      <c r="D43" s="368">
        <f>'Fin. Data'!E39+D36</f>
        <v>6638</v>
      </c>
      <c r="E43" s="686">
        <f>+'Fin. Data'!D39+E36</f>
        <v>5781</v>
      </c>
      <c r="F43" s="684">
        <f>+'Fin. Data'!C39+F36</f>
        <v>3315</v>
      </c>
      <c r="G43" s="420">
        <f>G36+F43</f>
        <v>3521.4492344482255</v>
      </c>
      <c r="H43" s="421">
        <f>H36+G43</f>
        <v>4079.7844128425368</v>
      </c>
      <c r="I43" s="421">
        <f>I36+H43</f>
        <v>4315.9195253303114</v>
      </c>
      <c r="J43" s="422">
        <f t="shared" ref="J43:AE43" si="35">J36+I43</f>
        <v>7033.8825211128969</v>
      </c>
      <c r="K43" s="526">
        <f t="shared" si="35"/>
        <v>12433.306866854889</v>
      </c>
      <c r="L43" s="421">
        <f t="shared" si="35"/>
        <v>20902.410930317834</v>
      </c>
      <c r="M43" s="421">
        <f>M36+L43</f>
        <v>32072.29667297802</v>
      </c>
      <c r="N43" s="421">
        <f t="shared" si="35"/>
        <v>46267.819415472819</v>
      </c>
      <c r="O43" s="421">
        <f t="shared" si="35"/>
        <v>65471.00966271801</v>
      </c>
      <c r="P43" s="421">
        <f t="shared" si="35"/>
        <v>90477.386850178882</v>
      </c>
      <c r="Q43" s="421">
        <f t="shared" si="35"/>
        <v>119255.91416807729</v>
      </c>
      <c r="R43" s="421">
        <f t="shared" si="35"/>
        <v>155280.44309591668</v>
      </c>
      <c r="S43" s="421">
        <f t="shared" si="35"/>
        <v>195078.24446487319</v>
      </c>
      <c r="T43" s="421">
        <f t="shared" si="35"/>
        <v>237760.57135000825</v>
      </c>
      <c r="U43" s="421">
        <f t="shared" si="35"/>
        <v>283505.04397709173</v>
      </c>
      <c r="V43" s="421">
        <f t="shared" si="35"/>
        <v>329408.76225228561</v>
      </c>
      <c r="W43" s="421">
        <f t="shared" si="35"/>
        <v>374224.90019166609</v>
      </c>
      <c r="X43" s="421">
        <f t="shared" si="35"/>
        <v>417695.73272385006</v>
      </c>
      <c r="Y43" s="421">
        <f t="shared" si="35"/>
        <v>459309.19741439482</v>
      </c>
      <c r="Z43" s="421">
        <f t="shared" si="35"/>
        <v>503476.85487054137</v>
      </c>
      <c r="AA43" s="421">
        <f t="shared" si="35"/>
        <v>550080.17648866493</v>
      </c>
      <c r="AB43" s="421">
        <f t="shared" si="35"/>
        <v>598981.05108883209</v>
      </c>
      <c r="AC43" s="421">
        <f t="shared" si="35"/>
        <v>650008.04868592555</v>
      </c>
      <c r="AD43" s="421">
        <f t="shared" si="35"/>
        <v>702969.17215566605</v>
      </c>
      <c r="AE43" s="421">
        <f t="shared" si="35"/>
        <v>757652.0184870885</v>
      </c>
      <c r="AF43" s="422">
        <f>AF36+AE43</f>
        <v>813824.45130307635</v>
      </c>
      <c r="AG43" s="568"/>
      <c r="AH43" s="7"/>
      <c r="AI43" s="7"/>
      <c r="AJ43" s="7"/>
      <c r="AK43" s="11"/>
      <c r="AL43" s="11"/>
      <c r="AM43" s="11"/>
      <c r="AN43" s="11"/>
    </row>
    <row r="44" spans="1:40" ht="15">
      <c r="A44" s="1105"/>
      <c r="B44" s="285">
        <v>34</v>
      </c>
      <c r="C44" s="283" t="s">
        <v>276</v>
      </c>
      <c r="D44" s="368">
        <f>'Fin. Data'!D58</f>
        <v>9279</v>
      </c>
      <c r="E44" s="368">
        <f>'Fin. Data'!C58</f>
        <v>11105</v>
      </c>
      <c r="F44" s="369">
        <f>'Fin. Data'!B58</f>
        <v>11139</v>
      </c>
      <c r="G44" s="413">
        <f>+Assumptions!I83</f>
        <v>14060.909984251182</v>
      </c>
      <c r="H44" s="413">
        <f>+Assumptions!J83</f>
        <v>16530.353236459534</v>
      </c>
      <c r="I44" s="413">
        <f>+Assumptions!K83</f>
        <v>16622.541300271801</v>
      </c>
      <c r="J44" s="413">
        <f>+Assumptions!L83</f>
        <v>17688.452558871468</v>
      </c>
      <c r="K44" s="413">
        <f>+Assumptions!M83</f>
        <v>19073.087596700283</v>
      </c>
      <c r="L44" s="413">
        <f>+Assumptions!N83</f>
        <v>20553.84755369171</v>
      </c>
      <c r="M44" s="413">
        <f>+Assumptions!O83</f>
        <v>22135.951172872603</v>
      </c>
      <c r="N44" s="413">
        <f>+Assumptions!P83</f>
        <v>23824.701232434487</v>
      </c>
      <c r="O44" s="413">
        <f>+Assumptions!Q83</f>
        <v>25625.450613315439</v>
      </c>
      <c r="P44" s="413">
        <f>+Assumptions!R83</f>
        <v>27543.560977356563</v>
      </c>
      <c r="Q44" s="413">
        <f>+Assumptions!S83</f>
        <v>28869.639950649016</v>
      </c>
      <c r="R44" s="413">
        <f>+Assumptions!T83</f>
        <v>30218.738689833535</v>
      </c>
      <c r="S44" s="413">
        <f>+Assumptions!U83</f>
        <v>31588.384918955166</v>
      </c>
      <c r="T44" s="413">
        <f>+Assumptions!V83</f>
        <v>32975.750027406211</v>
      </c>
      <c r="U44" s="413">
        <f>+Assumptions!W83</f>
        <v>34377.617827027672</v>
      </c>
      <c r="V44" s="413">
        <f>+Assumptions!X83</f>
        <v>36812.932472612381</v>
      </c>
      <c r="W44" s="413">
        <f>+Assumptions!Y83</f>
        <v>39398.670200645647</v>
      </c>
      <c r="X44" s="413">
        <f>+Assumptions!Z83</f>
        <v>42143.498459256683</v>
      </c>
      <c r="Y44" s="413">
        <f>+Assumptions!AA83</f>
        <v>45056.563920741421</v>
      </c>
      <c r="Z44" s="413">
        <f>+Assumptions!AB83</f>
        <v>48147.518276841271</v>
      </c>
      <c r="AA44" s="413">
        <f>+Assumptions!AC83</f>
        <v>51426.545397148613</v>
      </c>
      <c r="AB44" s="413">
        <f>+Assumptions!AD83</f>
        <v>54904.389921729919</v>
      </c>
      <c r="AC44" s="413">
        <f>+Assumptions!AE83</f>
        <v>58592.387362729249</v>
      </c>
      <c r="AD44" s="413">
        <f>+Assumptions!AF83</f>
        <v>62502.495793575064</v>
      </c>
      <c r="AE44" s="413">
        <f>+Assumptions!AG83</f>
        <v>66647.32920847155</v>
      </c>
      <c r="AF44" s="413">
        <f>+Assumptions!AH83</f>
        <v>71040.192639121597</v>
      </c>
      <c r="AG44" s="586"/>
      <c r="AH44" s="11"/>
      <c r="AI44" s="11"/>
      <c r="AJ44" s="11"/>
      <c r="AK44" s="11"/>
      <c r="AL44" s="11"/>
      <c r="AM44" s="11"/>
      <c r="AN44" s="11"/>
    </row>
    <row r="45" spans="1:40" ht="15">
      <c r="A45" s="1105"/>
      <c r="B45" s="285">
        <v>35</v>
      </c>
      <c r="C45" s="283" t="s">
        <v>417</v>
      </c>
      <c r="D45" s="481"/>
      <c r="E45" s="484"/>
      <c r="F45" s="528">
        <f>1/((1+$F$50)^G50)</f>
        <v>1</v>
      </c>
      <c r="G45" s="423">
        <f t="shared" ref="G45:AF45" si="36">1/((1+$F$50)^G49)</f>
        <v>0.90826521344232514</v>
      </c>
      <c r="H45" s="363">
        <f t="shared" si="36"/>
        <v>0.82494569794943262</v>
      </c>
      <c r="I45" s="363">
        <f t="shared" si="36"/>
        <v>0.74926948042636932</v>
      </c>
      <c r="J45" s="424">
        <f t="shared" si="36"/>
        <v>0.68053540456527639</v>
      </c>
      <c r="K45" s="482">
        <f t="shared" si="36"/>
        <v>0.61810663448253989</v>
      </c>
      <c r="L45" s="363">
        <f t="shared" si="36"/>
        <v>0.56140475429840142</v>
      </c>
      <c r="M45" s="363">
        <f t="shared" si="36"/>
        <v>0.5099044089903737</v>
      </c>
      <c r="N45" s="363">
        <f t="shared" si="36"/>
        <v>0.46312843686682442</v>
      </c>
      <c r="O45" s="363">
        <f t="shared" si="36"/>
        <v>0.42064344856205671</v>
      </c>
      <c r="P45" s="363">
        <f t="shared" si="36"/>
        <v>0.38205581159133217</v>
      </c>
      <c r="Q45" s="363">
        <f t="shared" si="36"/>
        <v>0.34700800326188214</v>
      </c>
      <c r="R45" s="363">
        <f t="shared" si="36"/>
        <v>0.31517529814884848</v>
      </c>
      <c r="S45" s="363">
        <f t="shared" si="36"/>
        <v>0.28626275944491231</v>
      </c>
      <c r="T45" s="363">
        <f t="shared" si="36"/>
        <v>0.26000250630782229</v>
      </c>
      <c r="U45" s="363">
        <f t="shared" si="36"/>
        <v>0.23615123188721371</v>
      </c>
      <c r="V45" s="363">
        <f t="shared" si="36"/>
        <v>0.21448794903470819</v>
      </c>
      <c r="W45" s="363">
        <f t="shared" si="36"/>
        <v>0.19481194281081579</v>
      </c>
      <c r="X45" s="363">
        <f t="shared" si="36"/>
        <v>0.17694091081817967</v>
      </c>
      <c r="Y45" s="363">
        <f t="shared" si="36"/>
        <v>0.16070927413095337</v>
      </c>
      <c r="Z45" s="363">
        <f t="shared" si="36"/>
        <v>0.14596664317071154</v>
      </c>
      <c r="AA45" s="363">
        <f t="shared" si="36"/>
        <v>0.13257642431490602</v>
      </c>
      <c r="AB45" s="363">
        <f t="shared" si="36"/>
        <v>0.12041455432779839</v>
      </c>
      <c r="AC45" s="363">
        <f t="shared" si="36"/>
        <v>0.10936835088810026</v>
      </c>
      <c r="AD45" s="363">
        <f t="shared" si="36"/>
        <v>9.9335468563215498E-2</v>
      </c>
      <c r="AE45" s="363">
        <f t="shared" si="36"/>
        <v>9.022295055696232E-2</v>
      </c>
      <c r="AF45" s="424">
        <f t="shared" si="36"/>
        <v>8.1946367445015725E-2</v>
      </c>
      <c r="AG45" s="586"/>
      <c r="AH45" s="11"/>
      <c r="AI45" s="11"/>
      <c r="AJ45" s="11"/>
      <c r="AK45" s="11"/>
      <c r="AL45" s="11"/>
      <c r="AM45" s="11"/>
      <c r="AN45" s="11"/>
    </row>
    <row r="46" spans="1:40" ht="15">
      <c r="A46" s="1105"/>
      <c r="B46" s="285">
        <v>36</v>
      </c>
      <c r="C46" s="289" t="s">
        <v>418</v>
      </c>
      <c r="D46" s="483"/>
      <c r="E46" s="471" t="s">
        <v>419</v>
      </c>
      <c r="F46" s="529">
        <f>1/((1+$F$50+0.001)^G50)</f>
        <v>1</v>
      </c>
      <c r="G46" s="423">
        <f>1/((1+$F$50+0.001)^G49)</f>
        <v>0.90744101633393837</v>
      </c>
      <c r="H46" s="363">
        <f t="shared" ref="H46:AF46" si="37">1/((1+$F$50+0.001)^H49)</f>
        <v>0.82344919812517103</v>
      </c>
      <c r="I46" s="363">
        <f t="shared" si="37"/>
        <v>0.7472315772460717</v>
      </c>
      <c r="J46" s="424">
        <f t="shared" si="37"/>
        <v>0.67806858189298702</v>
      </c>
      <c r="K46" s="482">
        <f t="shared" si="37"/>
        <v>0.61530724309708451</v>
      </c>
      <c r="L46" s="363">
        <f t="shared" si="37"/>
        <v>0.55835503003365206</v>
      </c>
      <c r="M46" s="363">
        <f t="shared" si="37"/>
        <v>0.50667425592890392</v>
      </c>
      <c r="N46" s="363">
        <f t="shared" si="37"/>
        <v>0.45977700175036651</v>
      </c>
      <c r="O46" s="363">
        <f t="shared" si="37"/>
        <v>0.4172205097553236</v>
      </c>
      <c r="P46" s="363">
        <f t="shared" si="37"/>
        <v>0.37860300340773462</v>
      </c>
      <c r="Q46" s="363">
        <f t="shared" si="37"/>
        <v>0.34355989419939625</v>
      </c>
      <c r="R46" s="363">
        <f t="shared" si="37"/>
        <v>0.31176033956388044</v>
      </c>
      <c r="S46" s="363">
        <f t="shared" si="37"/>
        <v>0.28290411938646143</v>
      </c>
      <c r="T46" s="363">
        <f t="shared" si="37"/>
        <v>0.25671880162110838</v>
      </c>
      <c r="U46" s="363">
        <f t="shared" si="37"/>
        <v>0.23295717025508927</v>
      </c>
      <c r="V46" s="363">
        <f t="shared" si="37"/>
        <v>0.21139489133855655</v>
      </c>
      <c r="W46" s="363">
        <f t="shared" si="37"/>
        <v>0.19182839504406224</v>
      </c>
      <c r="X46" s="363">
        <f t="shared" si="37"/>
        <v>0.17407295376049206</v>
      </c>
      <c r="Y46" s="363">
        <f t="shared" si="37"/>
        <v>0.15796093807667155</v>
      </c>
      <c r="Z46" s="363">
        <f t="shared" si="37"/>
        <v>0.14334023418935712</v>
      </c>
      <c r="AA46" s="363">
        <f t="shared" si="37"/>
        <v>0.130072807794335</v>
      </c>
      <c r="AB46" s="363">
        <f t="shared" si="37"/>
        <v>0.11803340090230036</v>
      </c>
      <c r="AC46" s="363">
        <f t="shared" si="37"/>
        <v>0.10710834927613462</v>
      </c>
      <c r="AD46" s="363">
        <f t="shared" si="37"/>
        <v>9.7194509324986064E-2</v>
      </c>
      <c r="AE46" s="363">
        <f t="shared" si="37"/>
        <v>8.8198284323943804E-2</v>
      </c>
      <c r="AF46" s="424">
        <f t="shared" si="37"/>
        <v>8.0034740765829213E-2</v>
      </c>
      <c r="AG46" s="586"/>
      <c r="AH46" s="11"/>
      <c r="AI46" s="11"/>
      <c r="AJ46" s="11"/>
      <c r="AK46" s="11"/>
      <c r="AL46" s="11"/>
      <c r="AM46" s="11"/>
      <c r="AN46" s="11"/>
    </row>
    <row r="47" spans="1:40" ht="15.95" thickBot="1">
      <c r="A47" s="1106"/>
      <c r="B47" s="286">
        <v>37</v>
      </c>
      <c r="C47" s="284" t="s">
        <v>420</v>
      </c>
      <c r="D47" s="470"/>
      <c r="E47" s="471" t="s">
        <v>421</v>
      </c>
      <c r="F47" s="530">
        <f>1/((1+$F$50+0.005)^G50)</f>
        <v>1</v>
      </c>
      <c r="G47" s="425">
        <f t="shared" ref="G47:AF47" si="38">1/((1+$F$50+0.005)^G49)</f>
        <v>0.90415913200723341</v>
      </c>
      <c r="H47" s="426">
        <f t="shared" si="38"/>
        <v>0.8175037359920736</v>
      </c>
      <c r="I47" s="426">
        <f t="shared" si="38"/>
        <v>0.73915346834726381</v>
      </c>
      <c r="J47" s="427">
        <f t="shared" si="38"/>
        <v>0.66831235836099812</v>
      </c>
      <c r="K47" s="527">
        <f t="shared" si="38"/>
        <v>0.60426072184538715</v>
      </c>
      <c r="L47" s="426">
        <f t="shared" si="38"/>
        <v>0.54634784976978945</v>
      </c>
      <c r="M47" s="426">
        <f t="shared" si="38"/>
        <v>0.49398539762187121</v>
      </c>
      <c r="N47" s="426">
        <f t="shared" si="38"/>
        <v>0.44664140833803911</v>
      </c>
      <c r="O47" s="426">
        <f t="shared" si="38"/>
        <v>0.4038349080814097</v>
      </c>
      <c r="P47" s="426">
        <f t="shared" si="38"/>
        <v>0.36513101996510827</v>
      </c>
      <c r="Q47" s="426">
        <f t="shared" si="38"/>
        <v>0.33013654608056808</v>
      </c>
      <c r="R47" s="426">
        <f t="shared" si="38"/>
        <v>0.29849597294807245</v>
      </c>
      <c r="S47" s="426">
        <f t="shared" si="38"/>
        <v>0.26988785980838381</v>
      </c>
      <c r="T47" s="426">
        <f t="shared" si="38"/>
        <v>0.2440215730636382</v>
      </c>
      <c r="U47" s="426">
        <f t="shared" si="38"/>
        <v>0.22063433369225879</v>
      </c>
      <c r="V47" s="426">
        <f t="shared" si="38"/>
        <v>0.19948854764218699</v>
      </c>
      <c r="W47" s="426">
        <f t="shared" si="38"/>
        <v>0.1803693920815434</v>
      </c>
      <c r="X47" s="426">
        <f t="shared" si="38"/>
        <v>0.16308263298512066</v>
      </c>
      <c r="Y47" s="426">
        <f t="shared" si="38"/>
        <v>0.14745265188528089</v>
      </c>
      <c r="Z47" s="426">
        <f t="shared" si="38"/>
        <v>0.13332066174076032</v>
      </c>
      <c r="AA47" s="426">
        <f t="shared" si="38"/>
        <v>0.12054309379815581</v>
      </c>
      <c r="AB47" s="426">
        <f t="shared" si="38"/>
        <v>0.10899013905800707</v>
      </c>
      <c r="AC47" s="426">
        <f t="shared" si="38"/>
        <v>9.8544429528035341E-2</v>
      </c>
      <c r="AD47" s="426">
        <f t="shared" si="38"/>
        <v>8.9099845866216401E-2</v>
      </c>
      <c r="AE47" s="426">
        <f t="shared" si="38"/>
        <v>8.0560439300376513E-2</v>
      </c>
      <c r="AF47" s="427">
        <f t="shared" si="38"/>
        <v>7.2839456871949829E-2</v>
      </c>
      <c r="AG47" s="586"/>
      <c r="AH47" s="11"/>
      <c r="AI47" s="11"/>
      <c r="AJ47" s="11"/>
      <c r="AK47" s="11"/>
      <c r="AL47" s="11"/>
      <c r="AM47" s="11"/>
      <c r="AN47" s="11"/>
    </row>
    <row r="48" spans="1:40" ht="15.95" thickBot="1">
      <c r="A48" s="1115" t="s">
        <v>390</v>
      </c>
      <c r="B48" s="1116"/>
      <c r="C48" s="1116"/>
      <c r="D48" s="1116"/>
      <c r="E48" s="1116"/>
      <c r="F48" s="1116"/>
      <c r="G48" s="1117"/>
      <c r="H48" s="1117"/>
      <c r="I48" s="1117"/>
      <c r="J48" s="1117"/>
      <c r="K48" s="1117"/>
      <c r="L48" s="1117"/>
      <c r="M48" s="1117"/>
      <c r="N48" s="1117"/>
      <c r="O48" s="1117"/>
      <c r="P48" s="1117"/>
      <c r="Q48" s="1117"/>
      <c r="R48" s="1117"/>
      <c r="S48" s="1117"/>
      <c r="T48" s="1117"/>
      <c r="U48" s="1117"/>
      <c r="V48" s="1117"/>
      <c r="W48" s="1117"/>
      <c r="X48" s="1117"/>
      <c r="Y48" s="1117"/>
      <c r="Z48" s="1117"/>
      <c r="AA48" s="1117"/>
      <c r="AB48" s="1117"/>
      <c r="AC48" s="1117"/>
      <c r="AD48" s="1117"/>
      <c r="AE48" s="1117"/>
      <c r="AF48" s="1118"/>
      <c r="AG48" s="586"/>
      <c r="AH48" s="11"/>
      <c r="AI48" s="11"/>
      <c r="AJ48" s="588"/>
      <c r="AK48" s="11"/>
      <c r="AL48" s="11"/>
      <c r="AM48" s="11"/>
      <c r="AN48" s="11"/>
    </row>
    <row r="49" spans="1:40" ht="15">
      <c r="A49" s="1122" t="s">
        <v>422</v>
      </c>
      <c r="C49" s="301" t="s">
        <v>423</v>
      </c>
      <c r="D49" s="290" t="s">
        <v>424</v>
      </c>
      <c r="E49" s="291" t="s">
        <v>425</v>
      </c>
      <c r="F49" s="302" t="s">
        <v>426</v>
      </c>
      <c r="G49" s="364">
        <v>1</v>
      </c>
      <c r="H49" s="365">
        <v>2</v>
      </c>
      <c r="I49" s="365">
        <v>3</v>
      </c>
      <c r="J49" s="364">
        <v>4</v>
      </c>
      <c r="K49" s="365">
        <v>5</v>
      </c>
      <c r="L49" s="365">
        <v>6</v>
      </c>
      <c r="M49" s="364">
        <v>7</v>
      </c>
      <c r="N49" s="365">
        <v>8</v>
      </c>
      <c r="O49" s="365">
        <v>9</v>
      </c>
      <c r="P49" s="364">
        <v>10</v>
      </c>
      <c r="Q49" s="365">
        <v>11</v>
      </c>
      <c r="R49" s="365">
        <v>12</v>
      </c>
      <c r="S49" s="364">
        <v>13</v>
      </c>
      <c r="T49" s="365">
        <v>14</v>
      </c>
      <c r="U49" s="365">
        <v>15</v>
      </c>
      <c r="V49" s="364">
        <v>16</v>
      </c>
      <c r="W49" s="365">
        <v>17</v>
      </c>
      <c r="X49" s="365">
        <v>18</v>
      </c>
      <c r="Y49" s="364">
        <v>19</v>
      </c>
      <c r="Z49" s="365">
        <v>20</v>
      </c>
      <c r="AA49" s="365">
        <v>21</v>
      </c>
      <c r="AB49" s="364">
        <v>22</v>
      </c>
      <c r="AC49" s="365">
        <v>23</v>
      </c>
      <c r="AD49" s="365">
        <v>24</v>
      </c>
      <c r="AE49" s="364">
        <v>25</v>
      </c>
      <c r="AF49" s="365">
        <v>26</v>
      </c>
      <c r="AG49" s="586"/>
      <c r="AH49" s="11"/>
      <c r="AI49" s="11"/>
      <c r="AJ49" s="11"/>
      <c r="AK49" s="11"/>
      <c r="AL49" s="11"/>
      <c r="AM49" s="11"/>
      <c r="AN49" s="11"/>
    </row>
    <row r="50" spans="1:40" ht="15.95" thickBot="1">
      <c r="A50" s="1123"/>
      <c r="C50" s="297">
        <v>4.2000000000000003E-2</v>
      </c>
      <c r="D50" s="298">
        <v>4.3999999999999997E-2</v>
      </c>
      <c r="E50" s="299">
        <v>1.4999999999999999E-2</v>
      </c>
      <c r="F50" s="300">
        <f>E50+D50+C50</f>
        <v>0.10100000000000001</v>
      </c>
      <c r="G50" s="364">
        <v>0</v>
      </c>
      <c r="S50" s="282"/>
      <c r="T50" s="282"/>
      <c r="U50" s="282"/>
      <c r="V50" s="282"/>
      <c r="W50" s="282"/>
      <c r="X50" s="282"/>
      <c r="Y50" s="282"/>
      <c r="Z50" s="282"/>
      <c r="AA50" s="282"/>
      <c r="AB50" s="282"/>
      <c r="AC50" s="282"/>
      <c r="AD50" s="282"/>
      <c r="AE50" s="282"/>
      <c r="AF50" s="282"/>
      <c r="AG50" s="585"/>
      <c r="AH50" s="11"/>
      <c r="AI50" s="11"/>
      <c r="AJ50" s="11"/>
      <c r="AK50" s="11"/>
      <c r="AL50" s="11"/>
      <c r="AM50" s="11"/>
      <c r="AN50" s="11"/>
    </row>
    <row r="51" spans="1:40" ht="15">
      <c r="A51" s="282"/>
      <c r="C51" s="282"/>
      <c r="D51" s="282"/>
      <c r="G51"/>
      <c r="H51" s="687"/>
      <c r="I51" s="282"/>
      <c r="J51" s="282"/>
      <c r="K51" s="282"/>
      <c r="S51" s="282"/>
      <c r="T51" s="282"/>
      <c r="U51" s="282"/>
      <c r="V51" s="282"/>
      <c r="W51" s="282"/>
      <c r="X51" s="282"/>
      <c r="Y51" s="282"/>
      <c r="Z51" s="282"/>
      <c r="AA51" s="282"/>
      <c r="AB51" s="282"/>
      <c r="AC51" s="282"/>
      <c r="AD51" s="282"/>
      <c r="AE51" s="282"/>
      <c r="AF51" s="282"/>
      <c r="AG51" s="585"/>
      <c r="AH51" s="11"/>
      <c r="AI51" s="11"/>
      <c r="AJ51" s="11"/>
      <c r="AK51" s="11"/>
      <c r="AL51" s="11"/>
      <c r="AM51" s="11"/>
      <c r="AN51" s="11"/>
    </row>
    <row r="52" spans="1:40" ht="15" customHeight="1">
      <c r="A52" s="1100" t="s">
        <v>427</v>
      </c>
      <c r="C52" s="507" t="s">
        <v>390</v>
      </c>
      <c r="D52" s="508" t="s">
        <v>367</v>
      </c>
      <c r="E52" s="509" t="s">
        <v>368</v>
      </c>
      <c r="F52" s="508" t="s">
        <v>428</v>
      </c>
      <c r="G52" s="282"/>
      <c r="I52" s="544"/>
      <c r="J52" s="544"/>
      <c r="K52" s="282"/>
      <c r="S52" s="282"/>
      <c r="T52" s="282"/>
      <c r="U52" s="282"/>
      <c r="V52" s="282"/>
      <c r="W52" s="282"/>
      <c r="X52" s="282"/>
      <c r="Y52" s="282"/>
      <c r="Z52" s="282"/>
      <c r="AA52" s="282"/>
      <c r="AB52" s="282"/>
      <c r="AC52" s="282"/>
      <c r="AD52" s="282"/>
      <c r="AE52" s="282"/>
      <c r="AF52" s="282"/>
      <c r="AG52" s="585"/>
      <c r="AH52" s="11"/>
      <c r="AI52" s="11"/>
      <c r="AJ52" s="11"/>
      <c r="AK52" s="11"/>
      <c r="AL52" s="11"/>
      <c r="AM52" s="11"/>
      <c r="AN52" s="11"/>
    </row>
    <row r="53" spans="1:40" ht="15" customHeight="1">
      <c r="A53" s="1101"/>
      <c r="C53" s="510" t="s">
        <v>429</v>
      </c>
      <c r="D53" s="465">
        <f>+Assumptions!H127</f>
        <v>0.21594303112381649</v>
      </c>
      <c r="E53" s="465">
        <f>+Assumptions!I127</f>
        <v>0.20312966592727241</v>
      </c>
      <c r="F53" s="511" t="s">
        <v>430</v>
      </c>
      <c r="G53" s="551"/>
      <c r="I53" s="282"/>
      <c r="J53" s="282"/>
      <c r="K53" s="282"/>
      <c r="S53" s="282"/>
      <c r="T53" s="282"/>
      <c r="U53" s="282"/>
      <c r="V53" s="282"/>
      <c r="W53" s="282"/>
      <c r="X53" s="282"/>
      <c r="Y53" s="282"/>
      <c r="Z53" s="282"/>
      <c r="AA53" s="282"/>
      <c r="AB53" s="282"/>
      <c r="AC53" s="282"/>
      <c r="AD53" s="282"/>
      <c r="AE53" s="282"/>
      <c r="AF53" s="282"/>
      <c r="AG53" s="585"/>
      <c r="AH53" s="11"/>
      <c r="AI53" s="11"/>
      <c r="AJ53" s="11"/>
      <c r="AK53" s="11"/>
      <c r="AL53" s="11"/>
      <c r="AM53" s="11"/>
      <c r="AN53" s="11"/>
    </row>
    <row r="54" spans="1:40" ht="15" customHeight="1">
      <c r="A54" s="1101"/>
      <c r="C54" s="512" t="s">
        <v>431</v>
      </c>
      <c r="D54" s="466">
        <f>+Assumptions!H128</f>
        <v>0.14570090534738481</v>
      </c>
      <c r="E54" s="466">
        <f>+Assumptions!I128</f>
        <v>0.14570090534738481</v>
      </c>
      <c r="F54" s="513" t="s">
        <v>430</v>
      </c>
      <c r="G54" s="282"/>
      <c r="I54" s="282"/>
      <c r="J54" s="282"/>
      <c r="K54" s="282"/>
      <c r="S54" s="282"/>
      <c r="T54" s="282"/>
      <c r="U54" s="282"/>
      <c r="V54" s="282"/>
      <c r="W54" s="282"/>
      <c r="X54" s="282"/>
      <c r="Y54" s="282"/>
      <c r="Z54" s="282"/>
      <c r="AA54" s="282"/>
      <c r="AB54" s="282"/>
      <c r="AC54" s="282"/>
      <c r="AD54" s="282"/>
      <c r="AE54" s="282"/>
      <c r="AF54" s="282"/>
      <c r="AG54" s="585"/>
      <c r="AH54" s="11"/>
      <c r="AI54" s="11"/>
      <c r="AJ54" s="11"/>
      <c r="AK54" s="11"/>
      <c r="AL54" s="11"/>
      <c r="AM54" s="11"/>
      <c r="AN54" s="11"/>
    </row>
    <row r="55" spans="1:40" ht="15" customHeight="1">
      <c r="A55" s="1101"/>
      <c r="C55" s="483" t="s">
        <v>432</v>
      </c>
      <c r="D55" s="467">
        <f>+Assumptions!I32</f>
        <v>6.580200789108287E-2</v>
      </c>
      <c r="E55" s="514">
        <f>+Assumptions!I129</f>
        <v>6.580200789108287E-2</v>
      </c>
      <c r="F55" s="511" t="s">
        <v>433</v>
      </c>
      <c r="G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585"/>
      <c r="AH55" s="11"/>
      <c r="AI55" s="11"/>
      <c r="AJ55" s="11"/>
      <c r="AK55" s="11"/>
      <c r="AL55" s="11"/>
      <c r="AM55" s="11"/>
      <c r="AN55" s="11"/>
    </row>
    <row r="56" spans="1:40" ht="15" customHeight="1">
      <c r="A56" s="1101"/>
      <c r="C56" s="512" t="s">
        <v>434</v>
      </c>
      <c r="D56" s="466">
        <f>+Assumptions!H130</f>
        <v>0.14760000000000001</v>
      </c>
      <c r="E56" s="466">
        <f>+Assumptions!I130</f>
        <v>0.13391999999999998</v>
      </c>
      <c r="F56" s="511" t="s">
        <v>435</v>
      </c>
      <c r="G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585"/>
      <c r="AH56" s="11"/>
      <c r="AI56" s="11"/>
      <c r="AJ56" s="11"/>
      <c r="AK56" s="11"/>
      <c r="AL56" s="11"/>
      <c r="AM56" s="11"/>
      <c r="AN56" s="11"/>
    </row>
    <row r="57" spans="1:40" ht="15" customHeight="1">
      <c r="A57" s="1101"/>
      <c r="C57" s="483" t="s">
        <v>436</v>
      </c>
      <c r="D57" s="466">
        <f>+Assumptions!H131</f>
        <v>0</v>
      </c>
      <c r="E57" s="466">
        <f>+Assumptions!I131</f>
        <v>0.04</v>
      </c>
      <c r="F57" s="513" t="s">
        <v>437</v>
      </c>
      <c r="G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585"/>
      <c r="AH57" s="11"/>
      <c r="AI57" s="11"/>
      <c r="AJ57" s="11"/>
      <c r="AK57" s="11"/>
      <c r="AL57" s="11"/>
      <c r="AM57" s="11"/>
      <c r="AN57" s="11"/>
    </row>
    <row r="58" spans="1:40" ht="15" customHeight="1">
      <c r="A58" s="1101"/>
      <c r="C58" s="512" t="s">
        <v>438</v>
      </c>
      <c r="D58" s="466">
        <f>+Assumptions!H132</f>
        <v>4.3999999999999997E-2</v>
      </c>
      <c r="E58" s="466">
        <f>+Assumptions!I132</f>
        <v>4.3299999999999998E-2</v>
      </c>
      <c r="F58" s="511" t="s">
        <v>439</v>
      </c>
      <c r="G58" s="282"/>
      <c r="H58" s="282"/>
      <c r="I58" s="284"/>
      <c r="J58" s="308"/>
      <c r="K58" s="308"/>
      <c r="L58" s="308"/>
      <c r="M58" s="308"/>
      <c r="N58" s="308"/>
      <c r="O58" s="282"/>
      <c r="P58" s="282"/>
      <c r="Q58" s="282"/>
      <c r="R58" s="282"/>
      <c r="S58" s="282"/>
      <c r="T58" s="282"/>
      <c r="U58" s="282"/>
      <c r="V58" s="282"/>
      <c r="W58" s="282"/>
      <c r="X58" s="282"/>
      <c r="Y58" s="282"/>
      <c r="Z58" s="282"/>
      <c r="AA58" s="282"/>
      <c r="AB58" s="282"/>
      <c r="AC58" s="282"/>
      <c r="AD58" s="282"/>
      <c r="AE58" s="282"/>
      <c r="AF58" s="282"/>
      <c r="AG58" s="585"/>
      <c r="AH58" s="11"/>
      <c r="AI58" s="11"/>
      <c r="AJ58" s="11"/>
      <c r="AK58" s="11"/>
      <c r="AL58" s="11"/>
      <c r="AM58" s="11"/>
      <c r="AN58" s="11"/>
    </row>
    <row r="59" spans="1:40" ht="15" customHeight="1">
      <c r="A59" s="1101"/>
      <c r="C59" s="483" t="s">
        <v>440</v>
      </c>
      <c r="D59" s="466">
        <f>+Assumptions!H133</f>
        <v>-3.5798791701388971E-2</v>
      </c>
      <c r="E59" s="466">
        <f>+Assumptions!I133</f>
        <v>-3.2261722666990261E-2</v>
      </c>
      <c r="F59" s="513" t="s">
        <v>441</v>
      </c>
      <c r="G59" s="282"/>
      <c r="H59" s="282"/>
      <c r="I59" s="282"/>
      <c r="J59" s="309"/>
      <c r="K59" s="309"/>
      <c r="L59" s="309"/>
      <c r="M59" s="309"/>
      <c r="N59" s="308"/>
      <c r="O59" s="282"/>
      <c r="P59" s="282"/>
      <c r="Q59" s="282"/>
      <c r="R59" s="282"/>
      <c r="S59" s="282"/>
      <c r="T59" s="282"/>
      <c r="U59" s="282"/>
      <c r="V59" s="282"/>
      <c r="W59" s="282"/>
      <c r="X59" s="282"/>
      <c r="Y59" s="282"/>
      <c r="Z59" s="282"/>
      <c r="AA59" s="282"/>
      <c r="AB59" s="282"/>
      <c r="AC59" s="282"/>
      <c r="AD59" s="282"/>
      <c r="AE59" s="282"/>
      <c r="AF59" s="282"/>
      <c r="AG59" s="585"/>
      <c r="AH59" s="11"/>
      <c r="AI59" s="11"/>
      <c r="AJ59" s="11"/>
      <c r="AK59" s="11"/>
      <c r="AL59" s="11"/>
      <c r="AM59" s="11"/>
      <c r="AN59" s="11"/>
    </row>
    <row r="60" spans="1:40" ht="15" customHeight="1">
      <c r="A60" s="1101"/>
      <c r="C60" s="507" t="s">
        <v>442</v>
      </c>
      <c r="D60" s="466">
        <f>+Assumptions!H134</f>
        <v>-4.7895647101995013E-3</v>
      </c>
      <c r="E60" s="466">
        <f>+Assumptions!I134</f>
        <v>-3.9989639679563815E-2</v>
      </c>
      <c r="F60" s="515" t="s">
        <v>443</v>
      </c>
      <c r="G60" s="282"/>
      <c r="H60" s="282"/>
      <c r="I60" s="282"/>
      <c r="J60" s="308"/>
      <c r="K60" s="308"/>
      <c r="L60" s="308"/>
      <c r="M60" s="308"/>
      <c r="N60" s="308"/>
      <c r="O60" s="282"/>
      <c r="P60" s="282"/>
      <c r="Q60" s="282"/>
      <c r="R60" s="282"/>
      <c r="S60" s="282"/>
      <c r="T60" s="282"/>
      <c r="U60" s="282"/>
      <c r="V60" s="282"/>
      <c r="W60" s="282"/>
      <c r="X60" s="282"/>
      <c r="Y60" s="282"/>
      <c r="Z60" s="282"/>
      <c r="AA60" s="282"/>
      <c r="AB60" s="282"/>
      <c r="AC60" s="282"/>
      <c r="AD60" s="282"/>
      <c r="AE60" s="282"/>
      <c r="AF60" s="282"/>
      <c r="AG60" s="585"/>
      <c r="AH60" s="11"/>
      <c r="AI60" s="11"/>
      <c r="AJ60" s="11"/>
      <c r="AK60" s="11"/>
      <c r="AL60" s="11"/>
      <c r="AM60" s="11"/>
      <c r="AN60" s="11"/>
    </row>
    <row r="61" spans="1:40" ht="15" customHeight="1">
      <c r="A61" s="1101"/>
      <c r="C61" s="516" t="s">
        <v>444</v>
      </c>
      <c r="D61" s="466">
        <f>+Assumptions!H135</f>
        <v>6.8355369357049667E-2</v>
      </c>
      <c r="E61" s="466">
        <f>+Assumptions!I135</f>
        <v>8.1433906667693082E-2</v>
      </c>
      <c r="F61" s="511" t="s">
        <v>445</v>
      </c>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585"/>
      <c r="AH61" s="11"/>
      <c r="AI61" s="11"/>
      <c r="AJ61" s="11"/>
      <c r="AK61" s="11"/>
      <c r="AL61" s="11"/>
      <c r="AM61" s="11"/>
      <c r="AN61" s="11"/>
    </row>
    <row r="62" spans="1:40" ht="15" customHeight="1">
      <c r="A62" s="1101"/>
      <c r="C62" s="516" t="s">
        <v>446</v>
      </c>
      <c r="D62" s="466">
        <f>+Assumptions!H136</f>
        <v>-3.5798791701388971E-2</v>
      </c>
      <c r="E62" s="466">
        <f>+Assumptions!I136</f>
        <v>-3.2261722666990261E-2</v>
      </c>
      <c r="F62" s="511" t="s">
        <v>447</v>
      </c>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585"/>
      <c r="AH62" s="11"/>
      <c r="AI62" s="11"/>
      <c r="AJ62" s="11"/>
      <c r="AK62" s="11"/>
      <c r="AL62" s="11"/>
      <c r="AM62" s="11"/>
      <c r="AN62" s="11"/>
    </row>
    <row r="63" spans="1:40" ht="15" customHeight="1">
      <c r="A63" s="1101"/>
      <c r="C63" s="516" t="s">
        <v>448</v>
      </c>
      <c r="D63" s="466">
        <f>+Assumptions!H137</f>
        <v>-3.4055604668921186E-2</v>
      </c>
      <c r="E63" s="466">
        <f>+Assumptions!I137</f>
        <v>-3.1163390624802875E-2</v>
      </c>
      <c r="F63" s="511" t="s">
        <v>447</v>
      </c>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585"/>
      <c r="AH63" s="11"/>
      <c r="AI63" s="11"/>
      <c r="AJ63" s="11"/>
      <c r="AK63" s="11"/>
      <c r="AL63" s="11"/>
      <c r="AM63" s="11"/>
      <c r="AN63" s="11"/>
    </row>
    <row r="64" spans="1:40" ht="15" customHeight="1">
      <c r="A64" s="1101"/>
      <c r="C64" s="516" t="s">
        <v>135</v>
      </c>
      <c r="D64" s="466">
        <f>+Assumptions!H138</f>
        <v>0</v>
      </c>
      <c r="E64" s="466">
        <f>+Assumptions!E94</f>
        <v>0.3344890410678481</v>
      </c>
      <c r="F64" s="511" t="s">
        <v>449</v>
      </c>
      <c r="G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row>
    <row r="65" spans="1:33" ht="15" customHeight="1">
      <c r="A65" s="1101"/>
      <c r="C65" s="516" t="s">
        <v>450</v>
      </c>
      <c r="D65" s="466">
        <v>0</v>
      </c>
      <c r="E65" s="466">
        <f>+Assumptions!H94</f>
        <v>0.43986566783063463</v>
      </c>
      <c r="F65" s="511" t="s">
        <v>449</v>
      </c>
      <c r="G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row>
    <row r="66" spans="1:33" ht="15" customHeight="1">
      <c r="A66" s="1101"/>
      <c r="C66" s="516" t="s">
        <v>451</v>
      </c>
      <c r="D66" s="466">
        <v>0.05</v>
      </c>
      <c r="E66" s="466">
        <v>0.05</v>
      </c>
      <c r="F66" s="511" t="s">
        <v>447</v>
      </c>
      <c r="G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row>
    <row r="67" spans="1:33" ht="15.75" customHeight="1">
      <c r="A67" s="1102"/>
      <c r="C67" s="516" t="s">
        <v>452</v>
      </c>
      <c r="D67" s="466">
        <f>+Assumptions!H141</f>
        <v>0</v>
      </c>
      <c r="E67" s="466">
        <f>+Assumptions!I141</f>
        <v>0</v>
      </c>
      <c r="F67" s="511" t="s">
        <v>447</v>
      </c>
      <c r="G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row>
    <row r="68" spans="1:33" ht="15">
      <c r="A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row>
    <row r="69" spans="1:33" ht="15">
      <c r="A69" s="1100" t="s">
        <v>112</v>
      </c>
      <c r="C69" s="366"/>
      <c r="D69" s="474" t="s">
        <v>453</v>
      </c>
      <c r="E69" s="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row>
    <row r="70" spans="1:33" ht="15">
      <c r="A70" s="1101"/>
      <c r="C70" s="366" t="s">
        <v>454</v>
      </c>
      <c r="D70" s="475">
        <f>SUMPRODUCT(G35:AF35,G45:AF45)+((AF43-AF44)*AF45)</f>
        <v>32420.253123379327</v>
      </c>
      <c r="E70" s="428">
        <f>D70/D72</f>
        <v>0.42901896654994431</v>
      </c>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row>
    <row r="71" spans="1:33" ht="15">
      <c r="A71" s="1101"/>
      <c r="C71" s="366" t="s">
        <v>455</v>
      </c>
      <c r="D71" s="475">
        <f>(AF34/(F50-AF5))*AF45</f>
        <v>43148.091521367562</v>
      </c>
      <c r="E71" s="428">
        <f>D71/D72</f>
        <v>0.57098103345005569</v>
      </c>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row>
    <row r="72" spans="1:33" ht="15">
      <c r="A72" s="1101"/>
      <c r="C72" s="366" t="s">
        <v>456</v>
      </c>
      <c r="D72" s="475">
        <f>D70+D71</f>
        <v>75568.344644746889</v>
      </c>
      <c r="E72" s="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row>
    <row r="73" spans="1:33" ht="15">
      <c r="A73" s="1101"/>
      <c r="C73" s="476" t="s">
        <v>457</v>
      </c>
      <c r="D73" s="473">
        <f>OP!C17</f>
        <v>47.24</v>
      </c>
      <c r="E73" s="367"/>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row>
    <row r="74" spans="1:33" ht="15">
      <c r="A74" s="1101"/>
      <c r="C74" s="476" t="s">
        <v>458</v>
      </c>
      <c r="D74" s="477">
        <f>D75/D73-1</f>
        <v>-0.20396953179609212</v>
      </c>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row>
    <row r="75" spans="1:33" ht="15">
      <c r="A75" s="1102"/>
      <c r="C75" s="478" t="s">
        <v>459</v>
      </c>
      <c r="D75" s="479">
        <f>D72*1000000/OP!C18</f>
        <v>37.60447931795261</v>
      </c>
    </row>
    <row r="76" spans="1:33" ht="15">
      <c r="A76" s="454"/>
      <c r="C76" s="367"/>
      <c r="D76" s="472"/>
    </row>
    <row r="77" spans="1:33" ht="15">
      <c r="A77" s="1096" t="s">
        <v>460</v>
      </c>
      <c r="C77" s="506" t="s">
        <v>461</v>
      </c>
      <c r="D77" s="473">
        <f>(SUMPRODUCT(G35:AF35,G45:AF45)+((AF43-AF44)*AF45)+(AF34/(F50+0.001-AF5))*AF45)*1000000/OP!C18</f>
        <v>37.371094052046999</v>
      </c>
      <c r="E77" s="480">
        <f>D77/D75-1</f>
        <v>-6.2063155809789494E-3</v>
      </c>
    </row>
    <row r="78" spans="1:33" ht="15">
      <c r="A78" s="1097"/>
      <c r="C78" s="506" t="s">
        <v>462</v>
      </c>
      <c r="D78" s="473">
        <f>(SUMPRODUCT(G35:AF35,G45:AF45)+((AF43-AF44)*AF45)+(AF34/(F50+0.005-AF5))*AF45)*1000000/OP!C18</f>
        <v>36.486174918821575</v>
      </c>
      <c r="E78" s="480">
        <f>D78/D75-1</f>
        <v>-2.9738595492190489E-2</v>
      </c>
    </row>
    <row r="79" spans="1:33" ht="15">
      <c r="A79" s="504"/>
      <c r="C79" s="505"/>
      <c r="D79" s="472"/>
      <c r="E79" s="480"/>
    </row>
    <row r="80" spans="1:33" ht="15">
      <c r="A80" s="517" t="s">
        <v>463</v>
      </c>
      <c r="J80" s="5"/>
    </row>
    <row r="81" spans="7:12">
      <c r="G81" s="1"/>
      <c r="H81" s="1"/>
      <c r="I81" s="1"/>
      <c r="J81" s="4"/>
    </row>
    <row r="82" spans="7:12">
      <c r="G82" s="1"/>
      <c r="H82" s="1"/>
      <c r="I82" s="1"/>
      <c r="J82" s="4"/>
    </row>
    <row r="83" spans="7:12">
      <c r="G83" s="1"/>
      <c r="H83" s="1"/>
      <c r="I83" s="1"/>
      <c r="K83" s="4"/>
    </row>
    <row r="84" spans="7:12">
      <c r="L84" s="5"/>
    </row>
    <row r="85" spans="7:12">
      <c r="G85" s="1"/>
      <c r="H85" s="1"/>
      <c r="I85" s="1"/>
    </row>
    <row r="86" spans="7:12">
      <c r="G86" s="1"/>
      <c r="H86" s="1"/>
      <c r="I86" s="1"/>
    </row>
    <row r="87" spans="7:12">
      <c r="G87" s="1"/>
      <c r="H87" s="1"/>
      <c r="I87" s="1"/>
    </row>
  </sheetData>
  <mergeCells count="15">
    <mergeCell ref="A33:AF33"/>
    <mergeCell ref="A77:A78"/>
    <mergeCell ref="A1:AF2"/>
    <mergeCell ref="A69:A75"/>
    <mergeCell ref="A5:A17"/>
    <mergeCell ref="A19:A32"/>
    <mergeCell ref="A43:A47"/>
    <mergeCell ref="A52:A67"/>
    <mergeCell ref="G3:J3"/>
    <mergeCell ref="K3:AF3"/>
    <mergeCell ref="A42:AF42"/>
    <mergeCell ref="A48:AF48"/>
    <mergeCell ref="A34:A36"/>
    <mergeCell ref="A38:A41"/>
    <mergeCell ref="A49:A50"/>
  </mergeCells>
  <phoneticPr fontId="0" type="noConversion"/>
  <conditionalFormatting sqref="D74">
    <cfRule type="cellIs" dxfId="28" priority="1" operator="lessThan">
      <formula>0</formula>
    </cfRule>
    <cfRule type="cellIs" dxfId="27" priority="2" operator="greaterThan">
      <formula>0%</formula>
    </cfRule>
  </conditionalFormatting>
  <pageMargins left="0.75" right="0.75" top="1" bottom="1" header="0" footer="0"/>
  <pageSetup orientation="portrait" r:id="rId1"/>
  <headerFooter alignWithMargins="0"/>
  <ignoredErrors>
    <ignoredError sqref="I14"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C4B9D-2E41-D849-8EBE-D480A1216AC6}">
  <dimension ref="A2:AP152"/>
  <sheetViews>
    <sheetView topLeftCell="A239" workbookViewId="0">
      <selection activeCell="AD289" sqref="AD289"/>
    </sheetView>
  </sheetViews>
  <sheetFormatPr defaultColWidth="11.42578125" defaultRowHeight="12.95"/>
  <cols>
    <col min="2" max="2" width="55.28515625" bestFit="1" customWidth="1"/>
    <col min="3" max="3" width="12.28515625" bestFit="1" customWidth="1"/>
    <col min="4" max="5" width="11.7109375" bestFit="1" customWidth="1"/>
    <col min="6" max="6" width="20.140625" bestFit="1" customWidth="1"/>
    <col min="7" max="7" width="11.7109375" bestFit="1" customWidth="1"/>
    <col min="8" max="8" width="20" bestFit="1" customWidth="1"/>
    <col min="9" max="9" width="23.28515625" bestFit="1" customWidth="1"/>
    <col min="11" max="11" width="15.140625" bestFit="1" customWidth="1"/>
  </cols>
  <sheetData>
    <row r="2" spans="2:34">
      <c r="B2" s="11" t="s">
        <v>464</v>
      </c>
    </row>
    <row r="3" spans="2:34">
      <c r="B3" s="642" t="s">
        <v>465</v>
      </c>
    </row>
    <row r="7" spans="2:34" ht="15">
      <c r="B7" s="630"/>
      <c r="C7" s="1124" t="s">
        <v>466</v>
      </c>
      <c r="D7" s="1124"/>
      <c r="E7" s="1124"/>
      <c r="F7" s="1124"/>
      <c r="G7" s="1124"/>
      <c r="H7" s="1124"/>
      <c r="I7" s="1125" t="s">
        <v>467</v>
      </c>
      <c r="J7" s="1126"/>
      <c r="K7" s="1126"/>
      <c r="L7" s="1126"/>
      <c r="M7" s="1126"/>
    </row>
    <row r="8" spans="2:34" ht="15">
      <c r="B8" s="631"/>
      <c r="C8" s="631">
        <v>2017</v>
      </c>
      <c r="D8" s="631">
        <v>2018</v>
      </c>
      <c r="E8" s="631">
        <v>2019</v>
      </c>
      <c r="F8" s="6">
        <v>2020</v>
      </c>
      <c r="G8" s="6">
        <v>2021</v>
      </c>
      <c r="H8" s="632">
        <v>2022</v>
      </c>
      <c r="I8" s="6">
        <v>2023</v>
      </c>
      <c r="J8" s="6">
        <f>I8+1</f>
        <v>2024</v>
      </c>
      <c r="K8" s="6">
        <f t="shared" ref="K8:AH8" si="0">J8+1</f>
        <v>2025</v>
      </c>
      <c r="L8" s="6">
        <f t="shared" si="0"/>
        <v>2026</v>
      </c>
      <c r="M8" s="632">
        <f t="shared" si="0"/>
        <v>2027</v>
      </c>
      <c r="N8" s="6">
        <f t="shared" si="0"/>
        <v>2028</v>
      </c>
      <c r="O8" s="6">
        <f t="shared" si="0"/>
        <v>2029</v>
      </c>
      <c r="P8" s="6">
        <f t="shared" si="0"/>
        <v>2030</v>
      </c>
      <c r="Q8" s="6">
        <f t="shared" si="0"/>
        <v>2031</v>
      </c>
      <c r="R8" s="632">
        <f t="shared" si="0"/>
        <v>2032</v>
      </c>
      <c r="S8" s="6">
        <f t="shared" si="0"/>
        <v>2033</v>
      </c>
      <c r="T8" s="6">
        <f t="shared" si="0"/>
        <v>2034</v>
      </c>
      <c r="U8" s="6">
        <f t="shared" si="0"/>
        <v>2035</v>
      </c>
      <c r="V8" s="6">
        <f t="shared" si="0"/>
        <v>2036</v>
      </c>
      <c r="W8" s="632">
        <f t="shared" si="0"/>
        <v>2037</v>
      </c>
      <c r="X8" s="6">
        <f t="shared" si="0"/>
        <v>2038</v>
      </c>
      <c r="Y8" s="6">
        <f t="shared" si="0"/>
        <v>2039</v>
      </c>
      <c r="Z8" s="6">
        <f t="shared" si="0"/>
        <v>2040</v>
      </c>
      <c r="AA8" s="6">
        <f t="shared" si="0"/>
        <v>2041</v>
      </c>
      <c r="AB8" s="632">
        <f t="shared" si="0"/>
        <v>2042</v>
      </c>
      <c r="AC8" s="6">
        <f t="shared" si="0"/>
        <v>2043</v>
      </c>
      <c r="AD8" s="6">
        <f t="shared" si="0"/>
        <v>2044</v>
      </c>
      <c r="AE8" s="6">
        <f t="shared" si="0"/>
        <v>2045</v>
      </c>
      <c r="AF8" s="6">
        <f t="shared" si="0"/>
        <v>2046</v>
      </c>
      <c r="AG8" s="632">
        <f t="shared" si="0"/>
        <v>2047</v>
      </c>
      <c r="AH8" s="6">
        <f t="shared" si="0"/>
        <v>2048</v>
      </c>
    </row>
    <row r="9" spans="2:34" ht="15.95" thickBot="1">
      <c r="B9" s="638" t="s">
        <v>124</v>
      </c>
      <c r="C9" s="73">
        <f>+'Fin. Data'!G5</f>
        <v>7932</v>
      </c>
      <c r="D9" s="73">
        <f>+'Fin. Data'!F5</f>
        <v>10433</v>
      </c>
      <c r="E9" s="73">
        <f>+'Fin. Data'!E5</f>
        <v>13000</v>
      </c>
      <c r="F9" s="73">
        <f>+'Fin. Data'!D5</f>
        <v>11139</v>
      </c>
      <c r="G9" s="73">
        <f>+'Fin. Data'!C5</f>
        <v>17455</v>
      </c>
      <c r="H9" s="73">
        <f>+'Fin. Data'!B5</f>
        <v>31877</v>
      </c>
      <c r="I9" s="641">
        <f>+H9*(1+I10)</f>
        <v>39846.25</v>
      </c>
      <c r="J9" s="641">
        <f t="shared" ref="J9:M9" si="1">+I9*(1+J10)</f>
        <v>47815.5</v>
      </c>
      <c r="K9" s="641">
        <f t="shared" si="1"/>
        <v>54987.824999999997</v>
      </c>
      <c r="L9" s="641">
        <f t="shared" si="1"/>
        <v>63235.998749999992</v>
      </c>
      <c r="M9" s="641">
        <f t="shared" si="1"/>
        <v>69559.598624999999</v>
      </c>
      <c r="N9" s="73">
        <f>M9*(1+N10)</f>
        <v>75819.962501250004</v>
      </c>
      <c r="O9" s="73">
        <f t="shared" ref="O9:R9" si="2">N9*(1+O10)</f>
        <v>82643.759126362507</v>
      </c>
      <c r="P9" s="73">
        <f t="shared" si="2"/>
        <v>89255.259856471515</v>
      </c>
      <c r="Q9" s="73">
        <f t="shared" si="2"/>
        <v>96395.680644989247</v>
      </c>
      <c r="R9" s="643">
        <f t="shared" si="2"/>
        <v>103143.3782901385</v>
      </c>
      <c r="S9" s="73">
        <f>R9*(1+S10)</f>
        <v>110363.4147704482</v>
      </c>
      <c r="T9" s="73">
        <f t="shared" ref="T9:W9" si="3">S9*(1+T10)</f>
        <v>116985.21965667509</v>
      </c>
      <c r="U9" s="73">
        <f t="shared" si="3"/>
        <v>122834.48063950885</v>
      </c>
      <c r="V9" s="73">
        <f t="shared" si="3"/>
        <v>128976.2046714843</v>
      </c>
      <c r="W9" s="643">
        <f t="shared" si="3"/>
        <v>135425.01490505852</v>
      </c>
      <c r="X9" s="73">
        <f>W9*(1+X10)</f>
        <v>142196.26565031146</v>
      </c>
      <c r="Y9" s="73">
        <f t="shared" ref="Y9:AB9" si="4">X9*(1+Y10)</f>
        <v>149306.07893282705</v>
      </c>
      <c r="Z9" s="73">
        <f t="shared" si="4"/>
        <v>156771.38287946841</v>
      </c>
      <c r="AA9" s="73">
        <f t="shared" si="4"/>
        <v>163826.09510904449</v>
      </c>
      <c r="AB9" s="643">
        <f t="shared" si="4"/>
        <v>170379.13891340626</v>
      </c>
      <c r="AC9" s="73">
        <f>AB9*(1+AC10)</f>
        <v>176342.40877537546</v>
      </c>
      <c r="AD9" s="73">
        <f t="shared" ref="AD9:AG9" si="5">AC9*(1+AD10)</f>
        <v>181632.68103863671</v>
      </c>
      <c r="AE9" s="73">
        <f t="shared" si="5"/>
        <v>186173.49806460261</v>
      </c>
      <c r="AF9" s="73">
        <f t="shared" si="5"/>
        <v>189896.96802589466</v>
      </c>
      <c r="AG9" s="643">
        <f t="shared" si="5"/>
        <v>192745.42254628305</v>
      </c>
      <c r="AH9" s="73">
        <f>AG9*(1+AH10)</f>
        <v>194672.87677174588</v>
      </c>
    </row>
    <row r="10" spans="2:34" ht="14.1" thickTop="1">
      <c r="B10" s="634" t="s">
        <v>468</v>
      </c>
      <c r="C10" s="634"/>
      <c r="D10" s="635">
        <f>+D9/C9-1</f>
        <v>0.31530509329299039</v>
      </c>
      <c r="E10" s="635">
        <f t="shared" ref="E10:H10" si="6">+E9/D9-1</f>
        <v>0.24604619955909124</v>
      </c>
      <c r="F10" s="635">
        <f t="shared" si="6"/>
        <v>-0.14315384615384619</v>
      </c>
      <c r="G10" s="635">
        <f t="shared" si="6"/>
        <v>0.56701678786246523</v>
      </c>
      <c r="H10" s="635">
        <f t="shared" si="6"/>
        <v>0.8262389000286452</v>
      </c>
      <c r="I10" s="635">
        <v>0.25</v>
      </c>
      <c r="J10" s="635">
        <v>0.2</v>
      </c>
      <c r="K10" s="635">
        <v>0.15</v>
      </c>
      <c r="L10" s="635">
        <v>0.15</v>
      </c>
      <c r="M10" s="635">
        <v>0.1</v>
      </c>
      <c r="N10" s="644">
        <v>0.09</v>
      </c>
      <c r="O10" s="644">
        <v>0.09</v>
      </c>
      <c r="P10" s="644">
        <v>0.08</v>
      </c>
      <c r="Q10" s="644">
        <v>0.08</v>
      </c>
      <c r="R10" s="644">
        <v>7.0000000000000007E-2</v>
      </c>
      <c r="S10" s="644">
        <v>7.0000000000000007E-2</v>
      </c>
      <c r="T10" s="644">
        <v>0.06</v>
      </c>
      <c r="U10" s="644">
        <v>0.05</v>
      </c>
      <c r="V10" s="644">
        <v>0.05</v>
      </c>
      <c r="W10" s="644">
        <v>0.05</v>
      </c>
      <c r="X10" s="644">
        <v>0.05</v>
      </c>
      <c r="Y10" s="644">
        <v>0.05</v>
      </c>
      <c r="Z10" s="644">
        <v>0.05</v>
      </c>
      <c r="AA10" s="644">
        <f>+Z10-0.005</f>
        <v>4.5000000000000005E-2</v>
      </c>
      <c r="AB10" s="644">
        <f t="shared" ref="AB10:AH10" si="7">+AA10-0.005</f>
        <v>4.0000000000000008E-2</v>
      </c>
      <c r="AC10" s="644">
        <f t="shared" si="7"/>
        <v>3.500000000000001E-2</v>
      </c>
      <c r="AD10" s="644">
        <f t="shared" si="7"/>
        <v>3.0000000000000009E-2</v>
      </c>
      <c r="AE10" s="644">
        <f t="shared" si="7"/>
        <v>2.5000000000000008E-2</v>
      </c>
      <c r="AF10" s="644">
        <f t="shared" si="7"/>
        <v>2.0000000000000007E-2</v>
      </c>
      <c r="AG10" s="644">
        <f t="shared" si="7"/>
        <v>1.5000000000000006E-2</v>
      </c>
      <c r="AH10" s="644">
        <f t="shared" si="7"/>
        <v>1.0000000000000005E-2</v>
      </c>
    </row>
    <row r="11" spans="2:34">
      <c r="B11" s="636" t="s">
        <v>469</v>
      </c>
      <c r="C11" s="636"/>
      <c r="D11" s="636"/>
      <c r="E11" s="636"/>
      <c r="F11" s="636"/>
      <c r="G11" s="636"/>
      <c r="H11" s="637">
        <f>+AVERAGE(D10:H10)</f>
        <v>0.36229062691786917</v>
      </c>
      <c r="I11" s="640"/>
      <c r="J11" s="640"/>
      <c r="K11" s="640"/>
      <c r="L11" s="640"/>
      <c r="M11" s="637">
        <f>AVERAGE(I10:M10)</f>
        <v>0.16999999999999998</v>
      </c>
      <c r="N11" s="645"/>
      <c r="O11" s="645"/>
      <c r="P11" s="645"/>
      <c r="Q11" s="645"/>
      <c r="R11" s="637">
        <f>+AVERAGE(N10:R10)</f>
        <v>8.2000000000000003E-2</v>
      </c>
      <c r="S11" s="645"/>
      <c r="T11" s="645"/>
      <c r="U11" s="645"/>
      <c r="V11" s="645"/>
      <c r="W11" s="637">
        <f>+AVERAGE(S10:W10)</f>
        <v>5.5999999999999994E-2</v>
      </c>
      <c r="X11" s="645"/>
      <c r="Y11" s="645"/>
      <c r="Z11" s="645"/>
      <c r="AA11" s="645"/>
      <c r="AB11" s="637">
        <f>+AVERAGE(X10:AB10)</f>
        <v>4.7000000000000007E-2</v>
      </c>
      <c r="AC11" s="645"/>
      <c r="AD11" s="645"/>
      <c r="AE11" s="645"/>
      <c r="AF11" s="645"/>
      <c r="AG11" s="637">
        <f>+AVERAGE(AC10:AG10)</f>
        <v>2.5000000000000005E-2</v>
      </c>
    </row>
    <row r="12" spans="2:34">
      <c r="B12" s="636" t="s">
        <v>470</v>
      </c>
      <c r="C12" s="636"/>
      <c r="D12" s="636"/>
      <c r="E12" s="636"/>
      <c r="F12" s="636"/>
      <c r="G12" s="636"/>
      <c r="H12" s="637"/>
      <c r="I12" s="640"/>
      <c r="J12" s="640"/>
      <c r="K12" s="640"/>
      <c r="L12" s="640"/>
      <c r="M12" s="637">
        <v>0.16300000000000001</v>
      </c>
    </row>
    <row r="13" spans="2:34">
      <c r="B13" s="636"/>
      <c r="C13" s="636"/>
      <c r="D13" s="636"/>
      <c r="E13" s="636"/>
      <c r="F13" s="636"/>
      <c r="G13" s="636"/>
      <c r="H13" s="637"/>
    </row>
    <row r="15" spans="2:34" ht="15">
      <c r="B15" s="630"/>
      <c r="C15" s="1124" t="s">
        <v>466</v>
      </c>
      <c r="D15" s="1124"/>
      <c r="E15" s="1124"/>
      <c r="F15" s="1124"/>
      <c r="G15" s="1124"/>
      <c r="H15" s="1124"/>
      <c r="I15" s="1125" t="s">
        <v>467</v>
      </c>
      <c r="J15" s="1126"/>
      <c r="K15" s="1126"/>
      <c r="L15" s="1126"/>
      <c r="M15" s="1126"/>
    </row>
    <row r="16" spans="2:34" ht="15">
      <c r="B16" s="631"/>
      <c r="C16" s="631">
        <v>2017</v>
      </c>
      <c r="D16" s="631">
        <v>2018</v>
      </c>
      <c r="E16" s="631">
        <v>2019</v>
      </c>
      <c r="F16" s="6">
        <v>2020</v>
      </c>
      <c r="G16" s="6">
        <v>2021</v>
      </c>
      <c r="H16" s="632">
        <v>2022</v>
      </c>
      <c r="I16" s="6">
        <v>2023</v>
      </c>
      <c r="J16" s="6">
        <f>I16+1</f>
        <v>2024</v>
      </c>
      <c r="K16" s="6">
        <f t="shared" ref="K16:M16" si="8">J16+1</f>
        <v>2025</v>
      </c>
      <c r="L16" s="6">
        <f t="shared" si="8"/>
        <v>2026</v>
      </c>
      <c r="M16" s="632">
        <f t="shared" si="8"/>
        <v>2027</v>
      </c>
      <c r="N16" s="6">
        <f t="shared" ref="N16" si="9">M16+1</f>
        <v>2028</v>
      </c>
      <c r="O16" s="6">
        <f t="shared" ref="O16" si="10">N16+1</f>
        <v>2029</v>
      </c>
      <c r="P16" s="6">
        <f t="shared" ref="P16" si="11">O16+1</f>
        <v>2030</v>
      </c>
      <c r="Q16" s="6">
        <f t="shared" ref="Q16" si="12">P16+1</f>
        <v>2031</v>
      </c>
      <c r="R16" s="632">
        <f t="shared" ref="R16" si="13">Q16+1</f>
        <v>2032</v>
      </c>
      <c r="S16" s="6">
        <f t="shared" ref="S16" si="14">R16+1</f>
        <v>2033</v>
      </c>
      <c r="T16" s="6">
        <f t="shared" ref="T16" si="15">S16+1</f>
        <v>2034</v>
      </c>
      <c r="U16" s="6">
        <f t="shared" ref="U16" si="16">T16+1</f>
        <v>2035</v>
      </c>
      <c r="V16" s="6">
        <f t="shared" ref="V16" si="17">U16+1</f>
        <v>2036</v>
      </c>
      <c r="W16" s="632">
        <f t="shared" ref="W16" si="18">V16+1</f>
        <v>2037</v>
      </c>
      <c r="X16" s="6">
        <f t="shared" ref="X16" si="19">W16+1</f>
        <v>2038</v>
      </c>
      <c r="Y16" s="6">
        <f t="shared" ref="Y16" si="20">X16+1</f>
        <v>2039</v>
      </c>
      <c r="Z16" s="6">
        <f t="shared" ref="Z16" si="21">Y16+1</f>
        <v>2040</v>
      </c>
      <c r="AA16" s="6">
        <f t="shared" ref="AA16" si="22">Z16+1</f>
        <v>2041</v>
      </c>
      <c r="AB16" s="632">
        <f t="shared" ref="AB16" si="23">AA16+1</f>
        <v>2042</v>
      </c>
      <c r="AC16" s="6">
        <f t="shared" ref="AC16" si="24">AB16+1</f>
        <v>2043</v>
      </c>
      <c r="AD16" s="6">
        <f t="shared" ref="AD16" si="25">AC16+1</f>
        <v>2044</v>
      </c>
      <c r="AE16" s="6">
        <f t="shared" ref="AE16" si="26">AD16+1</f>
        <v>2045</v>
      </c>
      <c r="AF16" s="6">
        <f t="shared" ref="AF16" si="27">AE16+1</f>
        <v>2046</v>
      </c>
      <c r="AG16" s="632">
        <f t="shared" ref="AG16" si="28">AF16+1</f>
        <v>2047</v>
      </c>
      <c r="AH16" s="6">
        <f t="shared" ref="AH16" si="29">AG16+1</f>
        <v>2048</v>
      </c>
    </row>
    <row r="17" spans="2:34" ht="15.95" thickBot="1">
      <c r="B17" s="633" t="s">
        <v>471</v>
      </c>
      <c r="C17" s="73">
        <v>504</v>
      </c>
      <c r="D17" s="73">
        <v>411</v>
      </c>
      <c r="E17" s="73">
        <v>456</v>
      </c>
      <c r="F17" s="73">
        <v>420</v>
      </c>
      <c r="G17" s="73">
        <v>463</v>
      </c>
      <c r="H17" s="73">
        <v>424</v>
      </c>
      <c r="I17" s="73">
        <f>+DCF!G40*I18</f>
        <v>473.92943790799092</v>
      </c>
      <c r="J17" s="73">
        <f>+DCF!H40*J18</f>
        <v>503.13269443783696</v>
      </c>
      <c r="K17" s="73">
        <f>+DCF!I40*K18</f>
        <v>536.71643944715993</v>
      </c>
      <c r="L17" s="73">
        <f>+DCF!J40*L18</f>
        <v>575.3377462078812</v>
      </c>
      <c r="M17" s="73">
        <f>+DCF!K40*M18</f>
        <v>617.82118364467465</v>
      </c>
      <c r="N17" s="73">
        <f>+DCF!L40*N18</f>
        <v>598.08771561789888</v>
      </c>
      <c r="O17" s="73">
        <f>+DCF!M40*O18</f>
        <v>643.54313316652417</v>
      </c>
      <c r="P17" s="73">
        <f>+DCF!N40*P18</f>
        <v>692.63498411903959</v>
      </c>
      <c r="Q17" s="73">
        <f>+DCF!O40*Q18</f>
        <v>745.65418314775616</v>
      </c>
      <c r="R17" s="73">
        <f>+DCF!P40*R18</f>
        <v>802.38472610848282</v>
      </c>
      <c r="S17" s="73">
        <f>+DCF!Q40*S18</f>
        <v>1159.4332872115001</v>
      </c>
      <c r="T17" s="73">
        <f>+DCF!R40*T18</f>
        <v>1622.4806243819987</v>
      </c>
      <c r="U17" s="73">
        <f>+DCF!S40*U18</f>
        <v>2108.6803284110219</v>
      </c>
      <c r="V17" s="73">
        <f>+DCF!T40*V18</f>
        <v>2619.190017641497</v>
      </c>
      <c r="W17" s="73">
        <f>+DCF!U40*W18</f>
        <v>3155.2251913334953</v>
      </c>
      <c r="X17" s="73">
        <f>+DCF!V40*X18</f>
        <v>3718.0621237100941</v>
      </c>
      <c r="Y17" s="73">
        <f>+DCF!W40*Y18</f>
        <v>4309.040902705523</v>
      </c>
      <c r="Z17" s="73">
        <f>+DCF!X40*Z18</f>
        <v>4929.5686206507226</v>
      </c>
      <c r="AA17" s="73">
        <f>+DCF!Y40*AA18</f>
        <v>5578.0200859034567</v>
      </c>
      <c r="AB17" s="73">
        <f>+DCF!Z40*AB18</f>
        <v>6252.4096097662996</v>
      </c>
      <c r="AC17" s="73">
        <f>+DCF!AA40*AC18</f>
        <v>6950.4027669643428</v>
      </c>
      <c r="AD17" s="73">
        <f>+DCF!AB40*AD18</f>
        <v>7669.3357188783266</v>
      </c>
      <c r="AE17" s="73">
        <f>+DCF!AC40*AE18</f>
        <v>8406.2419945901602</v>
      </c>
      <c r="AF17" s="73">
        <f>+DCF!AD40*AF18</f>
        <v>9157.8863958162292</v>
      </c>
      <c r="AG17" s="73">
        <f>+DCF!AE40*AG18</f>
        <v>9920.8054630606912</v>
      </c>
      <c r="AH17" s="73">
        <f>+DCF!AF40*AH18</f>
        <v>10691.353720977597</v>
      </c>
    </row>
    <row r="18" spans="2:34" ht="14.1" thickTop="1">
      <c r="B18" s="634" t="s">
        <v>472</v>
      </c>
      <c r="C18" s="635">
        <f>+C17/'Fin. Data'!$G$42</f>
        <v>0.42281879194630873</v>
      </c>
      <c r="D18" s="635">
        <f>+D17/'Fin. Data'!F42</f>
        <v>0.25045703839122485</v>
      </c>
      <c r="E18" s="635">
        <f>+E17/'Fin. Data'!E42</f>
        <v>0.2634315424610052</v>
      </c>
      <c r="F18" s="635">
        <f>+F17/'Fin. Data'!D42</f>
        <v>0.23153252480705622</v>
      </c>
      <c r="G18" s="635">
        <f>+G17/'Fin. Data'!C42</f>
        <v>0.24986508364813814</v>
      </c>
      <c r="H18" s="635">
        <f>+H17/'Fin. Data'!B42</f>
        <v>0.20365033621517772</v>
      </c>
      <c r="I18" s="635">
        <f>+$H$19*(1-(-$H$20))</f>
        <v>0.21594303112381649</v>
      </c>
      <c r="J18" s="635">
        <f t="shared" ref="J18:M18" si="30">+$H$19*(1-(-$H$20))</f>
        <v>0.21594303112381649</v>
      </c>
      <c r="K18" s="635">
        <f t="shared" si="30"/>
        <v>0.21594303112381649</v>
      </c>
      <c r="L18" s="635">
        <f t="shared" si="30"/>
        <v>0.21594303112381649</v>
      </c>
      <c r="M18" s="635">
        <f t="shared" si="30"/>
        <v>0.21594303112381649</v>
      </c>
      <c r="N18" s="646">
        <f>+$N$19</f>
        <v>0.19446981428235124</v>
      </c>
      <c r="O18" s="646">
        <f t="shared" ref="O18:R18" si="31">+$N$19</f>
        <v>0.19446981428235124</v>
      </c>
      <c r="P18" s="646">
        <f t="shared" si="31"/>
        <v>0.19446981428235124</v>
      </c>
      <c r="Q18" s="646">
        <f t="shared" si="31"/>
        <v>0.19446981428235124</v>
      </c>
      <c r="R18" s="646">
        <f t="shared" si="31"/>
        <v>0.19446981428235124</v>
      </c>
      <c r="S18" s="646">
        <f>+$S$19</f>
        <v>0.17513187839494559</v>
      </c>
      <c r="T18" s="646">
        <f t="shared" ref="T18:AH18" si="32">+$S$19</f>
        <v>0.17513187839494559</v>
      </c>
      <c r="U18" s="646">
        <f t="shared" si="32"/>
        <v>0.17513187839494559</v>
      </c>
      <c r="V18" s="646">
        <f t="shared" si="32"/>
        <v>0.17513187839494559</v>
      </c>
      <c r="W18" s="646">
        <f t="shared" si="32"/>
        <v>0.17513187839494559</v>
      </c>
      <c r="X18" s="646">
        <f t="shared" si="32"/>
        <v>0.17513187839494559</v>
      </c>
      <c r="Y18" s="646">
        <f t="shared" si="32"/>
        <v>0.17513187839494559</v>
      </c>
      <c r="Z18" s="646">
        <f t="shared" si="32"/>
        <v>0.17513187839494559</v>
      </c>
      <c r="AA18" s="646">
        <f t="shared" si="32"/>
        <v>0.17513187839494559</v>
      </c>
      <c r="AB18" s="646">
        <f t="shared" si="32"/>
        <v>0.17513187839494559</v>
      </c>
      <c r="AC18" s="646">
        <f t="shared" si="32"/>
        <v>0.17513187839494559</v>
      </c>
      <c r="AD18" s="646">
        <f t="shared" si="32"/>
        <v>0.17513187839494559</v>
      </c>
      <c r="AE18" s="646">
        <f t="shared" si="32"/>
        <v>0.17513187839494559</v>
      </c>
      <c r="AF18" s="646">
        <f t="shared" si="32"/>
        <v>0.17513187839494559</v>
      </c>
      <c r="AG18" s="646">
        <f t="shared" si="32"/>
        <v>0.17513187839494559</v>
      </c>
      <c r="AH18" s="646">
        <f t="shared" si="32"/>
        <v>0.17513187839494559</v>
      </c>
    </row>
    <row r="19" spans="2:34">
      <c r="B19" s="636" t="s">
        <v>470</v>
      </c>
      <c r="C19" s="636"/>
      <c r="D19" s="636"/>
      <c r="E19" s="636"/>
      <c r="H19" s="637">
        <f>+AVERAGE(D18:H18)</f>
        <v>0.23978730510452043</v>
      </c>
      <c r="I19" s="645"/>
      <c r="J19" s="645"/>
      <c r="K19" s="645"/>
      <c r="L19" s="645"/>
      <c r="M19" s="637"/>
      <c r="N19" s="645">
        <f>+I18*(1-(-H20))</f>
        <v>0.19446981428235124</v>
      </c>
      <c r="S19" s="647">
        <f>+N19*(1-(-H20))</f>
        <v>0.17513187839494559</v>
      </c>
    </row>
    <row r="20" spans="2:34">
      <c r="B20" s="636" t="s">
        <v>473</v>
      </c>
      <c r="C20" s="636"/>
      <c r="D20" s="639">
        <f>+D18/C18-1</f>
        <v>-0.40764922666202374</v>
      </c>
      <c r="E20" s="639">
        <f>+E18/D18-1</f>
        <v>5.1803311869852875E-2</v>
      </c>
      <c r="F20" s="639">
        <f>+F18/E18-1</f>
        <v>-0.12109034991005629</v>
      </c>
      <c r="G20" s="639">
        <f>+G18/F18-1</f>
        <v>7.9179194613625326E-2</v>
      </c>
      <c r="H20" s="637">
        <f>+AVERAGE(D20:G20)</f>
        <v>-9.943926752215046E-2</v>
      </c>
      <c r="I20" s="640"/>
      <c r="J20" s="640"/>
      <c r="K20" s="640"/>
      <c r="L20" s="640"/>
      <c r="M20" s="637"/>
    </row>
    <row r="22" spans="2:34" ht="15">
      <c r="B22" s="630"/>
      <c r="C22" s="1124" t="s">
        <v>466</v>
      </c>
      <c r="D22" s="1124"/>
      <c r="E22" s="1124"/>
      <c r="F22" s="1124"/>
      <c r="G22" s="1124"/>
      <c r="H22" s="1124"/>
      <c r="I22" s="1125" t="s">
        <v>467</v>
      </c>
      <c r="J22" s="1126"/>
      <c r="K22" s="1126"/>
      <c r="L22" s="1126"/>
      <c r="M22" s="1126"/>
    </row>
    <row r="23" spans="2:34" ht="15">
      <c r="B23" s="631"/>
      <c r="C23" s="631">
        <v>2017</v>
      </c>
      <c r="D23" s="631">
        <v>2018</v>
      </c>
      <c r="E23" s="631">
        <v>2019</v>
      </c>
      <c r="F23" s="6">
        <v>2020</v>
      </c>
      <c r="G23" s="6">
        <v>2021</v>
      </c>
      <c r="H23" s="632">
        <v>2022</v>
      </c>
      <c r="I23" s="6">
        <v>2023</v>
      </c>
      <c r="J23" s="6">
        <f>I23+1</f>
        <v>2024</v>
      </c>
      <c r="K23" s="6">
        <f t="shared" ref="K23" si="33">J23+1</f>
        <v>2025</v>
      </c>
      <c r="L23" s="6">
        <f t="shared" ref="L23" si="34">K23+1</f>
        <v>2026</v>
      </c>
      <c r="M23" s="632">
        <f t="shared" ref="M23" si="35">L23+1</f>
        <v>2027</v>
      </c>
      <c r="N23" s="6">
        <f t="shared" ref="N23" si="36">M23+1</f>
        <v>2028</v>
      </c>
      <c r="O23" s="6">
        <f t="shared" ref="O23" si="37">N23+1</f>
        <v>2029</v>
      </c>
      <c r="P23" s="6">
        <f t="shared" ref="P23" si="38">O23+1</f>
        <v>2030</v>
      </c>
      <c r="Q23" s="6">
        <f t="shared" ref="Q23" si="39">P23+1</f>
        <v>2031</v>
      </c>
      <c r="R23" s="632">
        <f t="shared" ref="R23" si="40">Q23+1</f>
        <v>2032</v>
      </c>
      <c r="S23" s="6">
        <f t="shared" ref="S23" si="41">R23+1</f>
        <v>2033</v>
      </c>
      <c r="T23" s="6">
        <f t="shared" ref="T23" si="42">S23+1</f>
        <v>2034</v>
      </c>
      <c r="U23" s="6">
        <f t="shared" ref="U23" si="43">T23+1</f>
        <v>2035</v>
      </c>
      <c r="V23" s="6">
        <f t="shared" ref="V23" si="44">U23+1</f>
        <v>2036</v>
      </c>
      <c r="W23" s="632">
        <f t="shared" ref="W23" si="45">V23+1</f>
        <v>2037</v>
      </c>
      <c r="X23" s="6">
        <f t="shared" ref="X23" si="46">W23+1</f>
        <v>2038</v>
      </c>
      <c r="Y23" s="6">
        <f t="shared" ref="Y23" si="47">X23+1</f>
        <v>2039</v>
      </c>
      <c r="Z23" s="6">
        <f t="shared" ref="Z23" si="48">Y23+1</f>
        <v>2040</v>
      </c>
      <c r="AA23" s="6">
        <f t="shared" ref="AA23" si="49">Z23+1</f>
        <v>2041</v>
      </c>
      <c r="AB23" s="632">
        <f t="shared" ref="AB23" si="50">AA23+1</f>
        <v>2042</v>
      </c>
      <c r="AC23" s="6">
        <f t="shared" ref="AC23" si="51">AB23+1</f>
        <v>2043</v>
      </c>
      <c r="AD23" s="6">
        <f t="shared" ref="AD23" si="52">AC23+1</f>
        <v>2044</v>
      </c>
      <c r="AE23" s="6">
        <f t="shared" ref="AE23" si="53">AD23+1</f>
        <v>2045</v>
      </c>
      <c r="AF23" s="6">
        <f t="shared" ref="AF23" si="54">AE23+1</f>
        <v>2046</v>
      </c>
      <c r="AG23" s="632">
        <f t="shared" ref="AG23" si="55">AF23+1</f>
        <v>2047</v>
      </c>
      <c r="AH23" s="6">
        <f t="shared" ref="AH23" si="56">AG23+1</f>
        <v>2048</v>
      </c>
    </row>
    <row r="24" spans="2:34" ht="15.95" thickBot="1">
      <c r="B24" s="633" t="s">
        <v>474</v>
      </c>
      <c r="C24" s="73">
        <v>7</v>
      </c>
      <c r="D24" s="73">
        <v>15</v>
      </c>
      <c r="E24" s="73">
        <v>16</v>
      </c>
      <c r="F24" s="73">
        <v>155</v>
      </c>
      <c r="G24" s="73">
        <v>439</v>
      </c>
      <c r="H24" s="73">
        <v>523</v>
      </c>
      <c r="I24" s="73">
        <f>+DCF!G40*I25</f>
        <v>259.82766861519377</v>
      </c>
      <c r="J24" s="73">
        <f>+DCF!H40*J25</f>
        <v>275.8380985509566</v>
      </c>
      <c r="K24" s="73">
        <f>+DCF!I40*K25</f>
        <v>294.2500929770838</v>
      </c>
      <c r="L24" s="73">
        <f>+DCF!J40*L25</f>
        <v>315.42388656713001</v>
      </c>
      <c r="M24" s="73">
        <f>+DCF!K40*M25</f>
        <v>338.71505951618093</v>
      </c>
      <c r="N24" s="73">
        <f>+DCF!L40*N25</f>
        <v>364.1024380306464</v>
      </c>
      <c r="O24" s="73">
        <f>+DCF!M40*O25</f>
        <v>391.77468061141377</v>
      </c>
      <c r="P24" s="73">
        <f>+DCF!N40*P25</f>
        <v>421.66070259864256</v>
      </c>
      <c r="Q24" s="73">
        <f>+DCF!O40*Q25</f>
        <v>453.93760634484966</v>
      </c>
      <c r="R24" s="73">
        <f>+DCF!P40*R25</f>
        <v>488.47389335329115</v>
      </c>
      <c r="S24" s="73">
        <f>+DCF!Q40*S25</f>
        <v>783.77510173800727</v>
      </c>
      <c r="T24" s="73">
        <f>+DCF!R40*T25</f>
        <v>1096.7943826258065</v>
      </c>
      <c r="U24" s="73">
        <f>+DCF!S40*U25</f>
        <v>1425.4646275579958</v>
      </c>
      <c r="V24" s="73">
        <f>+DCF!T40*V25</f>
        <v>1770.5683847367943</v>
      </c>
      <c r="W24" s="73">
        <f>+DCF!U40*W25</f>
        <v>2132.9273297745331</v>
      </c>
      <c r="X24" s="73">
        <f>+DCF!V40*X25</f>
        <v>2513.4042220641586</v>
      </c>
      <c r="Y24" s="73">
        <f>+DCF!W40*Y25</f>
        <v>2912.9049589682659</v>
      </c>
      <c r="Z24" s="73">
        <f>+DCF!X40*Z25</f>
        <v>3332.3807327175778</v>
      </c>
      <c r="AA24" s="73">
        <f>+DCF!Y40*AA25</f>
        <v>3770.7329162856095</v>
      </c>
      <c r="AB24" s="73">
        <f>+DCF!Z40*AB25</f>
        <v>4226.619187196362</v>
      </c>
      <c r="AC24" s="73">
        <f>+DCF!AA40*AC25</f>
        <v>4698.4614775889904</v>
      </c>
      <c r="AD24" s="73">
        <f>+DCF!AB40*AD25</f>
        <v>5184.459036693398</v>
      </c>
      <c r="AE24" s="73">
        <f>+DCF!AC40*AE25</f>
        <v>5682.6065347754165</v>
      </c>
      <c r="AF24" s="73">
        <f>+DCF!AD40*AF25</f>
        <v>6190.7169828190745</v>
      </c>
      <c r="AG24" s="73">
        <f>+DCF!AE40*AG25</f>
        <v>6706.4490875833872</v>
      </c>
      <c r="AH24" s="73">
        <f>+DCF!AF40*AH25</f>
        <v>7227.3385133953434</v>
      </c>
    </row>
    <row r="25" spans="2:34" ht="14.1" thickTop="1">
      <c r="B25" s="634" t="s">
        <v>472</v>
      </c>
      <c r="C25" s="635">
        <f>+C24/'Fin. Data'!$G$42</f>
        <v>5.8724832214765103E-3</v>
      </c>
      <c r="D25" s="635">
        <f>+D24/'Fin. Data'!F42</f>
        <v>9.140767824497258E-3</v>
      </c>
      <c r="E25" s="635">
        <f>+E24/'Fin. Data'!E42</f>
        <v>9.2432120161756205E-3</v>
      </c>
      <c r="F25" s="635">
        <f>+F24/'Fin. Data'!D42</f>
        <v>8.544652701212789E-2</v>
      </c>
      <c r="G25" s="635">
        <f>+G24/'Fin. Data'!C42</f>
        <v>0.23691311386940098</v>
      </c>
      <c r="H25" s="635">
        <f>+H24/'Fin. Data'!B42</f>
        <v>0.25120076849183476</v>
      </c>
      <c r="I25" s="635">
        <f>+$H$26</f>
        <v>0.11838887784280731</v>
      </c>
      <c r="J25" s="635">
        <f t="shared" ref="J25:M25" si="57">+$H$26</f>
        <v>0.11838887784280731</v>
      </c>
      <c r="K25" s="635">
        <f t="shared" si="57"/>
        <v>0.11838887784280731</v>
      </c>
      <c r="L25" s="635">
        <f t="shared" si="57"/>
        <v>0.11838887784280731</v>
      </c>
      <c r="M25" s="635">
        <f t="shared" si="57"/>
        <v>0.11838887784280731</v>
      </c>
      <c r="N25" s="646">
        <f>+$N$26</f>
        <v>0.11838887784280731</v>
      </c>
      <c r="O25" s="646">
        <f t="shared" ref="O25:R25" si="58">+$N$26</f>
        <v>0.11838887784280731</v>
      </c>
      <c r="P25" s="646">
        <f t="shared" si="58"/>
        <v>0.11838887784280731</v>
      </c>
      <c r="Q25" s="646">
        <f t="shared" si="58"/>
        <v>0.11838887784280731</v>
      </c>
      <c r="R25" s="646">
        <f t="shared" si="58"/>
        <v>0.11838887784280731</v>
      </c>
      <c r="S25" s="646">
        <f>+$S$26</f>
        <v>0.11838887784280731</v>
      </c>
      <c r="T25" s="646">
        <f t="shared" ref="T25:AH25" si="59">+$S$26</f>
        <v>0.11838887784280731</v>
      </c>
      <c r="U25" s="646">
        <f t="shared" si="59"/>
        <v>0.11838887784280731</v>
      </c>
      <c r="V25" s="646">
        <f t="shared" si="59"/>
        <v>0.11838887784280731</v>
      </c>
      <c r="W25" s="646">
        <f t="shared" si="59"/>
        <v>0.11838887784280731</v>
      </c>
      <c r="X25" s="646">
        <f t="shared" si="59"/>
        <v>0.11838887784280731</v>
      </c>
      <c r="Y25" s="646">
        <f t="shared" si="59"/>
        <v>0.11838887784280731</v>
      </c>
      <c r="Z25" s="646">
        <f t="shared" si="59"/>
        <v>0.11838887784280731</v>
      </c>
      <c r="AA25" s="646">
        <f t="shared" si="59"/>
        <v>0.11838887784280731</v>
      </c>
      <c r="AB25" s="646">
        <f t="shared" si="59"/>
        <v>0.11838887784280731</v>
      </c>
      <c r="AC25" s="646">
        <f t="shared" si="59"/>
        <v>0.11838887784280731</v>
      </c>
      <c r="AD25" s="646">
        <f t="shared" si="59"/>
        <v>0.11838887784280731</v>
      </c>
      <c r="AE25" s="646">
        <f t="shared" si="59"/>
        <v>0.11838887784280731</v>
      </c>
      <c r="AF25" s="646">
        <f t="shared" si="59"/>
        <v>0.11838887784280731</v>
      </c>
      <c r="AG25" s="646">
        <f t="shared" si="59"/>
        <v>0.11838887784280731</v>
      </c>
      <c r="AH25" s="646">
        <f t="shared" si="59"/>
        <v>0.11838887784280731</v>
      </c>
    </row>
    <row r="26" spans="2:34">
      <c r="B26" s="636" t="s">
        <v>470</v>
      </c>
      <c r="C26" s="636"/>
      <c r="D26" s="636"/>
      <c r="E26" s="636"/>
      <c r="H26" s="637">
        <f>+AVERAGE(D25:H25)</f>
        <v>0.11838887784280731</v>
      </c>
      <c r="I26" s="640"/>
      <c r="J26" s="640"/>
      <c r="K26" s="640"/>
      <c r="L26" s="640"/>
      <c r="M26" s="637"/>
      <c r="N26" s="645">
        <f>+I25*(1-(-H27))</f>
        <v>0.11838887784280731</v>
      </c>
      <c r="S26" s="647">
        <f>+N26*(1-(-H27))</f>
        <v>0.11838887784280731</v>
      </c>
    </row>
    <row r="27" spans="2:34">
      <c r="B27" s="636" t="s">
        <v>473</v>
      </c>
      <c r="C27" s="636"/>
      <c r="D27" s="639"/>
      <c r="E27" s="639"/>
      <c r="F27" s="639"/>
      <c r="G27" s="639"/>
      <c r="H27" s="637"/>
      <c r="I27" s="640"/>
      <c r="J27" s="640"/>
      <c r="K27" s="640"/>
      <c r="L27" s="640"/>
      <c r="M27" s="637"/>
    </row>
    <row r="29" spans="2:34" ht="15">
      <c r="B29" s="630"/>
      <c r="C29" s="1124" t="s">
        <v>466</v>
      </c>
      <c r="D29" s="1124"/>
      <c r="E29" s="1124"/>
      <c r="F29" s="1124"/>
      <c r="G29" s="1124"/>
      <c r="H29" s="1124"/>
      <c r="I29" s="1125" t="s">
        <v>467</v>
      </c>
      <c r="J29" s="1126"/>
      <c r="K29" s="1126"/>
      <c r="L29" s="1126"/>
      <c r="M29" s="1126"/>
    </row>
    <row r="30" spans="2:34" ht="15">
      <c r="B30" s="631"/>
      <c r="C30" s="631">
        <v>2017</v>
      </c>
      <c r="D30" s="631">
        <v>2018</v>
      </c>
      <c r="E30" s="631">
        <v>2019</v>
      </c>
      <c r="F30" s="6">
        <v>2020</v>
      </c>
      <c r="G30" s="6">
        <v>2021</v>
      </c>
      <c r="H30" s="632">
        <v>2022</v>
      </c>
      <c r="I30" s="6">
        <v>2023</v>
      </c>
      <c r="J30" s="6">
        <f>I30+1</f>
        <v>2024</v>
      </c>
      <c r="K30" s="6">
        <f t="shared" ref="K30:M30" si="60">J30+1</f>
        <v>2025</v>
      </c>
      <c r="L30" s="6">
        <f t="shared" si="60"/>
        <v>2026</v>
      </c>
      <c r="M30" s="632">
        <f t="shared" si="60"/>
        <v>2027</v>
      </c>
      <c r="N30" s="6">
        <f t="shared" ref="N30" si="61">M30+1</f>
        <v>2028</v>
      </c>
      <c r="O30" s="6">
        <f t="shared" ref="O30" si="62">N30+1</f>
        <v>2029</v>
      </c>
      <c r="P30" s="6">
        <f t="shared" ref="P30" si="63">O30+1</f>
        <v>2030</v>
      </c>
      <c r="Q30" s="6">
        <f t="shared" ref="Q30" si="64">P30+1</f>
        <v>2031</v>
      </c>
      <c r="R30" s="632">
        <f t="shared" ref="R30" si="65">Q30+1</f>
        <v>2032</v>
      </c>
      <c r="S30" s="6">
        <f t="shared" ref="S30" si="66">R30+1</f>
        <v>2033</v>
      </c>
      <c r="T30" s="6">
        <f t="shared" ref="T30" si="67">S30+1</f>
        <v>2034</v>
      </c>
      <c r="U30" s="6">
        <f t="shared" ref="U30" si="68">T30+1</f>
        <v>2035</v>
      </c>
      <c r="V30" s="6">
        <f t="shared" ref="V30" si="69">U30+1</f>
        <v>2036</v>
      </c>
      <c r="W30" s="632">
        <f t="shared" ref="W30" si="70">V30+1</f>
        <v>2037</v>
      </c>
      <c r="X30" s="6">
        <f t="shared" ref="X30" si="71">W30+1</f>
        <v>2038</v>
      </c>
      <c r="Y30" s="6">
        <f t="shared" ref="Y30" si="72">X30+1</f>
        <v>2039</v>
      </c>
      <c r="Z30" s="6">
        <f t="shared" ref="Z30" si="73">Y30+1</f>
        <v>2040</v>
      </c>
      <c r="AA30" s="6">
        <f t="shared" ref="AA30" si="74">Z30+1</f>
        <v>2041</v>
      </c>
      <c r="AB30" s="632">
        <f t="shared" ref="AB30" si="75">AA30+1</f>
        <v>2042</v>
      </c>
      <c r="AC30" s="6">
        <f t="shared" ref="AC30" si="76">AB30+1</f>
        <v>2043</v>
      </c>
      <c r="AD30" s="6">
        <f t="shared" ref="AD30" si="77">AC30+1</f>
        <v>2044</v>
      </c>
      <c r="AE30" s="6">
        <f t="shared" ref="AE30" si="78">AD30+1</f>
        <v>2045</v>
      </c>
      <c r="AF30" s="6">
        <f t="shared" ref="AF30" si="79">AE30+1</f>
        <v>2046</v>
      </c>
      <c r="AG30" s="632">
        <f t="shared" ref="AG30" si="80">AF30+1</f>
        <v>2047</v>
      </c>
      <c r="AH30" s="6">
        <f t="shared" ref="AH30" si="81">AG30+1</f>
        <v>2048</v>
      </c>
    </row>
    <row r="31" spans="2:34" ht="15.95" thickBot="1">
      <c r="B31" s="633" t="s">
        <v>475</v>
      </c>
      <c r="C31" s="73"/>
      <c r="D31" s="73"/>
      <c r="E31" s="73"/>
      <c r="F31" s="73">
        <v>827</v>
      </c>
      <c r="G31" s="73">
        <v>1168</v>
      </c>
      <c r="H31" s="73">
        <v>1793</v>
      </c>
      <c r="I31" s="73">
        <f>+I32*I9</f>
        <v>2621.9632569300607</v>
      </c>
      <c r="J31" s="73">
        <f t="shared" ref="J31:AH31" si="82">+J32*J9</f>
        <v>3146.3559083160731</v>
      </c>
      <c r="K31" s="73">
        <f t="shared" si="82"/>
        <v>3618.3092945634835</v>
      </c>
      <c r="L31" s="73">
        <f t="shared" si="82"/>
        <v>4161.0556887480061</v>
      </c>
      <c r="M31" s="73">
        <f t="shared" si="82"/>
        <v>4577.1612576228072</v>
      </c>
      <c r="N31" s="73">
        <f t="shared" si="82"/>
        <v>4989.1057708088601</v>
      </c>
      <c r="O31" s="73">
        <f t="shared" si="82"/>
        <v>5438.1252901816579</v>
      </c>
      <c r="P31" s="73">
        <f t="shared" si="82"/>
        <v>5873.1753133961911</v>
      </c>
      <c r="Q31" s="73">
        <f t="shared" si="82"/>
        <v>6343.0293384678871</v>
      </c>
      <c r="R31" s="73">
        <f t="shared" si="82"/>
        <v>6787.0413921606387</v>
      </c>
      <c r="S31" s="73">
        <f t="shared" si="82"/>
        <v>7262.134289611884</v>
      </c>
      <c r="T31" s="73">
        <f t="shared" si="82"/>
        <v>7697.862346988597</v>
      </c>
      <c r="U31" s="73">
        <f t="shared" si="82"/>
        <v>8082.7554643380272</v>
      </c>
      <c r="V31" s="73">
        <f t="shared" si="82"/>
        <v>8486.8932375549302</v>
      </c>
      <c r="W31" s="73">
        <f t="shared" si="82"/>
        <v>8911.2378994326755</v>
      </c>
      <c r="X31" s="73">
        <f t="shared" si="82"/>
        <v>9356.7997944043109</v>
      </c>
      <c r="Y31" s="73">
        <f t="shared" si="82"/>
        <v>9824.6397841245271</v>
      </c>
      <c r="Z31" s="73">
        <f t="shared" si="82"/>
        <v>10315.871773330755</v>
      </c>
      <c r="AA31" s="73">
        <f t="shared" si="82"/>
        <v>10780.086003130638</v>
      </c>
      <c r="AB31" s="73">
        <f t="shared" si="82"/>
        <v>11211.289443255864</v>
      </c>
      <c r="AC31" s="73">
        <f t="shared" si="82"/>
        <v>11603.684573769817</v>
      </c>
      <c r="AD31" s="73">
        <f t="shared" si="82"/>
        <v>11951.795110982912</v>
      </c>
      <c r="AE31" s="73">
        <f t="shared" si="82"/>
        <v>12250.589988757481</v>
      </c>
      <c r="AF31" s="73">
        <f t="shared" si="82"/>
        <v>12495.601788532633</v>
      </c>
      <c r="AG31" s="73">
        <f t="shared" si="82"/>
        <v>12683.035815360619</v>
      </c>
      <c r="AH31" s="73">
        <f t="shared" si="82"/>
        <v>12809.866173514225</v>
      </c>
    </row>
    <row r="32" spans="2:34" ht="14.1" thickTop="1">
      <c r="B32" s="634" t="s">
        <v>476</v>
      </c>
      <c r="C32" s="635">
        <f>C31/C$9</f>
        <v>0</v>
      </c>
      <c r="D32" s="635">
        <f t="shared" ref="D32:G32" si="83">D31/D$9</f>
        <v>0</v>
      </c>
      <c r="E32" s="635">
        <f t="shared" si="83"/>
        <v>0</v>
      </c>
      <c r="F32" s="635">
        <f>F31/F$9</f>
        <v>7.4243648442409549E-2</v>
      </c>
      <c r="G32" s="635">
        <f t="shared" si="83"/>
        <v>6.6914924090518482E-2</v>
      </c>
      <c r="H32" s="635">
        <f>H31/H$9</f>
        <v>5.6247451140320606E-2</v>
      </c>
      <c r="I32" s="635">
        <f>+$H$33</f>
        <v>6.580200789108287E-2</v>
      </c>
      <c r="J32" s="635">
        <f t="shared" ref="J32:AH32" si="84">+$H$33</f>
        <v>6.580200789108287E-2</v>
      </c>
      <c r="K32" s="635">
        <f t="shared" si="84"/>
        <v>6.580200789108287E-2</v>
      </c>
      <c r="L32" s="635">
        <f t="shared" si="84"/>
        <v>6.580200789108287E-2</v>
      </c>
      <c r="M32" s="635">
        <f t="shared" si="84"/>
        <v>6.580200789108287E-2</v>
      </c>
      <c r="N32" s="635">
        <f t="shared" si="84"/>
        <v>6.580200789108287E-2</v>
      </c>
      <c r="O32" s="635">
        <f t="shared" si="84"/>
        <v>6.580200789108287E-2</v>
      </c>
      <c r="P32" s="635">
        <f t="shared" si="84"/>
        <v>6.580200789108287E-2</v>
      </c>
      <c r="Q32" s="635">
        <f t="shared" si="84"/>
        <v>6.580200789108287E-2</v>
      </c>
      <c r="R32" s="635">
        <f t="shared" si="84"/>
        <v>6.580200789108287E-2</v>
      </c>
      <c r="S32" s="635">
        <f t="shared" si="84"/>
        <v>6.580200789108287E-2</v>
      </c>
      <c r="T32" s="635">
        <f t="shared" si="84"/>
        <v>6.580200789108287E-2</v>
      </c>
      <c r="U32" s="635">
        <f t="shared" si="84"/>
        <v>6.580200789108287E-2</v>
      </c>
      <c r="V32" s="635">
        <f t="shared" si="84"/>
        <v>6.580200789108287E-2</v>
      </c>
      <c r="W32" s="635">
        <f t="shared" si="84"/>
        <v>6.580200789108287E-2</v>
      </c>
      <c r="X32" s="635">
        <f t="shared" si="84"/>
        <v>6.580200789108287E-2</v>
      </c>
      <c r="Y32" s="635">
        <f t="shared" si="84"/>
        <v>6.580200789108287E-2</v>
      </c>
      <c r="Z32" s="635">
        <f t="shared" si="84"/>
        <v>6.580200789108287E-2</v>
      </c>
      <c r="AA32" s="635">
        <f t="shared" si="84"/>
        <v>6.580200789108287E-2</v>
      </c>
      <c r="AB32" s="635">
        <f t="shared" si="84"/>
        <v>6.580200789108287E-2</v>
      </c>
      <c r="AC32" s="635">
        <f t="shared" si="84"/>
        <v>6.580200789108287E-2</v>
      </c>
      <c r="AD32" s="635">
        <f t="shared" si="84"/>
        <v>6.580200789108287E-2</v>
      </c>
      <c r="AE32" s="635">
        <f t="shared" si="84"/>
        <v>6.580200789108287E-2</v>
      </c>
      <c r="AF32" s="635">
        <f t="shared" si="84"/>
        <v>6.580200789108287E-2</v>
      </c>
      <c r="AG32" s="635">
        <f t="shared" si="84"/>
        <v>6.580200789108287E-2</v>
      </c>
      <c r="AH32" s="635">
        <f t="shared" si="84"/>
        <v>6.580200789108287E-2</v>
      </c>
    </row>
    <row r="33" spans="2:8">
      <c r="B33" s="636" t="s">
        <v>470</v>
      </c>
      <c r="C33" s="636"/>
      <c r="D33" s="636"/>
      <c r="E33" s="636"/>
      <c r="F33" s="636"/>
      <c r="G33" s="636"/>
      <c r="H33" s="637">
        <f>AVERAGE(F32:H32)</f>
        <v>6.580200789108287E-2</v>
      </c>
    </row>
    <row r="35" spans="2:8" ht="15.95" thickBot="1">
      <c r="B35" s="633" t="s">
        <v>477</v>
      </c>
      <c r="D35" s="631"/>
      <c r="E35" s="631"/>
      <c r="F35" s="6"/>
    </row>
    <row r="36" spans="2:8" ht="14.1" thickTop="1">
      <c r="C36" s="73"/>
      <c r="D36" s="73"/>
      <c r="E36" s="73"/>
      <c r="F36" s="73"/>
    </row>
    <row r="37" spans="2:8">
      <c r="C37" s="11" t="s">
        <v>478</v>
      </c>
      <c r="D37" s="635"/>
      <c r="E37" s="635"/>
      <c r="F37" s="635"/>
    </row>
    <row r="38" spans="2:8">
      <c r="B38" s="841" t="s">
        <v>479</v>
      </c>
      <c r="C38" s="635">
        <v>3.5000000000000003E-2</v>
      </c>
      <c r="D38" s="73"/>
    </row>
    <row r="39" spans="2:8">
      <c r="B39" s="841" t="s">
        <v>480</v>
      </c>
      <c r="C39" s="635">
        <v>1.375E-2</v>
      </c>
      <c r="D39" s="73"/>
    </row>
    <row r="40" spans="2:8">
      <c r="B40" s="841" t="s">
        <v>481</v>
      </c>
      <c r="C40" s="635">
        <v>1.6250000000000001E-2</v>
      </c>
      <c r="D40" s="73"/>
    </row>
    <row r="41" spans="2:8">
      <c r="B41" s="841" t="s">
        <v>482</v>
      </c>
      <c r="C41" s="635">
        <v>6.2500000000000003E-3</v>
      </c>
      <c r="D41" s="73"/>
    </row>
    <row r="42" spans="2:8">
      <c r="B42" s="841" t="s">
        <v>483</v>
      </c>
      <c r="C42" s="635">
        <v>2.5000000000000001E-3</v>
      </c>
      <c r="D42" s="73"/>
    </row>
    <row r="43" spans="2:8" ht="14.1">
      <c r="B43" s="655"/>
      <c r="C43" s="635">
        <f>AVERAGE(C38:C42)</f>
        <v>1.4750000000000003E-2</v>
      </c>
      <c r="D43" s="73"/>
    </row>
    <row r="44" spans="2:8" ht="14.1">
      <c r="B44" s="655"/>
      <c r="C44" s="635"/>
      <c r="D44" s="73"/>
    </row>
    <row r="45" spans="2:8" ht="14.1">
      <c r="B45" s="655"/>
      <c r="C45" s="635"/>
      <c r="D45" s="73"/>
    </row>
    <row r="46" spans="2:8">
      <c r="D46" s="73"/>
      <c r="E46" s="627"/>
      <c r="F46" s="654"/>
    </row>
    <row r="49" spans="2:34" ht="15">
      <c r="B49" s="630"/>
      <c r="C49" s="1124" t="s">
        <v>466</v>
      </c>
      <c r="D49" s="1124"/>
      <c r="E49" s="1124"/>
      <c r="F49" s="1124"/>
      <c r="G49" s="1124"/>
      <c r="H49" s="1124"/>
      <c r="I49" s="1125" t="s">
        <v>467</v>
      </c>
      <c r="J49" s="1126"/>
      <c r="K49" s="1126"/>
      <c r="L49" s="1126"/>
      <c r="M49" s="1126"/>
    </row>
    <row r="50" spans="2:34" ht="15">
      <c r="B50" s="631"/>
      <c r="C50" s="631">
        <v>2017</v>
      </c>
      <c r="D50" s="631">
        <v>2018</v>
      </c>
      <c r="E50" s="631">
        <v>2019</v>
      </c>
      <c r="F50" s="6">
        <v>2020</v>
      </c>
      <c r="G50" s="6">
        <v>2021</v>
      </c>
      <c r="H50" s="632">
        <v>2022</v>
      </c>
      <c r="I50" s="6">
        <v>2023</v>
      </c>
      <c r="J50" s="6">
        <f>I50+1</f>
        <v>2024</v>
      </c>
      <c r="K50" s="6">
        <f t="shared" ref="K50:M50" si="85">J50+1</f>
        <v>2025</v>
      </c>
      <c r="L50" s="6">
        <f t="shared" si="85"/>
        <v>2026</v>
      </c>
      <c r="M50" s="632">
        <f t="shared" si="85"/>
        <v>2027</v>
      </c>
      <c r="N50" s="6">
        <f>M50+1</f>
        <v>2028</v>
      </c>
      <c r="O50" s="6">
        <f t="shared" ref="O50:AH50" si="86">N50+1</f>
        <v>2029</v>
      </c>
      <c r="P50" s="6">
        <f t="shared" si="86"/>
        <v>2030</v>
      </c>
      <c r="Q50" s="6">
        <f t="shared" si="86"/>
        <v>2031</v>
      </c>
      <c r="R50" s="632">
        <f t="shared" si="86"/>
        <v>2032</v>
      </c>
      <c r="S50" s="6">
        <f t="shared" si="86"/>
        <v>2033</v>
      </c>
      <c r="T50" s="6">
        <f t="shared" si="86"/>
        <v>2034</v>
      </c>
      <c r="U50" s="6">
        <f t="shared" si="86"/>
        <v>2035</v>
      </c>
      <c r="V50" s="6">
        <f t="shared" si="86"/>
        <v>2036</v>
      </c>
      <c r="W50" s="632">
        <f t="shared" si="86"/>
        <v>2037</v>
      </c>
      <c r="X50" s="6">
        <f t="shared" si="86"/>
        <v>2038</v>
      </c>
      <c r="Y50" s="6">
        <f t="shared" si="86"/>
        <v>2039</v>
      </c>
      <c r="Z50" s="6">
        <f t="shared" si="86"/>
        <v>2040</v>
      </c>
      <c r="AA50" s="6">
        <f t="shared" si="86"/>
        <v>2041</v>
      </c>
      <c r="AB50" s="632">
        <f t="shared" si="86"/>
        <v>2042</v>
      </c>
      <c r="AC50" s="6">
        <f t="shared" si="86"/>
        <v>2043</v>
      </c>
      <c r="AD50" s="6">
        <f t="shared" si="86"/>
        <v>2044</v>
      </c>
      <c r="AE50" s="6">
        <f t="shared" si="86"/>
        <v>2045</v>
      </c>
      <c r="AF50" s="6">
        <f t="shared" si="86"/>
        <v>2046</v>
      </c>
      <c r="AG50" s="632">
        <f t="shared" si="86"/>
        <v>2047</v>
      </c>
      <c r="AH50" s="6">
        <f t="shared" si="86"/>
        <v>2048</v>
      </c>
    </row>
    <row r="51" spans="2:34" ht="15.95" thickBot="1">
      <c r="B51" s="633" t="s">
        <v>484</v>
      </c>
      <c r="C51" s="73">
        <f>+Inputs!G65</f>
        <v>0</v>
      </c>
      <c r="D51" s="73">
        <f>+Inputs!F65</f>
        <v>-558</v>
      </c>
      <c r="E51" s="73">
        <f>+Inputs!E65</f>
        <v>-588</v>
      </c>
      <c r="F51" s="73">
        <f>+Inputs!D65</f>
        <v>-616</v>
      </c>
      <c r="G51" s="73">
        <f>+Inputs!C65</f>
        <v>-298</v>
      </c>
      <c r="H51" s="73">
        <f>+Inputs!B65</f>
        <v>-252</v>
      </c>
      <c r="I51" s="73">
        <f>+I52*I9</f>
        <v>-497.63699513033515</v>
      </c>
      <c r="J51" s="73">
        <f t="shared" ref="J51:AH51" si="87">+J52*J9</f>
        <v>-597.16439415640218</v>
      </c>
      <c r="K51" s="73">
        <f t="shared" si="87"/>
        <v>-686.73905327986245</v>
      </c>
      <c r="L51" s="73">
        <f t="shared" si="87"/>
        <v>-789.74991127184171</v>
      </c>
      <c r="M51" s="73">
        <f t="shared" si="87"/>
        <v>-868.72490239902606</v>
      </c>
      <c r="N51" s="73">
        <f t="shared" si="87"/>
        <v>-946.91014361493842</v>
      </c>
      <c r="O51" s="73">
        <f t="shared" si="87"/>
        <v>-1032.132056540283</v>
      </c>
      <c r="P51" s="73">
        <f t="shared" si="87"/>
        <v>-1114.7026210635056</v>
      </c>
      <c r="Q51" s="73">
        <f t="shared" si="87"/>
        <v>-1203.8788307485863</v>
      </c>
      <c r="R51" s="73">
        <f t="shared" si="87"/>
        <v>-1288.1503489009874</v>
      </c>
      <c r="S51" s="73">
        <f t="shared" si="87"/>
        <v>-3560.5138799062165</v>
      </c>
      <c r="T51" s="73">
        <f t="shared" si="87"/>
        <v>-3774.1447127005895</v>
      </c>
      <c r="U51" s="73">
        <f t="shared" si="87"/>
        <v>-3962.851948335619</v>
      </c>
      <c r="V51" s="73">
        <f t="shared" si="87"/>
        <v>-4160.9945457524</v>
      </c>
      <c r="W51" s="73">
        <f t="shared" si="87"/>
        <v>-4369.04427304002</v>
      </c>
      <c r="X51" s="73">
        <f t="shared" si="87"/>
        <v>-4587.4964866920218</v>
      </c>
      <c r="Y51" s="73">
        <f t="shared" si="87"/>
        <v>-4816.8713110266235</v>
      </c>
      <c r="Z51" s="73">
        <f t="shared" si="87"/>
        <v>-5057.7148765779548</v>
      </c>
      <c r="AA51" s="73">
        <f t="shared" si="87"/>
        <v>-5285.3120460239625</v>
      </c>
      <c r="AB51" s="73">
        <f t="shared" si="87"/>
        <v>-5496.7245278649216</v>
      </c>
      <c r="AC51" s="73">
        <f t="shared" si="87"/>
        <v>-5689.109886340193</v>
      </c>
      <c r="AD51" s="73">
        <f t="shared" si="87"/>
        <v>-5859.7831829303987</v>
      </c>
      <c r="AE51" s="73">
        <f t="shared" si="87"/>
        <v>-6006.2777625036579</v>
      </c>
      <c r="AF51" s="73">
        <f t="shared" si="87"/>
        <v>-6126.4033177537303</v>
      </c>
      <c r="AG51" s="73">
        <f t="shared" si="87"/>
        <v>-6218.299367520036</v>
      </c>
      <c r="AH51" s="73">
        <f t="shared" si="87"/>
        <v>-6280.4823611952361</v>
      </c>
    </row>
    <row r="52" spans="2:34" ht="14.1" thickTop="1">
      <c r="B52" s="634" t="s">
        <v>476</v>
      </c>
      <c r="C52" s="635">
        <f>C51/C$9</f>
        <v>0</v>
      </c>
      <c r="D52" s="635">
        <f t="shared" ref="D52:G52" si="88">D51/D$9</f>
        <v>-5.3484136873382535E-2</v>
      </c>
      <c r="E52" s="635">
        <f t="shared" si="88"/>
        <v>-4.5230769230769234E-2</v>
      </c>
      <c r="F52" s="635">
        <f t="shared" si="88"/>
        <v>-5.5301194003052341E-2</v>
      </c>
      <c r="G52" s="635">
        <f t="shared" si="88"/>
        <v>-1.7072472071039818E-2</v>
      </c>
      <c r="H52" s="635">
        <f>H51/H$9</f>
        <v>-7.9053863287009436E-3</v>
      </c>
      <c r="I52" s="635">
        <f>+$H$53</f>
        <v>-1.248892919987038E-2</v>
      </c>
      <c r="J52" s="635">
        <f t="shared" ref="J52:R52" si="89">+$H$53</f>
        <v>-1.248892919987038E-2</v>
      </c>
      <c r="K52" s="635">
        <f t="shared" si="89"/>
        <v>-1.248892919987038E-2</v>
      </c>
      <c r="L52" s="635">
        <f t="shared" si="89"/>
        <v>-1.248892919987038E-2</v>
      </c>
      <c r="M52" s="635">
        <f t="shared" si="89"/>
        <v>-1.248892919987038E-2</v>
      </c>
      <c r="N52" s="635">
        <f t="shared" si="89"/>
        <v>-1.248892919987038E-2</v>
      </c>
      <c r="O52" s="635">
        <f t="shared" si="89"/>
        <v>-1.248892919987038E-2</v>
      </c>
      <c r="P52" s="635">
        <f t="shared" si="89"/>
        <v>-1.248892919987038E-2</v>
      </c>
      <c r="Q52" s="635">
        <f t="shared" si="89"/>
        <v>-1.248892919987038E-2</v>
      </c>
      <c r="R52" s="635">
        <f t="shared" si="89"/>
        <v>-1.248892919987038E-2</v>
      </c>
      <c r="S52" s="635">
        <f>+$R$53</f>
        <v>-3.2261722666990261E-2</v>
      </c>
      <c r="T52" s="635">
        <f t="shared" ref="T52:AH52" si="90">+$R$53</f>
        <v>-3.2261722666990261E-2</v>
      </c>
      <c r="U52" s="635">
        <f t="shared" si="90"/>
        <v>-3.2261722666990261E-2</v>
      </c>
      <c r="V52" s="635">
        <f t="shared" si="90"/>
        <v>-3.2261722666990261E-2</v>
      </c>
      <c r="W52" s="635">
        <f t="shared" si="90"/>
        <v>-3.2261722666990261E-2</v>
      </c>
      <c r="X52" s="635">
        <f t="shared" si="90"/>
        <v>-3.2261722666990261E-2</v>
      </c>
      <c r="Y52" s="635">
        <f t="shared" si="90"/>
        <v>-3.2261722666990261E-2</v>
      </c>
      <c r="Z52" s="635">
        <f t="shared" si="90"/>
        <v>-3.2261722666990261E-2</v>
      </c>
      <c r="AA52" s="635">
        <f t="shared" si="90"/>
        <v>-3.2261722666990261E-2</v>
      </c>
      <c r="AB52" s="635">
        <f t="shared" si="90"/>
        <v>-3.2261722666990261E-2</v>
      </c>
      <c r="AC52" s="635">
        <f t="shared" si="90"/>
        <v>-3.2261722666990261E-2</v>
      </c>
      <c r="AD52" s="635">
        <f t="shared" si="90"/>
        <v>-3.2261722666990261E-2</v>
      </c>
      <c r="AE52" s="635">
        <f t="shared" si="90"/>
        <v>-3.2261722666990261E-2</v>
      </c>
      <c r="AF52" s="635">
        <f t="shared" si="90"/>
        <v>-3.2261722666990261E-2</v>
      </c>
      <c r="AG52" s="635">
        <f t="shared" si="90"/>
        <v>-3.2261722666990261E-2</v>
      </c>
      <c r="AH52" s="635">
        <f t="shared" si="90"/>
        <v>-3.2261722666990261E-2</v>
      </c>
    </row>
    <row r="53" spans="2:34">
      <c r="B53" s="636" t="s">
        <v>470</v>
      </c>
      <c r="C53" s="636"/>
      <c r="D53" s="636"/>
      <c r="E53" s="636"/>
      <c r="F53" s="636"/>
      <c r="G53" s="636"/>
      <c r="H53" s="637">
        <f>AVERAGE(G52:H52)</f>
        <v>-1.248892919987038E-2</v>
      </c>
      <c r="I53" s="640"/>
      <c r="J53" s="640"/>
      <c r="K53" s="640"/>
      <c r="L53" s="640"/>
      <c r="M53" s="637"/>
      <c r="N53" s="640"/>
      <c r="O53" s="640"/>
      <c r="P53" s="640"/>
      <c r="Q53" s="640"/>
      <c r="R53" s="663">
        <f>+I136</f>
        <v>-3.2261722666990261E-2</v>
      </c>
      <c r="S53" s="640"/>
      <c r="T53" s="640"/>
      <c r="U53" s="640"/>
      <c r="V53" s="640"/>
      <c r="W53" s="637">
        <f>AVERAGE(S52:W52)</f>
        <v>-3.2261722666990261E-2</v>
      </c>
      <c r="X53" s="640"/>
      <c r="Y53" s="640"/>
      <c r="Z53" s="640"/>
      <c r="AA53" s="640"/>
      <c r="AB53" s="637">
        <f>AVERAGE(X52:AB52)</f>
        <v>-3.2261722666990261E-2</v>
      </c>
      <c r="AC53" s="640"/>
      <c r="AD53" s="640"/>
      <c r="AE53" s="640"/>
      <c r="AF53" s="640"/>
      <c r="AG53" s="637">
        <f>AVERAGE(AC52:AG52)</f>
        <v>-3.2261722666990261E-2</v>
      </c>
      <c r="AH53" s="645"/>
    </row>
    <row r="56" spans="2:34" ht="15">
      <c r="B56" s="630"/>
      <c r="C56" s="1124" t="s">
        <v>466</v>
      </c>
      <c r="D56" s="1124"/>
      <c r="E56" s="1124"/>
      <c r="F56" s="1124"/>
      <c r="G56" s="1124"/>
      <c r="H56" s="1124"/>
      <c r="I56" s="1125" t="s">
        <v>467</v>
      </c>
      <c r="J56" s="1126"/>
      <c r="K56" s="1126"/>
      <c r="L56" s="1126"/>
      <c r="M56" s="1126"/>
    </row>
    <row r="57" spans="2:34" ht="15">
      <c r="B57" s="631"/>
      <c r="C57" s="631">
        <v>2017</v>
      </c>
      <c r="D57" s="631">
        <v>2018</v>
      </c>
      <c r="E57" s="631">
        <v>2019</v>
      </c>
      <c r="F57" s="6">
        <v>2020</v>
      </c>
      <c r="G57" s="6">
        <v>2021</v>
      </c>
      <c r="H57" s="632">
        <v>2022</v>
      </c>
      <c r="I57" s="6">
        <v>2023</v>
      </c>
      <c r="J57" s="6">
        <f>I57+1</f>
        <v>2024</v>
      </c>
      <c r="K57" s="6">
        <f t="shared" ref="K57:M57" si="91">J57+1</f>
        <v>2025</v>
      </c>
      <c r="L57" s="6">
        <f t="shared" si="91"/>
        <v>2026</v>
      </c>
      <c r="M57" s="632">
        <f t="shared" si="91"/>
        <v>2027</v>
      </c>
      <c r="N57" s="6">
        <f>M57+1</f>
        <v>2028</v>
      </c>
      <c r="O57" s="6">
        <f t="shared" ref="O57:AH57" si="92">N57+1</f>
        <v>2029</v>
      </c>
      <c r="P57" s="6">
        <f t="shared" si="92"/>
        <v>2030</v>
      </c>
      <c r="Q57" s="6">
        <f t="shared" si="92"/>
        <v>2031</v>
      </c>
      <c r="R57" s="632">
        <f t="shared" si="92"/>
        <v>2032</v>
      </c>
      <c r="S57" s="6">
        <f t="shared" si="92"/>
        <v>2033</v>
      </c>
      <c r="T57" s="6">
        <f t="shared" si="92"/>
        <v>2034</v>
      </c>
      <c r="U57" s="6">
        <f t="shared" si="92"/>
        <v>2035</v>
      </c>
      <c r="V57" s="6">
        <f t="shared" si="92"/>
        <v>2036</v>
      </c>
      <c r="W57" s="632">
        <f t="shared" si="92"/>
        <v>2037</v>
      </c>
      <c r="X57" s="6">
        <f t="shared" si="92"/>
        <v>2038</v>
      </c>
      <c r="Y57" s="6">
        <f t="shared" si="92"/>
        <v>2039</v>
      </c>
      <c r="Z57" s="6">
        <f t="shared" si="92"/>
        <v>2040</v>
      </c>
      <c r="AA57" s="6">
        <f t="shared" si="92"/>
        <v>2041</v>
      </c>
      <c r="AB57" s="632">
        <f t="shared" si="92"/>
        <v>2042</v>
      </c>
      <c r="AC57" s="6">
        <f t="shared" si="92"/>
        <v>2043</v>
      </c>
      <c r="AD57" s="6">
        <f t="shared" si="92"/>
        <v>2044</v>
      </c>
      <c r="AE57" s="6">
        <f t="shared" si="92"/>
        <v>2045</v>
      </c>
      <c r="AF57" s="6">
        <f t="shared" si="92"/>
        <v>2046</v>
      </c>
      <c r="AG57" s="632">
        <f t="shared" si="92"/>
        <v>2047</v>
      </c>
      <c r="AH57" s="6">
        <f t="shared" si="92"/>
        <v>2048</v>
      </c>
    </row>
    <row r="58" spans="2:34" ht="15.95" thickBot="1">
      <c r="B58" s="633" t="s">
        <v>485</v>
      </c>
      <c r="C58" s="73"/>
      <c r="D58" s="73">
        <f>+Inputs!F22</f>
        <v>1419</v>
      </c>
      <c r="E58" s="73">
        <f>+Inputs!E22</f>
        <v>3887</v>
      </c>
      <c r="F58" s="73">
        <f>+Inputs!D22</f>
        <v>-5269</v>
      </c>
      <c r="G58" s="73">
        <f>+Inputs!C22</f>
        <v>-3222</v>
      </c>
      <c r="H58" s="73">
        <f>+Inputs!B22</f>
        <v>601</v>
      </c>
      <c r="I58" s="73">
        <f>+I59*I9</f>
        <v>-1623.7123882401033</v>
      </c>
      <c r="J58" s="73">
        <f t="shared" ref="J58:AH58" si="93">+J59*J9</f>
        <v>-1948.454865888124</v>
      </c>
      <c r="K58" s="73">
        <f t="shared" si="93"/>
        <v>-2240.7230957713423</v>
      </c>
      <c r="L58" s="73">
        <f t="shared" si="93"/>
        <v>-2576.8315601370437</v>
      </c>
      <c r="M58" s="73">
        <f t="shared" si="93"/>
        <v>-2834.5147161507484</v>
      </c>
      <c r="N58" s="73">
        <f t="shared" si="93"/>
        <v>-3089.6210406043156</v>
      </c>
      <c r="O58" s="73">
        <f t="shared" si="93"/>
        <v>-3367.6869342587042</v>
      </c>
      <c r="P58" s="73">
        <f t="shared" si="93"/>
        <v>-3637.1018889994011</v>
      </c>
      <c r="Q58" s="73">
        <f t="shared" si="93"/>
        <v>-3928.0700401193535</v>
      </c>
      <c r="R58" s="73">
        <f t="shared" si="93"/>
        <v>-4203.0349429277085</v>
      </c>
      <c r="S58" s="73">
        <f t="shared" si="93"/>
        <v>-4413.393190476475</v>
      </c>
      <c r="T58" s="73">
        <f t="shared" si="93"/>
        <v>-4678.1967819050633</v>
      </c>
      <c r="U58" s="73">
        <f t="shared" si="93"/>
        <v>-4912.1066210003164</v>
      </c>
      <c r="V58" s="73">
        <f t="shared" si="93"/>
        <v>-5157.7119520503329</v>
      </c>
      <c r="W58" s="73">
        <f t="shared" si="93"/>
        <v>-5415.597549652849</v>
      </c>
      <c r="X58" s="73">
        <f t="shared" si="93"/>
        <v>-5686.3774271354923</v>
      </c>
      <c r="Y58" s="73">
        <f t="shared" si="93"/>
        <v>-5970.6962984922675</v>
      </c>
      <c r="Z58" s="73">
        <f t="shared" si="93"/>
        <v>-6269.2311134168813</v>
      </c>
      <c r="AA58" s="73">
        <f t="shared" si="93"/>
        <v>-6551.3465135206407</v>
      </c>
      <c r="AB58" s="73">
        <f t="shared" si="93"/>
        <v>-6813.4003740614662</v>
      </c>
      <c r="AC58" s="73">
        <f t="shared" si="93"/>
        <v>-7051.869387153617</v>
      </c>
      <c r="AD58" s="73">
        <f t="shared" si="93"/>
        <v>-7263.4254687682251</v>
      </c>
      <c r="AE58" s="73">
        <f t="shared" si="93"/>
        <v>-7445.0111054874296</v>
      </c>
      <c r="AF58" s="73">
        <f t="shared" si="93"/>
        <v>-7593.9113275971786</v>
      </c>
      <c r="AG58" s="73">
        <f t="shared" si="93"/>
        <v>-7707.8199975111347</v>
      </c>
      <c r="AH58" s="73">
        <f t="shared" si="93"/>
        <v>-7784.8981974862463</v>
      </c>
    </row>
    <row r="59" spans="2:34" ht="14.1" thickTop="1">
      <c r="B59" s="634" t="s">
        <v>476</v>
      </c>
      <c r="C59" s="635"/>
      <c r="D59" s="635">
        <f>D58/D$9</f>
        <v>0.13601073516725773</v>
      </c>
      <c r="E59" s="635">
        <f t="shared" ref="E59:G59" si="94">E58/E$9</f>
        <v>0.29899999999999999</v>
      </c>
      <c r="F59" s="635">
        <f t="shared" si="94"/>
        <v>-0.47302271299039411</v>
      </c>
      <c r="G59" s="635">
        <f t="shared" si="94"/>
        <v>-0.18458894299627615</v>
      </c>
      <c r="H59" s="635">
        <f>H58/H$9</f>
        <v>1.8853718982338362E-2</v>
      </c>
      <c r="I59" s="635">
        <f>+$H$60</f>
        <v>-4.0749440367414833E-2</v>
      </c>
      <c r="J59" s="635">
        <f t="shared" ref="J59:R59" si="95">+$H$60</f>
        <v>-4.0749440367414833E-2</v>
      </c>
      <c r="K59" s="635">
        <f t="shared" si="95"/>
        <v>-4.0749440367414833E-2</v>
      </c>
      <c r="L59" s="635">
        <f t="shared" si="95"/>
        <v>-4.0749440367414833E-2</v>
      </c>
      <c r="M59" s="635">
        <f t="shared" si="95"/>
        <v>-4.0749440367414833E-2</v>
      </c>
      <c r="N59" s="635">
        <f t="shared" si="95"/>
        <v>-4.0749440367414833E-2</v>
      </c>
      <c r="O59" s="635">
        <f t="shared" si="95"/>
        <v>-4.0749440367414833E-2</v>
      </c>
      <c r="P59" s="635">
        <f t="shared" si="95"/>
        <v>-4.0749440367414833E-2</v>
      </c>
      <c r="Q59" s="635">
        <f t="shared" si="95"/>
        <v>-4.0749440367414833E-2</v>
      </c>
      <c r="R59" s="635">
        <f t="shared" si="95"/>
        <v>-4.0749440367414833E-2</v>
      </c>
      <c r="S59" s="635">
        <f>+$R$60</f>
        <v>-3.9989639679563815E-2</v>
      </c>
      <c r="T59" s="635">
        <f t="shared" ref="T59:AH59" si="96">+$R$60</f>
        <v>-3.9989639679563815E-2</v>
      </c>
      <c r="U59" s="635">
        <f t="shared" si="96"/>
        <v>-3.9989639679563815E-2</v>
      </c>
      <c r="V59" s="635">
        <f t="shared" si="96"/>
        <v>-3.9989639679563815E-2</v>
      </c>
      <c r="W59" s="635">
        <f t="shared" si="96"/>
        <v>-3.9989639679563815E-2</v>
      </c>
      <c r="X59" s="635">
        <f t="shared" si="96"/>
        <v>-3.9989639679563815E-2</v>
      </c>
      <c r="Y59" s="635">
        <f t="shared" si="96"/>
        <v>-3.9989639679563815E-2</v>
      </c>
      <c r="Z59" s="635">
        <f t="shared" si="96"/>
        <v>-3.9989639679563815E-2</v>
      </c>
      <c r="AA59" s="635">
        <f t="shared" si="96"/>
        <v>-3.9989639679563815E-2</v>
      </c>
      <c r="AB59" s="635">
        <f t="shared" si="96"/>
        <v>-3.9989639679563815E-2</v>
      </c>
      <c r="AC59" s="635">
        <f t="shared" si="96"/>
        <v>-3.9989639679563815E-2</v>
      </c>
      <c r="AD59" s="635">
        <f t="shared" si="96"/>
        <v>-3.9989639679563815E-2</v>
      </c>
      <c r="AE59" s="635">
        <f t="shared" si="96"/>
        <v>-3.9989639679563815E-2</v>
      </c>
      <c r="AF59" s="635">
        <f t="shared" si="96"/>
        <v>-3.9989639679563815E-2</v>
      </c>
      <c r="AG59" s="635">
        <f t="shared" si="96"/>
        <v>-3.9989639679563815E-2</v>
      </c>
      <c r="AH59" s="635">
        <f t="shared" si="96"/>
        <v>-3.9989639679563815E-2</v>
      </c>
    </row>
    <row r="60" spans="2:34">
      <c r="B60" s="636" t="s">
        <v>470</v>
      </c>
      <c r="C60" s="636"/>
      <c r="D60" s="636"/>
      <c r="E60" s="636"/>
      <c r="F60" s="636"/>
      <c r="G60" s="636"/>
      <c r="H60" s="637">
        <f>AVERAGE(D59:G59,H59)</f>
        <v>-4.0749440367414833E-2</v>
      </c>
      <c r="I60" s="640"/>
      <c r="J60" s="640"/>
      <c r="K60" s="640"/>
      <c r="L60" s="640"/>
      <c r="M60" s="637"/>
      <c r="N60" s="640"/>
      <c r="O60" s="640"/>
      <c r="P60" s="640"/>
      <c r="Q60" s="640"/>
      <c r="R60" s="663">
        <f>+I134</f>
        <v>-3.9989639679563815E-2</v>
      </c>
      <c r="S60" s="640"/>
      <c r="T60" s="640"/>
      <c r="U60" s="640"/>
      <c r="V60" s="640"/>
      <c r="W60" s="637">
        <f>AVERAGE(S59:W59)</f>
        <v>-3.9989639679563815E-2</v>
      </c>
      <c r="X60" s="640"/>
      <c r="Y60" s="640"/>
      <c r="Z60" s="640"/>
      <c r="AA60" s="640"/>
      <c r="AB60" s="637">
        <f>AVERAGE(X59:AB59)</f>
        <v>-3.9989639679563815E-2</v>
      </c>
      <c r="AC60" s="640"/>
      <c r="AD60" s="640"/>
      <c r="AE60" s="640"/>
      <c r="AF60" s="640"/>
      <c r="AG60" s="637">
        <f>AVERAGE(AC59:AG59)</f>
        <v>-3.9989639679563815E-2</v>
      </c>
      <c r="AH60" s="645"/>
    </row>
    <row r="62" spans="2:34" ht="15">
      <c r="B62" s="630"/>
      <c r="C62" s="1124" t="s">
        <v>466</v>
      </c>
      <c r="D62" s="1124"/>
      <c r="E62" s="1124"/>
      <c r="F62" s="1124"/>
      <c r="G62" s="1124"/>
      <c r="H62" s="1124"/>
      <c r="I62" s="1125" t="s">
        <v>467</v>
      </c>
      <c r="J62" s="1126"/>
      <c r="K62" s="1126"/>
      <c r="L62" s="1126"/>
      <c r="M62" s="1126"/>
    </row>
    <row r="63" spans="2:34" ht="15">
      <c r="B63" s="631"/>
      <c r="C63" s="631">
        <v>2017</v>
      </c>
      <c r="D63" s="631">
        <v>2018</v>
      </c>
      <c r="E63" s="631">
        <v>2019</v>
      </c>
      <c r="F63" s="6">
        <v>2020</v>
      </c>
      <c r="G63" s="6">
        <v>2021</v>
      </c>
      <c r="H63" s="632">
        <v>2022</v>
      </c>
      <c r="I63" s="6">
        <v>2023</v>
      </c>
      <c r="J63" s="6">
        <f>I63+1</f>
        <v>2024</v>
      </c>
      <c r="K63" s="6">
        <f t="shared" ref="K63" si="97">J63+1</f>
        <v>2025</v>
      </c>
      <c r="L63" s="6">
        <f t="shared" ref="L63" si="98">K63+1</f>
        <v>2026</v>
      </c>
      <c r="M63" s="632">
        <f t="shared" ref="M63" si="99">L63+1</f>
        <v>2027</v>
      </c>
      <c r="N63" s="6">
        <f>M63+1</f>
        <v>2028</v>
      </c>
      <c r="O63" s="6">
        <f t="shared" ref="O63" si="100">N63+1</f>
        <v>2029</v>
      </c>
      <c r="P63" s="6">
        <f t="shared" ref="P63" si="101">O63+1</f>
        <v>2030</v>
      </c>
      <c r="Q63" s="6">
        <f t="shared" ref="Q63" si="102">P63+1</f>
        <v>2031</v>
      </c>
      <c r="R63" s="632">
        <f t="shared" ref="R63" si="103">Q63+1</f>
        <v>2032</v>
      </c>
      <c r="S63" s="6">
        <f t="shared" ref="S63" si="104">R63+1</f>
        <v>2033</v>
      </c>
      <c r="T63" s="6">
        <f t="shared" ref="T63" si="105">S63+1</f>
        <v>2034</v>
      </c>
      <c r="U63" s="6">
        <f t="shared" ref="U63" si="106">T63+1</f>
        <v>2035</v>
      </c>
      <c r="V63" s="6">
        <f t="shared" ref="V63" si="107">U63+1</f>
        <v>2036</v>
      </c>
      <c r="W63" s="632">
        <f t="shared" ref="W63" si="108">V63+1</f>
        <v>2037</v>
      </c>
      <c r="X63" s="6">
        <f t="shared" ref="X63" si="109">W63+1</f>
        <v>2038</v>
      </c>
      <c r="Y63" s="6">
        <f t="shared" ref="Y63" si="110">X63+1</f>
        <v>2039</v>
      </c>
      <c r="Z63" s="6">
        <f t="shared" ref="Z63" si="111">Y63+1</f>
        <v>2040</v>
      </c>
      <c r="AA63" s="6">
        <f t="shared" ref="AA63" si="112">Z63+1</f>
        <v>2041</v>
      </c>
      <c r="AB63" s="632">
        <f t="shared" ref="AB63" si="113">AA63+1</f>
        <v>2042</v>
      </c>
      <c r="AC63" s="6">
        <f t="shared" ref="AC63" si="114">AB63+1</f>
        <v>2043</v>
      </c>
      <c r="AD63" s="6">
        <f t="shared" ref="AD63" si="115">AC63+1</f>
        <v>2044</v>
      </c>
      <c r="AE63" s="6">
        <f t="shared" ref="AE63" si="116">AD63+1</f>
        <v>2045</v>
      </c>
      <c r="AF63" s="6">
        <f t="shared" ref="AF63" si="117">AE63+1</f>
        <v>2046</v>
      </c>
      <c r="AG63" s="632">
        <f t="shared" ref="AG63" si="118">AF63+1</f>
        <v>2047</v>
      </c>
      <c r="AH63" s="6">
        <f t="shared" ref="AH63" si="119">AG63+1</f>
        <v>2048</v>
      </c>
    </row>
    <row r="64" spans="2:34" ht="15.95" thickBot="1">
      <c r="B64" s="633" t="s">
        <v>44</v>
      </c>
      <c r="C64" s="73"/>
      <c r="D64" s="73">
        <f>+Inputs!F38</f>
        <v>23988</v>
      </c>
      <c r="E64" s="73">
        <f>+Inputs!E38</f>
        <v>31761</v>
      </c>
      <c r="F64" s="73">
        <f>+Inputs!D38</f>
        <v>33252</v>
      </c>
      <c r="G64" s="73">
        <f>+Inputs!C38</f>
        <v>38774</v>
      </c>
      <c r="H64" s="73">
        <f>+Inputs!B38</f>
        <v>32109</v>
      </c>
      <c r="I64" s="73">
        <f>+H64*(1+I65)</f>
        <v>35040.174791878213</v>
      </c>
      <c r="J64" s="73">
        <f t="shared" ref="J64:AH64" si="120">+I64*(1+J65)</f>
        <v>38238.931434967686</v>
      </c>
      <c r="K64" s="73">
        <f t="shared" si="120"/>
        <v>41729.697011302567</v>
      </c>
      <c r="L64" s="73">
        <f t="shared" si="120"/>
        <v>45539.128508771995</v>
      </c>
      <c r="M64" s="73">
        <f t="shared" si="120"/>
        <v>49696.316385349128</v>
      </c>
      <c r="N64" s="73">
        <f t="shared" si="120"/>
        <v>54233.006716344789</v>
      </c>
      <c r="O64" s="73">
        <f t="shared" si="120"/>
        <v>59183.843621097716</v>
      </c>
      <c r="P64" s="73">
        <f t="shared" si="120"/>
        <v>64586.633820375922</v>
      </c>
      <c r="Q64" s="73">
        <f t="shared" si="120"/>
        <v>70482.635344763316</v>
      </c>
      <c r="R64" s="73">
        <f t="shared" si="120"/>
        <v>76916.872598733069</v>
      </c>
      <c r="S64" s="73">
        <f t="shared" si="120"/>
        <v>80762.716228669728</v>
      </c>
      <c r="T64" s="73">
        <f t="shared" si="120"/>
        <v>84800.852040103215</v>
      </c>
      <c r="U64" s="73">
        <f t="shared" si="120"/>
        <v>89040.894642108382</v>
      </c>
      <c r="V64" s="73">
        <f t="shared" si="120"/>
        <v>93492.939374213805</v>
      </c>
      <c r="W64" s="73">
        <f t="shared" si="120"/>
        <v>98167.586342924493</v>
      </c>
      <c r="X64" s="73">
        <f t="shared" si="120"/>
        <v>103075.96566007072</v>
      </c>
      <c r="Y64" s="73">
        <f t="shared" si="120"/>
        <v>108229.76394307427</v>
      </c>
      <c r="Z64" s="73">
        <f t="shared" si="120"/>
        <v>113641.252140228</v>
      </c>
      <c r="AA64" s="73">
        <f t="shared" si="120"/>
        <v>119323.3147472394</v>
      </c>
      <c r="AB64" s="73">
        <f t="shared" si="120"/>
        <v>125289.48048460139</v>
      </c>
      <c r="AC64" s="73">
        <f t="shared" si="120"/>
        <v>131553.95450883146</v>
      </c>
      <c r="AD64" s="73">
        <f t="shared" si="120"/>
        <v>138131.65223427303</v>
      </c>
      <c r="AE64" s="73">
        <f t="shared" si="120"/>
        <v>145038.23484598668</v>
      </c>
      <c r="AF64" s="73">
        <f t="shared" si="120"/>
        <v>152290.14658828601</v>
      </c>
      <c r="AG64" s="73">
        <f t="shared" si="120"/>
        <v>159904.65391770031</v>
      </c>
      <c r="AH64" s="73">
        <f t="shared" si="120"/>
        <v>167899.88661358535</v>
      </c>
    </row>
    <row r="65" spans="2:42" ht="14.1" thickTop="1">
      <c r="B65" s="634" t="s">
        <v>476</v>
      </c>
      <c r="C65" s="635"/>
      <c r="D65" s="635"/>
      <c r="E65" s="635">
        <f>+E64/D64-1</f>
        <v>0.3240370185092547</v>
      </c>
      <c r="F65" s="635">
        <f t="shared" ref="F65:G65" si="121">+F64/E64-1</f>
        <v>4.694436573155758E-2</v>
      </c>
      <c r="G65" s="635">
        <f t="shared" si="121"/>
        <v>0.16606519908576933</v>
      </c>
      <c r="H65" s="635">
        <f>+H64/G64-1</f>
        <v>-0.17189353690617426</v>
      </c>
      <c r="I65" s="635">
        <f>+$H$66</f>
        <v>9.1288261605101839E-2</v>
      </c>
      <c r="J65" s="635">
        <f t="shared" ref="J65:R65" si="122">+$H$66</f>
        <v>9.1288261605101839E-2</v>
      </c>
      <c r="K65" s="635">
        <f t="shared" si="122"/>
        <v>9.1288261605101839E-2</v>
      </c>
      <c r="L65" s="635">
        <f t="shared" si="122"/>
        <v>9.1288261605101839E-2</v>
      </c>
      <c r="M65" s="635">
        <f t="shared" si="122"/>
        <v>9.1288261605101839E-2</v>
      </c>
      <c r="N65" s="635">
        <f t="shared" si="122"/>
        <v>9.1288261605101839E-2</v>
      </c>
      <c r="O65" s="635">
        <f t="shared" si="122"/>
        <v>9.1288261605101839E-2</v>
      </c>
      <c r="P65" s="635">
        <f t="shared" si="122"/>
        <v>9.1288261605101839E-2</v>
      </c>
      <c r="Q65" s="635">
        <f t="shared" si="122"/>
        <v>9.1288261605101839E-2</v>
      </c>
      <c r="R65" s="635">
        <f t="shared" si="122"/>
        <v>9.1288261605101839E-2</v>
      </c>
      <c r="S65" s="635">
        <f>+$R$66</f>
        <v>0.05</v>
      </c>
      <c r="T65" s="635">
        <f t="shared" ref="T65:AH65" si="123">+$R$66</f>
        <v>0.05</v>
      </c>
      <c r="U65" s="635">
        <f t="shared" si="123"/>
        <v>0.05</v>
      </c>
      <c r="V65" s="635">
        <f t="shared" si="123"/>
        <v>0.05</v>
      </c>
      <c r="W65" s="635">
        <f t="shared" si="123"/>
        <v>0.05</v>
      </c>
      <c r="X65" s="635">
        <f t="shared" si="123"/>
        <v>0.05</v>
      </c>
      <c r="Y65" s="635">
        <f t="shared" si="123"/>
        <v>0.05</v>
      </c>
      <c r="Z65" s="635">
        <f t="shared" si="123"/>
        <v>0.05</v>
      </c>
      <c r="AA65" s="635">
        <f t="shared" si="123"/>
        <v>0.05</v>
      </c>
      <c r="AB65" s="635">
        <f t="shared" si="123"/>
        <v>0.05</v>
      </c>
      <c r="AC65" s="635">
        <f t="shared" si="123"/>
        <v>0.05</v>
      </c>
      <c r="AD65" s="635">
        <f t="shared" si="123"/>
        <v>0.05</v>
      </c>
      <c r="AE65" s="635">
        <f t="shared" si="123"/>
        <v>0.05</v>
      </c>
      <c r="AF65" s="635">
        <f t="shared" si="123"/>
        <v>0.05</v>
      </c>
      <c r="AG65" s="635">
        <f t="shared" si="123"/>
        <v>0.05</v>
      </c>
      <c r="AH65" s="635">
        <f t="shared" si="123"/>
        <v>0.05</v>
      </c>
    </row>
    <row r="66" spans="2:42">
      <c r="B66" s="636" t="s">
        <v>470</v>
      </c>
      <c r="H66" s="709">
        <f>+AVERAGE(E65:H65)</f>
        <v>9.1288261605101839E-2</v>
      </c>
      <c r="R66" s="710">
        <v>0.05</v>
      </c>
    </row>
    <row r="67" spans="2:42">
      <c r="B67" s="636"/>
    </row>
    <row r="68" spans="2:42" ht="15.95" thickBot="1">
      <c r="B68" s="633" t="s">
        <v>50</v>
      </c>
      <c r="C68" s="73"/>
      <c r="D68" s="73">
        <f>+Inputs!F51</f>
        <v>17196</v>
      </c>
      <c r="E68" s="73">
        <f>+Inputs!E51</f>
        <v>16578</v>
      </c>
      <c r="F68" s="73">
        <f>+Inputs!D51</f>
        <v>19498</v>
      </c>
      <c r="G68" s="73">
        <f>+Inputs!C51</f>
        <v>23425</v>
      </c>
      <c r="H68" s="73">
        <f>+Inputs!B51</f>
        <v>23605</v>
      </c>
      <c r="I68" s="73">
        <f>H68*(1+I69)</f>
        <v>25666.234802377425</v>
      </c>
      <c r="J68" s="73">
        <f t="shared" ref="J68:AH68" si="124">I68*(1+J69)</f>
        <v>27907.460662180478</v>
      </c>
      <c r="K68" s="73">
        <f t="shared" si="124"/>
        <v>30344.394750842428</v>
      </c>
      <c r="L68" s="73">
        <f t="shared" si="124"/>
        <v>32994.126693969534</v>
      </c>
      <c r="M68" s="73">
        <f t="shared" si="124"/>
        <v>35875.238416725733</v>
      </c>
      <c r="N68" s="73">
        <f t="shared" si="124"/>
        <v>39007.934454350929</v>
      </c>
      <c r="O68" s="73">
        <f t="shared" si="124"/>
        <v>42414.183641648771</v>
      </c>
      <c r="P68" s="73">
        <f t="shared" si="124"/>
        <v>46117.873175077868</v>
      </c>
      <c r="Q68" s="73">
        <f t="shared" si="124"/>
        <v>50144.976127846297</v>
      </c>
      <c r="R68" s="73">
        <f t="shared" si="124"/>
        <v>54523.73359275212</v>
      </c>
      <c r="S68" s="73">
        <f t="shared" si="124"/>
        <v>56704.68293646221</v>
      </c>
      <c r="T68" s="73">
        <f t="shared" si="124"/>
        <v>58972.870253920701</v>
      </c>
      <c r="U68" s="73">
        <f t="shared" si="124"/>
        <v>61331.785064077529</v>
      </c>
      <c r="V68" s="73">
        <f t="shared" si="124"/>
        <v>63785.056466640635</v>
      </c>
      <c r="W68" s="73">
        <f t="shared" si="124"/>
        <v>66336.458725306264</v>
      </c>
      <c r="X68" s="73">
        <f t="shared" si="124"/>
        <v>68989.91707431851</v>
      </c>
      <c r="Y68" s="73">
        <f t="shared" si="124"/>
        <v>71749.51375729125</v>
      </c>
      <c r="Z68" s="73">
        <f t="shared" si="124"/>
        <v>74619.494307582907</v>
      </c>
      <c r="AA68" s="73">
        <f t="shared" si="124"/>
        <v>77604.274079886221</v>
      </c>
      <c r="AB68" s="73">
        <f t="shared" si="124"/>
        <v>80708.44504308168</v>
      </c>
      <c r="AC68" s="73">
        <f t="shared" si="124"/>
        <v>83936.782844804955</v>
      </c>
      <c r="AD68" s="73">
        <f t="shared" si="124"/>
        <v>87294.254158597163</v>
      </c>
      <c r="AE68" s="73">
        <f t="shared" si="124"/>
        <v>90786.024324941056</v>
      </c>
      <c r="AF68" s="73">
        <f t="shared" si="124"/>
        <v>94417.465297938703</v>
      </c>
      <c r="AG68" s="73">
        <f t="shared" si="124"/>
        <v>98194.163909856259</v>
      </c>
      <c r="AH68" s="73">
        <f t="shared" si="124"/>
        <v>102121.93046625052</v>
      </c>
    </row>
    <row r="69" spans="2:42" ht="14.1" thickTop="1">
      <c r="B69" s="634" t="s">
        <v>476</v>
      </c>
      <c r="C69" s="635"/>
      <c r="D69" s="635"/>
      <c r="E69" s="635">
        <f>+E68/D68-1</f>
        <v>-3.5938590369853474E-2</v>
      </c>
      <c r="F69" s="635">
        <f t="shared" ref="F69:G69" si="125">+F68/E68-1</f>
        <v>0.17613704910121841</v>
      </c>
      <c r="G69" s="635">
        <f t="shared" si="125"/>
        <v>0.20140527233562411</v>
      </c>
      <c r="H69" s="635">
        <f>+H68/G68-1</f>
        <v>7.6840981856989288E-3</v>
      </c>
      <c r="I69" s="635">
        <f>+$H$70</f>
        <v>8.7321957313171994E-2</v>
      </c>
      <c r="J69" s="635">
        <f t="shared" ref="J69:R69" si="126">+$H$70</f>
        <v>8.7321957313171994E-2</v>
      </c>
      <c r="K69" s="635">
        <f t="shared" si="126"/>
        <v>8.7321957313171994E-2</v>
      </c>
      <c r="L69" s="635">
        <f t="shared" si="126"/>
        <v>8.7321957313171994E-2</v>
      </c>
      <c r="M69" s="635">
        <f t="shared" si="126"/>
        <v>8.7321957313171994E-2</v>
      </c>
      <c r="N69" s="635">
        <f t="shared" si="126"/>
        <v>8.7321957313171994E-2</v>
      </c>
      <c r="O69" s="635">
        <f t="shared" si="126"/>
        <v>8.7321957313171994E-2</v>
      </c>
      <c r="P69" s="635">
        <f t="shared" si="126"/>
        <v>8.7321957313171994E-2</v>
      </c>
      <c r="Q69" s="635">
        <f t="shared" si="126"/>
        <v>8.7321957313171994E-2</v>
      </c>
      <c r="R69" s="635">
        <f t="shared" si="126"/>
        <v>8.7321957313171994E-2</v>
      </c>
      <c r="S69" s="635">
        <f>+$R$70</f>
        <v>0.04</v>
      </c>
      <c r="T69" s="635">
        <f t="shared" ref="T69:AH69" si="127">+$R$70</f>
        <v>0.04</v>
      </c>
      <c r="U69" s="635">
        <f t="shared" si="127"/>
        <v>0.04</v>
      </c>
      <c r="V69" s="635">
        <f t="shared" si="127"/>
        <v>0.04</v>
      </c>
      <c r="W69" s="635">
        <f t="shared" si="127"/>
        <v>0.04</v>
      </c>
      <c r="X69" s="635">
        <f t="shared" si="127"/>
        <v>0.04</v>
      </c>
      <c r="Y69" s="635">
        <f t="shared" si="127"/>
        <v>0.04</v>
      </c>
      <c r="Z69" s="635">
        <f t="shared" si="127"/>
        <v>0.04</v>
      </c>
      <c r="AA69" s="635">
        <f t="shared" si="127"/>
        <v>0.04</v>
      </c>
      <c r="AB69" s="635">
        <f t="shared" si="127"/>
        <v>0.04</v>
      </c>
      <c r="AC69" s="635">
        <f t="shared" si="127"/>
        <v>0.04</v>
      </c>
      <c r="AD69" s="635">
        <f t="shared" si="127"/>
        <v>0.04</v>
      </c>
      <c r="AE69" s="635">
        <f t="shared" si="127"/>
        <v>0.04</v>
      </c>
      <c r="AF69" s="635">
        <f t="shared" si="127"/>
        <v>0.04</v>
      </c>
      <c r="AG69" s="635">
        <f t="shared" si="127"/>
        <v>0.04</v>
      </c>
      <c r="AH69" s="635">
        <f t="shared" si="127"/>
        <v>0.04</v>
      </c>
    </row>
    <row r="70" spans="2:42">
      <c r="B70" s="636" t="s">
        <v>470</v>
      </c>
      <c r="C70" s="635"/>
      <c r="D70" s="635"/>
      <c r="E70" s="635"/>
      <c r="F70" s="635"/>
      <c r="G70" s="635"/>
      <c r="H70" s="635">
        <f>+AVERAGE(C69:H69)</f>
        <v>8.7321957313171994E-2</v>
      </c>
      <c r="I70" s="635"/>
      <c r="J70" s="635"/>
      <c r="K70" s="635"/>
      <c r="L70" s="635"/>
      <c r="M70" s="635"/>
      <c r="N70" s="635"/>
      <c r="O70" s="635"/>
      <c r="P70" s="635"/>
      <c r="Q70" s="635"/>
      <c r="R70" s="635">
        <v>0.04</v>
      </c>
      <c r="S70" s="635"/>
      <c r="T70" s="635"/>
      <c r="U70" s="635"/>
      <c r="V70" s="635"/>
      <c r="W70" s="635"/>
      <c r="X70" s="635"/>
      <c r="Y70" s="635"/>
      <c r="Z70" s="635"/>
      <c r="AA70" s="635"/>
      <c r="AB70" s="635"/>
      <c r="AC70" s="635"/>
      <c r="AD70" s="635"/>
      <c r="AE70" s="635"/>
      <c r="AF70" s="635"/>
      <c r="AG70" s="635"/>
      <c r="AH70" s="635"/>
    </row>
    <row r="71" spans="2:42">
      <c r="B71" s="636"/>
      <c r="C71" s="635"/>
      <c r="D71" s="635"/>
      <c r="E71" s="635"/>
      <c r="F71" s="635"/>
      <c r="G71" s="635"/>
      <c r="H71" s="635"/>
      <c r="I71" s="635"/>
      <c r="J71" s="635"/>
      <c r="K71" s="635"/>
      <c r="L71" s="635"/>
      <c r="M71" s="635"/>
      <c r="N71" s="635"/>
      <c r="O71" s="635"/>
      <c r="P71" s="635"/>
      <c r="Q71" s="635"/>
      <c r="R71" s="635"/>
      <c r="S71" s="635"/>
      <c r="T71" s="635"/>
      <c r="U71" s="635"/>
      <c r="V71" s="635"/>
      <c r="W71" s="635"/>
      <c r="X71" s="635"/>
      <c r="Y71" s="635"/>
      <c r="Z71" s="635"/>
      <c r="AA71" s="635"/>
      <c r="AB71" s="635"/>
      <c r="AC71" s="635"/>
      <c r="AD71" s="635"/>
      <c r="AE71" s="635"/>
      <c r="AF71" s="635"/>
      <c r="AG71" s="635"/>
      <c r="AH71" s="635"/>
    </row>
    <row r="72" spans="2:42" ht="15.95" thickBot="1">
      <c r="B72" s="633" t="s">
        <v>486</v>
      </c>
      <c r="C72" s="73">
        <f>+C64-C68</f>
        <v>0</v>
      </c>
      <c r="D72" s="73">
        <f>+Inputs!F56</f>
        <v>6792</v>
      </c>
      <c r="E72" s="73">
        <f>+Inputs!E56</f>
        <v>14872</v>
      </c>
      <c r="F72" s="73">
        <f>+Inputs!D56</f>
        <v>12967</v>
      </c>
      <c r="G72" s="73">
        <f>+Inputs!C56</f>
        <v>15145</v>
      </c>
      <c r="H72" s="73">
        <f>+Inputs!B56</f>
        <v>8074</v>
      </c>
      <c r="I72" s="73">
        <f>+I64-I68</f>
        <v>9373.9399895007882</v>
      </c>
      <c r="J72" s="73">
        <f t="shared" ref="J72:AG72" si="128">+J64-J68</f>
        <v>10331.470772787208</v>
      </c>
      <c r="K72" s="73">
        <f t="shared" si="128"/>
        <v>11385.302260460139</v>
      </c>
      <c r="L72" s="73">
        <f t="shared" si="128"/>
        <v>12545.001814802461</v>
      </c>
      <c r="M72" s="73">
        <f t="shared" si="128"/>
        <v>13821.077968623395</v>
      </c>
      <c r="N72" s="73">
        <f t="shared" si="128"/>
        <v>15225.072261993861</v>
      </c>
      <c r="O72" s="73">
        <f t="shared" si="128"/>
        <v>16769.659979448945</v>
      </c>
      <c r="P72" s="73">
        <f t="shared" si="128"/>
        <v>18468.760645298054</v>
      </c>
      <c r="Q72" s="73">
        <f t="shared" si="128"/>
        <v>20337.659216917018</v>
      </c>
      <c r="R72" s="73">
        <f t="shared" si="128"/>
        <v>22393.139005980949</v>
      </c>
      <c r="S72" s="73">
        <f t="shared" si="128"/>
        <v>24058.033292207518</v>
      </c>
      <c r="T72" s="73">
        <f t="shared" si="128"/>
        <v>25827.981786182514</v>
      </c>
      <c r="U72" s="73">
        <f t="shared" si="128"/>
        <v>27709.109578030853</v>
      </c>
      <c r="V72" s="73">
        <f t="shared" si="128"/>
        <v>29707.88290757317</v>
      </c>
      <c r="W72" s="73">
        <f t="shared" si="128"/>
        <v>31831.127617618229</v>
      </c>
      <c r="X72" s="73">
        <f t="shared" si="128"/>
        <v>34086.048585752214</v>
      </c>
      <c r="Y72" s="73">
        <f t="shared" si="128"/>
        <v>36480.250185783021</v>
      </c>
      <c r="Z72" s="73">
        <f t="shared" si="128"/>
        <v>39021.757832645089</v>
      </c>
      <c r="AA72" s="73">
        <f t="shared" si="128"/>
        <v>41719.040667353183</v>
      </c>
      <c r="AB72" s="73">
        <f t="shared" si="128"/>
        <v>44581.035441519707</v>
      </c>
      <c r="AC72" s="73">
        <f t="shared" si="128"/>
        <v>47617.171664026508</v>
      </c>
      <c r="AD72" s="73">
        <f t="shared" si="128"/>
        <v>50837.398075675868</v>
      </c>
      <c r="AE72" s="73">
        <f t="shared" si="128"/>
        <v>54252.210521045621</v>
      </c>
      <c r="AF72" s="73">
        <f t="shared" si="128"/>
        <v>57872.681290347304</v>
      </c>
      <c r="AG72" s="73">
        <f t="shared" si="128"/>
        <v>61710.490007844055</v>
      </c>
      <c r="AH72" s="73">
        <f>+AH64-AH68</f>
        <v>65777.956147334829</v>
      </c>
    </row>
    <row r="73" spans="2:42" ht="14.1" thickTop="1">
      <c r="B73" s="634"/>
      <c r="C73" s="635"/>
      <c r="D73" s="635"/>
      <c r="E73" s="635"/>
      <c r="F73" s="635"/>
      <c r="G73" s="635"/>
      <c r="H73" s="635"/>
      <c r="I73" s="635"/>
      <c r="J73" s="635"/>
      <c r="K73" s="635"/>
      <c r="L73" s="635"/>
      <c r="M73" s="635"/>
      <c r="N73" s="635"/>
      <c r="O73" s="635"/>
      <c r="P73" s="635"/>
      <c r="Q73" s="635"/>
      <c r="R73" s="635"/>
      <c r="S73" s="635"/>
      <c r="T73" s="635"/>
      <c r="U73" s="635"/>
      <c r="V73" s="635"/>
      <c r="W73" s="635"/>
      <c r="X73" s="635"/>
      <c r="Y73" s="635"/>
      <c r="Z73" s="635"/>
      <c r="AA73" s="635"/>
      <c r="AB73" s="635"/>
      <c r="AC73" s="635"/>
      <c r="AD73" s="635"/>
      <c r="AE73" s="635"/>
      <c r="AF73" s="635"/>
      <c r="AG73" s="635"/>
      <c r="AH73" s="635"/>
    </row>
    <row r="74" spans="2:42">
      <c r="B74" s="634"/>
      <c r="C74" s="635"/>
      <c r="D74" s="635"/>
      <c r="E74" s="635"/>
      <c r="F74" s="635"/>
      <c r="G74" s="635"/>
      <c r="H74" s="635"/>
      <c r="I74" s="635"/>
      <c r="J74" s="635"/>
      <c r="K74" s="635"/>
      <c r="L74" s="635"/>
      <c r="M74" s="635"/>
      <c r="N74" s="635"/>
      <c r="O74" s="635"/>
      <c r="P74" s="635"/>
      <c r="Q74" s="635"/>
      <c r="R74" s="635"/>
      <c r="S74" s="635"/>
      <c r="T74" s="635"/>
      <c r="U74" s="635"/>
      <c r="V74" s="635"/>
      <c r="W74" s="635"/>
      <c r="X74" s="635"/>
      <c r="Y74" s="635"/>
      <c r="Z74" s="635"/>
      <c r="AA74" s="635"/>
      <c r="AB74" s="635"/>
      <c r="AC74" s="635"/>
      <c r="AD74" s="635"/>
      <c r="AE74" s="635"/>
      <c r="AF74" s="635"/>
      <c r="AG74" s="635"/>
      <c r="AH74" s="635"/>
    </row>
    <row r="76" spans="2:42" ht="15">
      <c r="B76" s="630"/>
      <c r="C76" s="1124" t="s">
        <v>466</v>
      </c>
      <c r="D76" s="1124"/>
      <c r="E76" s="1124"/>
      <c r="F76" s="1124"/>
      <c r="G76" s="1124"/>
      <c r="H76" s="1124"/>
      <c r="I76" s="1125" t="s">
        <v>467</v>
      </c>
      <c r="J76" s="1126"/>
      <c r="K76" s="1126"/>
      <c r="L76" s="1126"/>
      <c r="M76" s="1126"/>
    </row>
    <row r="77" spans="2:42" ht="15">
      <c r="B77" s="631"/>
      <c r="C77" s="631">
        <v>2017</v>
      </c>
      <c r="D77" s="631">
        <v>2018</v>
      </c>
      <c r="E77" s="631">
        <v>2019</v>
      </c>
      <c r="F77" s="6">
        <v>2020</v>
      </c>
      <c r="G77" s="6">
        <v>2021</v>
      </c>
      <c r="H77" s="632">
        <v>2022</v>
      </c>
      <c r="I77" s="6">
        <v>2023</v>
      </c>
      <c r="J77" s="6">
        <f>I77+1</f>
        <v>2024</v>
      </c>
      <c r="K77" s="6">
        <f t="shared" ref="K77:M77" si="129">J77+1</f>
        <v>2025</v>
      </c>
      <c r="L77" s="6">
        <f t="shared" si="129"/>
        <v>2026</v>
      </c>
      <c r="M77" s="632">
        <f t="shared" si="129"/>
        <v>2027</v>
      </c>
      <c r="N77" s="6">
        <f>M77+1</f>
        <v>2028</v>
      </c>
      <c r="O77" s="6">
        <f t="shared" ref="O77:AH77" si="130">N77+1</f>
        <v>2029</v>
      </c>
      <c r="P77" s="6">
        <f t="shared" si="130"/>
        <v>2030</v>
      </c>
      <c r="Q77" s="6">
        <f t="shared" si="130"/>
        <v>2031</v>
      </c>
      <c r="R77" s="632">
        <f t="shared" si="130"/>
        <v>2032</v>
      </c>
      <c r="S77" s="6">
        <f t="shared" si="130"/>
        <v>2033</v>
      </c>
      <c r="T77" s="6">
        <f t="shared" si="130"/>
        <v>2034</v>
      </c>
      <c r="U77" s="6">
        <f t="shared" si="130"/>
        <v>2035</v>
      </c>
      <c r="V77" s="6">
        <f t="shared" si="130"/>
        <v>2036</v>
      </c>
      <c r="W77" s="632">
        <f t="shared" si="130"/>
        <v>2037</v>
      </c>
      <c r="X77" s="6">
        <f t="shared" si="130"/>
        <v>2038</v>
      </c>
      <c r="Y77" s="6">
        <f t="shared" si="130"/>
        <v>2039</v>
      </c>
      <c r="Z77" s="6">
        <f t="shared" si="130"/>
        <v>2040</v>
      </c>
      <c r="AA77" s="6">
        <f t="shared" si="130"/>
        <v>2041</v>
      </c>
      <c r="AB77" s="632">
        <f t="shared" si="130"/>
        <v>2042</v>
      </c>
      <c r="AC77" s="6">
        <f t="shared" si="130"/>
        <v>2043</v>
      </c>
      <c r="AD77" s="6">
        <f t="shared" si="130"/>
        <v>2044</v>
      </c>
      <c r="AE77" s="6">
        <f t="shared" si="130"/>
        <v>2045</v>
      </c>
      <c r="AF77" s="6">
        <f t="shared" si="130"/>
        <v>2046</v>
      </c>
      <c r="AG77" s="632">
        <f t="shared" si="130"/>
        <v>2047</v>
      </c>
      <c r="AH77" s="6">
        <f t="shared" si="130"/>
        <v>2048</v>
      </c>
    </row>
    <row r="78" spans="2:42" ht="15.95" thickBot="1">
      <c r="B78" s="633" t="s">
        <v>487</v>
      </c>
      <c r="D78" s="656">
        <f>+D83/D72</f>
        <v>1.011336866902238</v>
      </c>
      <c r="E78" s="656">
        <f t="shared" ref="E78:G78" si="131">+E83/E72</f>
        <v>0.49932759548144162</v>
      </c>
      <c r="F78" s="656">
        <f t="shared" si="131"/>
        <v>0.71558571759080747</v>
      </c>
      <c r="G78" s="656">
        <f t="shared" si="131"/>
        <v>0.73324529547705508</v>
      </c>
      <c r="H78" s="656">
        <f>+H83/H72</f>
        <v>1.3796135744364628</v>
      </c>
      <c r="I78" s="656">
        <v>1.5</v>
      </c>
      <c r="J78" s="656">
        <v>1.6</v>
      </c>
      <c r="K78" s="656">
        <v>1.46</v>
      </c>
      <c r="L78" s="656">
        <f>+K78-0.05</f>
        <v>1.41</v>
      </c>
      <c r="M78" s="656">
        <f t="shared" ref="M78:R78" si="132">+L78-0.03</f>
        <v>1.38</v>
      </c>
      <c r="N78" s="656">
        <f t="shared" si="132"/>
        <v>1.3499999999999999</v>
      </c>
      <c r="O78" s="656">
        <f t="shared" si="132"/>
        <v>1.3199999999999998</v>
      </c>
      <c r="P78" s="656">
        <f t="shared" si="132"/>
        <v>1.2899999999999998</v>
      </c>
      <c r="Q78" s="656">
        <f t="shared" si="132"/>
        <v>1.2599999999999998</v>
      </c>
      <c r="R78" s="656">
        <f t="shared" si="132"/>
        <v>1.2299999999999998</v>
      </c>
      <c r="S78" s="656">
        <f t="shared" ref="S78" si="133">+R78-0.03</f>
        <v>1.1999999999999997</v>
      </c>
      <c r="T78" s="656">
        <f t="shared" ref="T78" si="134">+S78-0.03</f>
        <v>1.1699999999999997</v>
      </c>
      <c r="U78" s="656">
        <f t="shared" ref="U78" si="135">+T78-0.03</f>
        <v>1.1399999999999997</v>
      </c>
      <c r="V78" s="656">
        <f t="shared" ref="V78" si="136">+U78-0.03</f>
        <v>1.1099999999999997</v>
      </c>
      <c r="W78" s="656">
        <f t="shared" ref="W78" si="137">+V78-0.03</f>
        <v>1.0799999999999996</v>
      </c>
      <c r="X78" s="656">
        <f t="shared" ref="X78:AH78" si="138">+$W$79</f>
        <v>1.0799999999999996</v>
      </c>
      <c r="Y78" s="656">
        <f t="shared" si="138"/>
        <v>1.0799999999999996</v>
      </c>
      <c r="Z78" s="656">
        <f t="shared" si="138"/>
        <v>1.0799999999999996</v>
      </c>
      <c r="AA78" s="656">
        <f t="shared" si="138"/>
        <v>1.0799999999999996</v>
      </c>
      <c r="AB78" s="656">
        <f t="shared" si="138"/>
        <v>1.0799999999999996</v>
      </c>
      <c r="AC78" s="656">
        <f t="shared" si="138"/>
        <v>1.0799999999999996</v>
      </c>
      <c r="AD78" s="656">
        <f t="shared" si="138"/>
        <v>1.0799999999999996</v>
      </c>
      <c r="AE78" s="656">
        <f t="shared" si="138"/>
        <v>1.0799999999999996</v>
      </c>
      <c r="AF78" s="656">
        <f t="shared" si="138"/>
        <v>1.0799999999999996</v>
      </c>
      <c r="AG78" s="656">
        <f t="shared" si="138"/>
        <v>1.0799999999999996</v>
      </c>
      <c r="AH78" s="656">
        <f t="shared" si="138"/>
        <v>1.0799999999999996</v>
      </c>
      <c r="AI78" s="656"/>
      <c r="AJ78" s="656"/>
      <c r="AK78" s="656"/>
      <c r="AL78" s="656"/>
      <c r="AM78" s="656"/>
      <c r="AN78" s="656"/>
      <c r="AO78" s="656"/>
      <c r="AP78" s="656"/>
    </row>
    <row r="79" spans="2:42" ht="14.1" thickTop="1">
      <c r="B79" s="636" t="s">
        <v>470</v>
      </c>
      <c r="C79" s="636"/>
      <c r="D79" s="636"/>
      <c r="E79" s="636"/>
      <c r="F79" s="636"/>
      <c r="G79" s="636"/>
      <c r="H79" s="657">
        <v>1</v>
      </c>
      <c r="J79" s="640"/>
      <c r="K79" s="640"/>
      <c r="L79" s="640"/>
      <c r="M79" s="637"/>
      <c r="N79" s="640"/>
      <c r="O79" s="640"/>
      <c r="P79" s="640"/>
      <c r="Q79" s="640"/>
      <c r="S79" s="640"/>
      <c r="T79" s="640"/>
      <c r="U79" s="640"/>
      <c r="V79" s="640"/>
      <c r="W79" s="725">
        <f>+W78</f>
        <v>1.0799999999999996</v>
      </c>
      <c r="X79" s="640"/>
      <c r="Y79" s="640"/>
      <c r="Z79" s="640"/>
      <c r="AA79" s="640"/>
      <c r="AB79" s="637"/>
      <c r="AC79" s="640"/>
      <c r="AD79" s="640"/>
      <c r="AE79" s="640"/>
      <c r="AF79" s="640"/>
      <c r="AG79" s="637"/>
      <c r="AH79" s="645"/>
    </row>
    <row r="80" spans="2:42">
      <c r="B80" s="636"/>
      <c r="C80" s="636"/>
      <c r="D80" s="636"/>
      <c r="E80" s="636"/>
      <c r="F80" s="636"/>
      <c r="G80" s="636"/>
      <c r="H80" s="706"/>
      <c r="I80" s="640"/>
      <c r="J80" s="640"/>
      <c r="K80" s="640"/>
      <c r="L80" s="640"/>
      <c r="M80" s="645"/>
      <c r="N80" s="640"/>
      <c r="O80" s="640"/>
      <c r="P80" s="640"/>
      <c r="Q80" s="640"/>
      <c r="R80" s="645"/>
      <c r="S80" s="640"/>
      <c r="T80" s="640"/>
      <c r="U80" s="640"/>
      <c r="V80" s="640"/>
      <c r="W80" s="645"/>
      <c r="X80" s="640"/>
      <c r="Y80" s="640"/>
      <c r="Z80" s="640"/>
      <c r="AA80" s="640"/>
      <c r="AB80" s="645"/>
      <c r="AC80" s="640"/>
      <c r="AD80" s="640"/>
      <c r="AE80" s="640"/>
      <c r="AF80" s="640"/>
      <c r="AG80" s="645"/>
      <c r="AH80" s="645"/>
    </row>
    <row r="81" spans="1:35" ht="15">
      <c r="B81" s="630"/>
      <c r="C81" s="1124" t="s">
        <v>466</v>
      </c>
      <c r="D81" s="1124"/>
      <c r="E81" s="1124"/>
      <c r="F81" s="1124"/>
      <c r="G81" s="1124"/>
      <c r="H81" s="1124"/>
      <c r="I81" s="1125" t="s">
        <v>467</v>
      </c>
      <c r="J81" s="1126"/>
      <c r="K81" s="1126"/>
      <c r="L81" s="1126"/>
      <c r="M81" s="1126"/>
    </row>
    <row r="82" spans="1:35" ht="15">
      <c r="B82" s="631"/>
      <c r="C82" s="631">
        <v>2017</v>
      </c>
      <c r="D82" s="631">
        <v>2018</v>
      </c>
      <c r="E82" s="631">
        <v>2019</v>
      </c>
      <c r="F82" s="6">
        <v>2020</v>
      </c>
      <c r="G82" s="6">
        <v>2021</v>
      </c>
      <c r="H82" s="632">
        <v>2022</v>
      </c>
      <c r="I82" s="6">
        <v>2023</v>
      </c>
      <c r="J82" s="6">
        <f>I82+1</f>
        <v>2024</v>
      </c>
      <c r="K82" s="6">
        <f t="shared" ref="K82" si="139">J82+1</f>
        <v>2025</v>
      </c>
      <c r="L82" s="6">
        <f t="shared" ref="L82" si="140">K82+1</f>
        <v>2026</v>
      </c>
      <c r="M82" s="632">
        <f t="shared" ref="M82" si="141">L82+1</f>
        <v>2027</v>
      </c>
      <c r="N82" s="6">
        <f>M82+1</f>
        <v>2028</v>
      </c>
      <c r="O82" s="6">
        <f t="shared" ref="O82" si="142">N82+1</f>
        <v>2029</v>
      </c>
      <c r="P82" s="6">
        <f t="shared" ref="P82" si="143">O82+1</f>
        <v>2030</v>
      </c>
      <c r="Q82" s="6">
        <f t="shared" ref="Q82" si="144">P82+1</f>
        <v>2031</v>
      </c>
      <c r="R82" s="632">
        <f t="shared" ref="R82" si="145">Q82+1</f>
        <v>2032</v>
      </c>
      <c r="S82" s="6">
        <f t="shared" ref="S82" si="146">R82+1</f>
        <v>2033</v>
      </c>
      <c r="T82" s="6">
        <f t="shared" ref="T82" si="147">S82+1</f>
        <v>2034</v>
      </c>
      <c r="U82" s="6">
        <f t="shared" ref="U82" si="148">T82+1</f>
        <v>2035</v>
      </c>
      <c r="V82" s="6">
        <f t="shared" ref="V82" si="149">U82+1</f>
        <v>2036</v>
      </c>
      <c r="W82" s="632">
        <f t="shared" ref="W82" si="150">V82+1</f>
        <v>2037</v>
      </c>
      <c r="X82" s="6">
        <f t="shared" ref="X82" si="151">W82+1</f>
        <v>2038</v>
      </c>
      <c r="Y82" s="6">
        <f t="shared" ref="Y82" si="152">X82+1</f>
        <v>2039</v>
      </c>
      <c r="Z82" s="6">
        <f t="shared" ref="Z82" si="153">Y82+1</f>
        <v>2040</v>
      </c>
      <c r="AA82" s="6">
        <f t="shared" ref="AA82" si="154">Z82+1</f>
        <v>2041</v>
      </c>
      <c r="AB82" s="632">
        <f t="shared" ref="AB82" si="155">AA82+1</f>
        <v>2042</v>
      </c>
      <c r="AC82" s="6">
        <f t="shared" ref="AC82" si="156">AB82+1</f>
        <v>2043</v>
      </c>
      <c r="AD82" s="6">
        <f t="shared" ref="AD82" si="157">AC82+1</f>
        <v>2044</v>
      </c>
      <c r="AE82" s="6">
        <f t="shared" ref="AE82" si="158">AD82+1</f>
        <v>2045</v>
      </c>
      <c r="AF82" s="6">
        <f t="shared" ref="AF82" si="159">AE82+1</f>
        <v>2046</v>
      </c>
      <c r="AG82" s="632">
        <f t="shared" ref="AG82" si="160">AF82+1</f>
        <v>2047</v>
      </c>
      <c r="AH82" s="6">
        <f t="shared" ref="AH82" si="161">AG82+1</f>
        <v>2048</v>
      </c>
    </row>
    <row r="83" spans="1:35" ht="15.95" thickBot="1">
      <c r="B83" s="633" t="s">
        <v>276</v>
      </c>
      <c r="C83" s="73"/>
      <c r="D83" s="73">
        <f>+'Fin. Data'!F58</f>
        <v>6869</v>
      </c>
      <c r="E83" s="73">
        <f>+'Fin. Data'!E58</f>
        <v>7426</v>
      </c>
      <c r="F83" s="73">
        <f>+'Fin. Data'!D58</f>
        <v>9279</v>
      </c>
      <c r="G83" s="73">
        <f>+'Fin. Data'!C58</f>
        <v>11105</v>
      </c>
      <c r="H83" s="73">
        <f>+'Fin. Data'!B58</f>
        <v>11139</v>
      </c>
      <c r="I83" s="73">
        <f>+I72*I78</f>
        <v>14060.909984251182</v>
      </c>
      <c r="J83" s="73">
        <f>+J72*J78</f>
        <v>16530.353236459534</v>
      </c>
      <c r="K83" s="73">
        <f>+K72*K78</f>
        <v>16622.541300271801</v>
      </c>
      <c r="L83" s="73">
        <f t="shared" ref="L83:AH83" si="162">+L72*L78</f>
        <v>17688.452558871468</v>
      </c>
      <c r="M83" s="73">
        <f t="shared" si="162"/>
        <v>19073.087596700283</v>
      </c>
      <c r="N83" s="73">
        <f t="shared" si="162"/>
        <v>20553.84755369171</v>
      </c>
      <c r="O83" s="73">
        <f t="shared" si="162"/>
        <v>22135.951172872603</v>
      </c>
      <c r="P83" s="73">
        <f t="shared" si="162"/>
        <v>23824.701232434487</v>
      </c>
      <c r="Q83" s="73">
        <f t="shared" si="162"/>
        <v>25625.450613315439</v>
      </c>
      <c r="R83" s="73">
        <f t="shared" si="162"/>
        <v>27543.560977356563</v>
      </c>
      <c r="S83" s="73">
        <f t="shared" si="162"/>
        <v>28869.639950649016</v>
      </c>
      <c r="T83" s="73">
        <f t="shared" si="162"/>
        <v>30218.738689833535</v>
      </c>
      <c r="U83" s="73">
        <f t="shared" si="162"/>
        <v>31588.384918955166</v>
      </c>
      <c r="V83" s="73">
        <f t="shared" si="162"/>
        <v>32975.750027406211</v>
      </c>
      <c r="W83" s="73">
        <f t="shared" si="162"/>
        <v>34377.617827027672</v>
      </c>
      <c r="X83" s="73">
        <f t="shared" si="162"/>
        <v>36812.932472612381</v>
      </c>
      <c r="Y83" s="73">
        <f t="shared" si="162"/>
        <v>39398.670200645647</v>
      </c>
      <c r="Z83" s="73">
        <f t="shared" si="162"/>
        <v>42143.498459256683</v>
      </c>
      <c r="AA83" s="73">
        <f t="shared" si="162"/>
        <v>45056.563920741421</v>
      </c>
      <c r="AB83" s="73">
        <f t="shared" si="162"/>
        <v>48147.518276841271</v>
      </c>
      <c r="AC83" s="73">
        <f t="shared" si="162"/>
        <v>51426.545397148613</v>
      </c>
      <c r="AD83" s="73">
        <f t="shared" si="162"/>
        <v>54904.389921729919</v>
      </c>
      <c r="AE83" s="73">
        <f t="shared" si="162"/>
        <v>58592.387362729249</v>
      </c>
      <c r="AF83" s="73">
        <f t="shared" si="162"/>
        <v>62502.495793575064</v>
      </c>
      <c r="AG83" s="73">
        <f t="shared" si="162"/>
        <v>66647.32920847155</v>
      </c>
      <c r="AH83" s="73">
        <f t="shared" si="162"/>
        <v>71040.192639121597</v>
      </c>
    </row>
    <row r="84" spans="1:35" ht="14.1" thickTop="1">
      <c r="B84" s="636" t="s">
        <v>488</v>
      </c>
      <c r="C84" s="658"/>
      <c r="D84" s="707">
        <f t="shared" ref="D84:H84" si="163">+D83-C83</f>
        <v>6869</v>
      </c>
      <c r="E84" s="707">
        <f t="shared" si="163"/>
        <v>557</v>
      </c>
      <c r="F84" s="707">
        <f t="shared" si="163"/>
        <v>1853</v>
      </c>
      <c r="G84" s="707">
        <f t="shared" si="163"/>
        <v>1826</v>
      </c>
      <c r="H84" s="707">
        <f t="shared" si="163"/>
        <v>34</v>
      </c>
      <c r="I84" s="707">
        <f>+I83-H83</f>
        <v>2921.9099842511823</v>
      </c>
      <c r="J84" s="707">
        <f>+J83-I83</f>
        <v>2469.4432522083516</v>
      </c>
      <c r="K84" s="707">
        <f t="shared" ref="K84:AH84" si="164">+K83-J83</f>
        <v>92.188063812267501</v>
      </c>
      <c r="L84" s="707">
        <f t="shared" si="164"/>
        <v>1065.9112585996663</v>
      </c>
      <c r="M84" s="707">
        <f t="shared" si="164"/>
        <v>1384.6350378288153</v>
      </c>
      <c r="N84" s="707">
        <f t="shared" si="164"/>
        <v>1480.7599569914273</v>
      </c>
      <c r="O84" s="707">
        <f t="shared" si="164"/>
        <v>1582.1036191808926</v>
      </c>
      <c r="P84" s="707">
        <f t="shared" si="164"/>
        <v>1688.750059561884</v>
      </c>
      <c r="Q84" s="707">
        <f t="shared" si="164"/>
        <v>1800.7493808809522</v>
      </c>
      <c r="R84" s="707">
        <f t="shared" si="164"/>
        <v>1918.1103640411238</v>
      </c>
      <c r="S84" s="707">
        <f t="shared" si="164"/>
        <v>1326.0789732924532</v>
      </c>
      <c r="T84" s="707">
        <f t="shared" si="164"/>
        <v>1349.0987391845192</v>
      </c>
      <c r="U84" s="707">
        <f t="shared" si="164"/>
        <v>1369.6462291216303</v>
      </c>
      <c r="V84" s="707">
        <f t="shared" si="164"/>
        <v>1387.3651084510457</v>
      </c>
      <c r="W84" s="707">
        <f t="shared" si="164"/>
        <v>1401.867799621461</v>
      </c>
      <c r="X84" s="707">
        <f t="shared" si="164"/>
        <v>2435.3146455847091</v>
      </c>
      <c r="Y84" s="707">
        <f t="shared" si="164"/>
        <v>2585.7377280332657</v>
      </c>
      <c r="Z84" s="707">
        <f t="shared" si="164"/>
        <v>2744.8282586110363</v>
      </c>
      <c r="AA84" s="707">
        <f t="shared" si="164"/>
        <v>2913.0654614847372</v>
      </c>
      <c r="AB84" s="707">
        <f t="shared" si="164"/>
        <v>3090.95435609985</v>
      </c>
      <c r="AC84" s="707">
        <f t="shared" si="164"/>
        <v>3279.0271203073426</v>
      </c>
      <c r="AD84" s="707">
        <f t="shared" si="164"/>
        <v>3477.8445245813054</v>
      </c>
      <c r="AE84" s="707">
        <f t="shared" si="164"/>
        <v>3687.9974409993301</v>
      </c>
      <c r="AF84" s="707">
        <f t="shared" si="164"/>
        <v>3910.1084308458157</v>
      </c>
      <c r="AG84" s="707">
        <f t="shared" si="164"/>
        <v>4144.8334148964859</v>
      </c>
      <c r="AH84" s="707">
        <f t="shared" si="164"/>
        <v>4392.8634306500462</v>
      </c>
    </row>
    <row r="85" spans="1:35">
      <c r="B85" s="636"/>
      <c r="C85" s="658"/>
      <c r="D85" s="658"/>
      <c r="E85" s="658"/>
      <c r="F85" s="658"/>
      <c r="G85" s="658"/>
      <c r="H85" s="658"/>
      <c r="I85" s="640"/>
      <c r="J85" s="640"/>
      <c r="K85" s="640"/>
      <c r="L85" s="640"/>
      <c r="M85" s="645"/>
      <c r="N85" s="640"/>
      <c r="O85" s="640"/>
      <c r="P85" s="640"/>
      <c r="Q85" s="640"/>
      <c r="R85" s="645"/>
      <c r="S85" s="640"/>
      <c r="T85" s="640"/>
      <c r="U85" s="640"/>
      <c r="V85" s="640"/>
      <c r="W85" s="645"/>
      <c r="X85" s="640"/>
      <c r="Y85" s="640"/>
      <c r="Z85" s="640"/>
      <c r="AA85" s="640"/>
      <c r="AB85" s="645"/>
      <c r="AC85" s="640"/>
      <c r="AD85" s="640"/>
      <c r="AE85" s="640"/>
      <c r="AF85" s="640"/>
      <c r="AG85" s="645"/>
      <c r="AH85" s="645"/>
    </row>
    <row r="86" spans="1:35" ht="15">
      <c r="B86" s="630"/>
      <c r="C86" s="1124" t="s">
        <v>466</v>
      </c>
      <c r="D86" s="1124"/>
      <c r="E86" s="1124"/>
      <c r="F86" s="1124"/>
      <c r="G86" s="1124"/>
      <c r="H86" s="1124"/>
      <c r="I86" s="1125" t="s">
        <v>467</v>
      </c>
      <c r="J86" s="1126"/>
      <c r="K86" s="1126"/>
      <c r="L86" s="1126"/>
      <c r="M86" s="1126"/>
    </row>
    <row r="87" spans="1:35" ht="15">
      <c r="B87" s="631"/>
      <c r="C87" s="631">
        <v>2017</v>
      </c>
      <c r="D87" s="631">
        <v>2018</v>
      </c>
      <c r="E87" s="631">
        <v>2019</v>
      </c>
      <c r="F87" s="6">
        <v>2020</v>
      </c>
      <c r="G87" s="6">
        <v>2021</v>
      </c>
      <c r="H87" s="632">
        <v>2022</v>
      </c>
      <c r="I87" s="6">
        <v>2023</v>
      </c>
      <c r="J87" s="6">
        <f>I87+1</f>
        <v>2024</v>
      </c>
      <c r="K87" s="6">
        <f t="shared" ref="K87" si="165">J87+1</f>
        <v>2025</v>
      </c>
      <c r="L87" s="6">
        <f t="shared" ref="L87" si="166">K87+1</f>
        <v>2026</v>
      </c>
      <c r="M87" s="632">
        <f t="shared" ref="M87" si="167">L87+1</f>
        <v>2027</v>
      </c>
      <c r="N87" s="6">
        <f>M87+1</f>
        <v>2028</v>
      </c>
      <c r="O87" s="6">
        <f t="shared" ref="O87" si="168">N87+1</f>
        <v>2029</v>
      </c>
      <c r="P87" s="6">
        <f t="shared" ref="P87" si="169">O87+1</f>
        <v>2030</v>
      </c>
      <c r="Q87" s="6">
        <f t="shared" ref="Q87" si="170">P87+1</f>
        <v>2031</v>
      </c>
      <c r="R87" s="632">
        <f t="shared" ref="R87" si="171">Q87+1</f>
        <v>2032</v>
      </c>
      <c r="S87" s="6">
        <f t="shared" ref="S87" si="172">R87+1</f>
        <v>2033</v>
      </c>
      <c r="T87" s="6">
        <f t="shared" ref="T87" si="173">S87+1</f>
        <v>2034</v>
      </c>
      <c r="U87" s="6">
        <f t="shared" ref="U87" si="174">T87+1</f>
        <v>2035</v>
      </c>
      <c r="V87" s="6">
        <f t="shared" ref="V87" si="175">U87+1</f>
        <v>2036</v>
      </c>
      <c r="W87" s="632">
        <f t="shared" ref="W87" si="176">V87+1</f>
        <v>2037</v>
      </c>
      <c r="X87" s="6">
        <f t="shared" ref="X87" si="177">W87+1</f>
        <v>2038</v>
      </c>
      <c r="Y87" s="6">
        <f t="shared" ref="Y87" si="178">X87+1</f>
        <v>2039</v>
      </c>
      <c r="Z87" s="6">
        <f t="shared" ref="Z87" si="179">Y87+1</f>
        <v>2040</v>
      </c>
      <c r="AA87" s="6">
        <f t="shared" ref="AA87" si="180">Z87+1</f>
        <v>2041</v>
      </c>
      <c r="AB87" s="632">
        <f t="shared" ref="AB87" si="181">AA87+1</f>
        <v>2042</v>
      </c>
      <c r="AC87" s="6">
        <f t="shared" ref="AC87" si="182">AB87+1</f>
        <v>2043</v>
      </c>
      <c r="AD87" s="6">
        <f t="shared" ref="AD87" si="183">AC87+1</f>
        <v>2044</v>
      </c>
      <c r="AE87" s="6">
        <f t="shared" ref="AE87" si="184">AD87+1</f>
        <v>2045</v>
      </c>
      <c r="AF87" s="6">
        <f t="shared" ref="AF87" si="185">AE87+1</f>
        <v>2046</v>
      </c>
      <c r="AG87" s="632">
        <f t="shared" ref="AG87" si="186">AF87+1</f>
        <v>2047</v>
      </c>
      <c r="AH87" s="6">
        <f t="shared" ref="AH87" si="187">AG87+1</f>
        <v>2048</v>
      </c>
    </row>
    <row r="88" spans="1:35" ht="15.95" thickBot="1">
      <c r="B88" s="633" t="s">
        <v>489</v>
      </c>
      <c r="C88" s="73"/>
      <c r="D88" s="73">
        <f>+Inputs!F71+Inputs!F72</f>
        <v>-89</v>
      </c>
      <c r="E88" s="73">
        <f>+Inputs!E71+Inputs!E72</f>
        <v>1581</v>
      </c>
      <c r="F88" s="73">
        <f>+Inputs!D71+Inputs!D72</f>
        <v>-224</v>
      </c>
      <c r="G88" s="73">
        <f>+Inputs!B71+Inputs!B72</f>
        <v>-139</v>
      </c>
      <c r="H88" s="73">
        <f>+Inputs!B71-Inputs!C71</f>
        <v>-65</v>
      </c>
      <c r="I88" s="73">
        <f>+I89*I9</f>
        <v>-384.94038722613607</v>
      </c>
      <c r="J88" s="73">
        <f t="shared" ref="J88:AH88" si="188">+J89*J9</f>
        <v>-461.92846467136332</v>
      </c>
      <c r="K88" s="73">
        <f t="shared" si="188"/>
        <v>-531.21773437206775</v>
      </c>
      <c r="L88" s="73">
        <f t="shared" si="188"/>
        <v>-610.90039452787789</v>
      </c>
      <c r="M88" s="73">
        <f t="shared" si="188"/>
        <v>-671.99043398066578</v>
      </c>
      <c r="N88" s="73">
        <f t="shared" si="188"/>
        <v>-732.46957303892566</v>
      </c>
      <c r="O88" s="73">
        <f t="shared" si="188"/>
        <v>-798.39183461242908</v>
      </c>
      <c r="P88" s="73">
        <f t="shared" si="188"/>
        <v>-862.26318138142346</v>
      </c>
      <c r="Q88" s="73">
        <f t="shared" si="188"/>
        <v>-931.24423589193736</v>
      </c>
      <c r="R88" s="73">
        <f t="shared" si="188"/>
        <v>-996.43133240437305</v>
      </c>
      <c r="S88" s="73">
        <f t="shared" si="188"/>
        <v>-1066.1815256726793</v>
      </c>
      <c r="T88" s="73">
        <f t="shared" si="188"/>
        <v>-1130.1524172130401</v>
      </c>
      <c r="U88" s="73">
        <f t="shared" si="188"/>
        <v>-1186.660038073692</v>
      </c>
      <c r="V88" s="73">
        <f t="shared" si="188"/>
        <v>-1245.9930399773768</v>
      </c>
      <c r="W88" s="73">
        <f t="shared" si="188"/>
        <v>-1308.2926919762456</v>
      </c>
      <c r="X88" s="73">
        <f t="shared" si="188"/>
        <v>-1373.707326575058</v>
      </c>
      <c r="Y88" s="73">
        <f t="shared" si="188"/>
        <v>-1442.3926929038112</v>
      </c>
      <c r="Z88" s="73">
        <f t="shared" si="188"/>
        <v>-1514.5123275490016</v>
      </c>
      <c r="AA88" s="73">
        <f t="shared" si="188"/>
        <v>-1582.6653822887067</v>
      </c>
      <c r="AB88" s="73">
        <f t="shared" si="188"/>
        <v>-1645.971997580255</v>
      </c>
      <c r="AC88" s="73">
        <f t="shared" si="188"/>
        <v>-1703.5810174955636</v>
      </c>
      <c r="AD88" s="73">
        <f t="shared" si="188"/>
        <v>-1754.6884480204305</v>
      </c>
      <c r="AE88" s="73">
        <f t="shared" si="188"/>
        <v>-1798.5556592209412</v>
      </c>
      <c r="AF88" s="73">
        <f t="shared" si="188"/>
        <v>-1834.5267724053599</v>
      </c>
      <c r="AG88" s="73">
        <f t="shared" si="188"/>
        <v>-1862.04467399144</v>
      </c>
      <c r="AH88" s="73">
        <f t="shared" si="188"/>
        <v>-1880.6651207313544</v>
      </c>
    </row>
    <row r="89" spans="1:35" ht="14.1" thickTop="1">
      <c r="B89" s="634" t="s">
        <v>476</v>
      </c>
      <c r="C89" s="635">
        <f>C88/C$9</f>
        <v>0</v>
      </c>
      <c r="D89" s="635">
        <f t="shared" ref="D89:G89" si="189">D88/D$9</f>
        <v>-8.5306239815968569E-3</v>
      </c>
      <c r="E89" s="635">
        <f>E88/E$9</f>
        <v>0.12161538461538461</v>
      </c>
      <c r="F89" s="635">
        <f t="shared" si="189"/>
        <v>-2.0109525092019031E-2</v>
      </c>
      <c r="G89" s="635">
        <f t="shared" si="189"/>
        <v>-7.9633342881695792E-3</v>
      </c>
      <c r="H89" s="635">
        <f>H88/H$9</f>
        <v>-2.0390877435141324E-3</v>
      </c>
      <c r="I89" s="635">
        <f>+$H$90</f>
        <v>-9.6606427763249007E-3</v>
      </c>
      <c r="J89" s="635">
        <f t="shared" ref="J89:R89" si="190">+$H$90</f>
        <v>-9.6606427763249007E-3</v>
      </c>
      <c r="K89" s="635">
        <f t="shared" si="190"/>
        <v>-9.6606427763249007E-3</v>
      </c>
      <c r="L89" s="635">
        <f t="shared" si="190"/>
        <v>-9.6606427763249007E-3</v>
      </c>
      <c r="M89" s="635">
        <f t="shared" si="190"/>
        <v>-9.6606427763249007E-3</v>
      </c>
      <c r="N89" s="635">
        <f t="shared" si="190"/>
        <v>-9.6606427763249007E-3</v>
      </c>
      <c r="O89" s="635">
        <f t="shared" si="190"/>
        <v>-9.6606427763249007E-3</v>
      </c>
      <c r="P89" s="635">
        <f t="shared" si="190"/>
        <v>-9.6606427763249007E-3</v>
      </c>
      <c r="Q89" s="635">
        <f t="shared" si="190"/>
        <v>-9.6606427763249007E-3</v>
      </c>
      <c r="R89" s="635">
        <f t="shared" si="190"/>
        <v>-9.6606427763249007E-3</v>
      </c>
      <c r="S89" s="635">
        <f>$R$90</f>
        <v>-9.6606427763249007E-3</v>
      </c>
      <c r="T89" s="635">
        <f t="shared" ref="T89:AH89" si="191">$R$90</f>
        <v>-9.6606427763249007E-3</v>
      </c>
      <c r="U89" s="635">
        <f t="shared" si="191"/>
        <v>-9.6606427763249007E-3</v>
      </c>
      <c r="V89" s="635">
        <f t="shared" si="191"/>
        <v>-9.6606427763249007E-3</v>
      </c>
      <c r="W89" s="635">
        <f t="shared" si="191"/>
        <v>-9.6606427763249007E-3</v>
      </c>
      <c r="X89" s="635">
        <f t="shared" si="191"/>
        <v>-9.6606427763249007E-3</v>
      </c>
      <c r="Y89" s="635">
        <f t="shared" si="191"/>
        <v>-9.6606427763249007E-3</v>
      </c>
      <c r="Z89" s="635">
        <f t="shared" si="191"/>
        <v>-9.6606427763249007E-3</v>
      </c>
      <c r="AA89" s="635">
        <f t="shared" si="191"/>
        <v>-9.6606427763249007E-3</v>
      </c>
      <c r="AB89" s="635">
        <f t="shared" si="191"/>
        <v>-9.6606427763249007E-3</v>
      </c>
      <c r="AC89" s="635">
        <f t="shared" si="191"/>
        <v>-9.6606427763249007E-3</v>
      </c>
      <c r="AD89" s="635">
        <f t="shared" si="191"/>
        <v>-9.6606427763249007E-3</v>
      </c>
      <c r="AE89" s="635">
        <f t="shared" si="191"/>
        <v>-9.6606427763249007E-3</v>
      </c>
      <c r="AF89" s="635">
        <f t="shared" si="191"/>
        <v>-9.6606427763249007E-3</v>
      </c>
      <c r="AG89" s="635">
        <f t="shared" si="191"/>
        <v>-9.6606427763249007E-3</v>
      </c>
      <c r="AH89" s="635">
        <f t="shared" si="191"/>
        <v>-9.6606427763249007E-3</v>
      </c>
    </row>
    <row r="90" spans="1:35">
      <c r="B90" s="636" t="s">
        <v>470</v>
      </c>
      <c r="C90" s="636"/>
      <c r="D90" s="636"/>
      <c r="E90" s="636"/>
      <c r="F90" s="636"/>
      <c r="G90" s="636"/>
      <c r="H90" s="637">
        <f>AVERAGE(D89,F89:H89)</f>
        <v>-9.6606427763249007E-3</v>
      </c>
      <c r="I90" s="640"/>
      <c r="J90" s="640"/>
      <c r="K90" s="640"/>
      <c r="L90" s="640"/>
      <c r="M90" s="637"/>
      <c r="N90" s="640"/>
      <c r="O90" s="640"/>
      <c r="P90" s="640"/>
      <c r="Q90" s="640"/>
      <c r="R90" s="663">
        <f>+I140</f>
        <v>-9.6606427763249007E-3</v>
      </c>
      <c r="S90" s="640"/>
      <c r="T90" s="640"/>
      <c r="U90" s="640"/>
      <c r="V90" s="640"/>
      <c r="W90" s="637">
        <f>AVERAGE(S89:W89)</f>
        <v>-9.6606427763249007E-3</v>
      </c>
      <c r="X90" s="640"/>
      <c r="Y90" s="640"/>
      <c r="Z90" s="640"/>
      <c r="AA90" s="640"/>
      <c r="AB90" s="637">
        <f>AVERAGE(X89:AB89)</f>
        <v>-9.6606427763249007E-3</v>
      </c>
      <c r="AC90" s="640"/>
      <c r="AD90" s="640"/>
      <c r="AE90" s="640"/>
      <c r="AF90" s="640"/>
      <c r="AG90" s="637">
        <f>AVERAGE(AC89:AG89)</f>
        <v>-9.6606427763249007E-3</v>
      </c>
      <c r="AH90" s="645"/>
    </row>
    <row r="92" spans="1:35" ht="15">
      <c r="B92" s="630"/>
      <c r="C92" s="1124" t="s">
        <v>490</v>
      </c>
      <c r="D92" s="1124"/>
      <c r="E92" s="1124"/>
      <c r="F92" s="1124"/>
      <c r="G92" s="1124"/>
      <c r="H92" s="1124"/>
      <c r="I92" s="1124"/>
      <c r="J92" s="1125" t="s">
        <v>467</v>
      </c>
      <c r="K92" s="1125"/>
      <c r="L92" s="1125"/>
      <c r="M92" s="1125"/>
      <c r="N92" s="1125"/>
    </row>
    <row r="93" spans="1:35" ht="15">
      <c r="B93" s="631"/>
      <c r="C93" s="631" t="s">
        <v>135</v>
      </c>
      <c r="D93" s="631" t="s">
        <v>491</v>
      </c>
      <c r="E93" s="631" t="s">
        <v>492</v>
      </c>
      <c r="F93" s="6" t="s">
        <v>493</v>
      </c>
      <c r="G93" s="6" t="s">
        <v>494</v>
      </c>
      <c r="H93" s="631" t="s">
        <v>495</v>
      </c>
      <c r="I93" s="632" t="s">
        <v>496</v>
      </c>
    </row>
    <row r="94" spans="1:35" ht="17.100000000000001" thickBot="1">
      <c r="B94" s="633" t="s">
        <v>497</v>
      </c>
      <c r="C94" s="750">
        <v>6209.0999999999995</v>
      </c>
      <c r="D94" s="750">
        <v>18562.939999999999</v>
      </c>
      <c r="E94" s="792">
        <v>0.3344890410678481</v>
      </c>
      <c r="F94" s="793">
        <v>14374.3</v>
      </c>
      <c r="G94" s="793">
        <f>+F94-C94</f>
        <v>8165.2</v>
      </c>
      <c r="H94" s="792">
        <f>+G94/D94</f>
        <v>0.43986566783063463</v>
      </c>
      <c r="I94" s="792">
        <v>0.77435470889848301</v>
      </c>
      <c r="J94" s="6">
        <v>2023</v>
      </c>
      <c r="K94" s="6">
        <f>J94+1</f>
        <v>2024</v>
      </c>
      <c r="L94" s="6">
        <f t="shared" ref="L94:N94" si="192">K94+1</f>
        <v>2025</v>
      </c>
      <c r="M94" s="6">
        <f t="shared" si="192"/>
        <v>2026</v>
      </c>
      <c r="N94" s="632">
        <f t="shared" si="192"/>
        <v>2027</v>
      </c>
      <c r="O94" s="6">
        <f>N94+1</f>
        <v>2028</v>
      </c>
      <c r="P94" s="6">
        <f t="shared" ref="P94:AI94" si="193">O94+1</f>
        <v>2029</v>
      </c>
      <c r="Q94" s="6">
        <f t="shared" si="193"/>
        <v>2030</v>
      </c>
      <c r="R94" s="6">
        <f t="shared" si="193"/>
        <v>2031</v>
      </c>
      <c r="S94" s="632">
        <f t="shared" si="193"/>
        <v>2032</v>
      </c>
      <c r="T94" s="6">
        <f t="shared" si="193"/>
        <v>2033</v>
      </c>
      <c r="U94" s="6">
        <f t="shared" si="193"/>
        <v>2034</v>
      </c>
      <c r="V94" s="6">
        <f t="shared" si="193"/>
        <v>2035</v>
      </c>
      <c r="W94" s="6">
        <f t="shared" si="193"/>
        <v>2036</v>
      </c>
      <c r="X94" s="632">
        <f t="shared" si="193"/>
        <v>2037</v>
      </c>
      <c r="Y94" s="6">
        <f t="shared" si="193"/>
        <v>2038</v>
      </c>
      <c r="Z94" s="6">
        <f t="shared" si="193"/>
        <v>2039</v>
      </c>
      <c r="AA94" s="6">
        <f t="shared" si="193"/>
        <v>2040</v>
      </c>
      <c r="AB94" s="6">
        <f t="shared" si="193"/>
        <v>2041</v>
      </c>
      <c r="AC94" s="632">
        <f t="shared" si="193"/>
        <v>2042</v>
      </c>
      <c r="AD94" s="6">
        <f t="shared" si="193"/>
        <v>2043</v>
      </c>
      <c r="AE94" s="6">
        <f t="shared" si="193"/>
        <v>2044</v>
      </c>
      <c r="AF94" s="6">
        <f t="shared" si="193"/>
        <v>2045</v>
      </c>
      <c r="AG94" s="6">
        <f t="shared" si="193"/>
        <v>2046</v>
      </c>
      <c r="AH94" s="632">
        <f t="shared" si="193"/>
        <v>2047</v>
      </c>
      <c r="AI94" s="6">
        <f t="shared" si="193"/>
        <v>2048</v>
      </c>
    </row>
    <row r="95" spans="1:35" ht="14.1" thickTop="1">
      <c r="B95" s="634" t="s">
        <v>498</v>
      </c>
      <c r="C95" s="635"/>
      <c r="D95" s="635"/>
      <c r="E95" s="635"/>
      <c r="F95" s="635"/>
      <c r="G95" s="635"/>
      <c r="H95" s="635"/>
      <c r="J95" s="751">
        <f>+DCF!G17</f>
        <v>-4210.1217006666666</v>
      </c>
      <c r="K95" s="751">
        <f>+DCF!H17</f>
        <v>-3471.8576238470805</v>
      </c>
      <c r="L95" s="751">
        <f>+DCF!I17</f>
        <v>-1496.0550644333327</v>
      </c>
      <c r="M95" s="751">
        <f>+DCF!J17</f>
        <v>-188.05807429388895</v>
      </c>
      <c r="N95" s="751">
        <f>+DCF!K17</f>
        <v>1237.6394652868071</v>
      </c>
      <c r="O95" s="751">
        <f>+DCF!L17</f>
        <v>2785.8353867186565</v>
      </c>
      <c r="P95" s="751">
        <f>+DCF!M17</f>
        <v>3834.173384309739</v>
      </c>
      <c r="Q95" s="751">
        <f>+DCF!N17</f>
        <v>4280.5874263849091</v>
      </c>
      <c r="R95" s="751">
        <f>+DCF!O17</f>
        <v>5565.291117613302</v>
      </c>
      <c r="S95" s="751">
        <f>+DCF!P17</f>
        <v>6948.8609161464601</v>
      </c>
      <c r="T95" s="751">
        <f>+DCF!Q17</f>
        <v>8490.4087830922872</v>
      </c>
      <c r="U95" s="751">
        <f>+DCF!R17</f>
        <v>10125.604547410298</v>
      </c>
      <c r="V95" s="751">
        <f>+DCF!S17</f>
        <v>10723.850586719331</v>
      </c>
      <c r="W95" s="751">
        <f>+DCF!T17</f>
        <v>11337.07127554229</v>
      </c>
      <c r="X95" s="751">
        <f>+DCF!U17</f>
        <v>11991.879835316266</v>
      </c>
      <c r="Y95" s="751">
        <f>+DCF!V17</f>
        <v>11453.240382192715</v>
      </c>
      <c r="Z95" s="751">
        <f>+DCF!W17</f>
        <v>10791.336072659607</v>
      </c>
      <c r="AA95" s="751">
        <f>+DCF!X17</f>
        <v>10034.618733017101</v>
      </c>
      <c r="AB95" s="751">
        <f>+DCF!Y17</f>
        <v>9122.6075929988037</v>
      </c>
      <c r="AC95" s="751">
        <f>+DCF!Z17</f>
        <v>9523.180762169497</v>
      </c>
      <c r="AD95" s="751">
        <f>+DCF!AA17</f>
        <v>9873.8229696269937</v>
      </c>
      <c r="AE95" s="751">
        <f>+DCF!AB17</f>
        <v>10169.49768025153</v>
      </c>
      <c r="AF95" s="751">
        <f>+DCF!AC17</f>
        <v>10401.283153283093</v>
      </c>
      <c r="AG95" s="751">
        <f>+DCF!AD17</f>
        <v>10564.09650794663</v>
      </c>
      <c r="AH95" s="751">
        <f>+DCF!AE17</f>
        <v>10653.008010163623</v>
      </c>
      <c r="AI95" s="751">
        <f>+DCF!AF17</f>
        <v>10663.376688709246</v>
      </c>
    </row>
    <row r="96" spans="1:35" s="752" customFormat="1">
      <c r="A96"/>
      <c r="B96" s="636" t="s">
        <v>499</v>
      </c>
      <c r="C96" s="636"/>
      <c r="D96" s="636"/>
      <c r="E96" s="636"/>
      <c r="F96" s="636"/>
      <c r="G96" s="636"/>
      <c r="H96" s="636"/>
      <c r="I96" s="636"/>
      <c r="J96" s="636"/>
      <c r="K96" s="636"/>
      <c r="L96" s="636"/>
      <c r="M96" s="636"/>
      <c r="N96" s="753">
        <f>+N95*0.2</f>
        <v>247.52789305736144</v>
      </c>
      <c r="O96" s="753">
        <f>+O95*0.25</f>
        <v>696.45884667966413</v>
      </c>
      <c r="P96" s="753">
        <f>+P95*0.3</f>
        <v>1150.2520152929217</v>
      </c>
      <c r="Q96" s="753">
        <f>+Q95*0.35</f>
        <v>1498.2055992347182</v>
      </c>
      <c r="R96" s="753">
        <f>+R95*0.4</f>
        <v>2226.1164470453209</v>
      </c>
      <c r="S96" s="753">
        <f>+S95*$S$97</f>
        <v>3056.5653475429581</v>
      </c>
      <c r="T96" s="753">
        <f>+T95*$S$97</f>
        <v>3734.6393295299749</v>
      </c>
      <c r="U96" s="753">
        <f t="shared" ref="U96:AI96" si="194">+U95*$S$97</f>
        <v>4453.9058064355413</v>
      </c>
      <c r="V96" s="753">
        <f t="shared" si="194"/>
        <v>4717.0537000432414</v>
      </c>
      <c r="W96" s="753">
        <f t="shared" si="194"/>
        <v>4986.788427859914</v>
      </c>
      <c r="X96" s="753">
        <f t="shared" si="194"/>
        <v>5274.8162323061097</v>
      </c>
      <c r="Y96" s="753">
        <f t="shared" si="194"/>
        <v>5037.8872295379915</v>
      </c>
      <c r="Z96" s="753">
        <f t="shared" si="194"/>
        <v>4746.7382483852361</v>
      </c>
      <c r="AA96" s="753">
        <f t="shared" si="194"/>
        <v>4413.8842704243643</v>
      </c>
      <c r="AB96" s="753">
        <f t="shared" si="194"/>
        <v>4012.7218812512369</v>
      </c>
      <c r="AC96" s="753">
        <f t="shared" si="194"/>
        <v>4188.9202658235381</v>
      </c>
      <c r="AD96" s="753">
        <f t="shared" si="194"/>
        <v>4343.1557345764377</v>
      </c>
      <c r="AE96" s="753">
        <f t="shared" si="194"/>
        <v>4473.2128886259288</v>
      </c>
      <c r="AF96" s="753">
        <f t="shared" si="194"/>
        <v>4575.1673605143969</v>
      </c>
      <c r="AG96" s="753">
        <f t="shared" si="194"/>
        <v>4646.7833654952192</v>
      </c>
      <c r="AH96" s="753">
        <f t="shared" si="194"/>
        <v>4685.8924827957226</v>
      </c>
      <c r="AI96" s="753">
        <f t="shared" si="194"/>
        <v>4690.4533085087141</v>
      </c>
    </row>
    <row r="97" spans="1:41">
      <c r="B97" s="464" t="s">
        <v>500</v>
      </c>
      <c r="I97" s="464"/>
      <c r="J97" s="672"/>
      <c r="S97" s="755">
        <f>+H94</f>
        <v>0.43986566783063463</v>
      </c>
    </row>
    <row r="98" spans="1:41" s="752" customFormat="1">
      <c r="A98"/>
      <c r="B98" s="636" t="s">
        <v>501</v>
      </c>
      <c r="C98" s="636"/>
      <c r="D98" s="636"/>
      <c r="E98" s="636"/>
      <c r="F98" s="636"/>
      <c r="G98" s="636"/>
      <c r="H98" s="636"/>
      <c r="I98" s="636"/>
      <c r="J98" s="753"/>
      <c r="K98" s="753"/>
      <c r="L98" s="753"/>
      <c r="M98" s="753"/>
      <c r="N98" s="753"/>
      <c r="O98" s="753"/>
      <c r="P98" s="753"/>
      <c r="Q98" s="753">
        <f>+Q95*0.1</f>
        <v>428.05874263849091</v>
      </c>
      <c r="R98" s="753">
        <f>+R95*0.15</f>
        <v>834.79366764199528</v>
      </c>
      <c r="S98" s="753">
        <f>+S95*0.2</f>
        <v>1389.7721832292921</v>
      </c>
      <c r="T98" s="753">
        <f>+T95*0.25</f>
        <v>2122.6021957730718</v>
      </c>
      <c r="U98" s="753">
        <f>+U95*0.3</f>
        <v>3037.6813642230891</v>
      </c>
      <c r="V98" s="753">
        <f>+V95*$V$99</f>
        <v>3587.0104993066293</v>
      </c>
      <c r="W98" s="753">
        <f>+W95*$V$99</f>
        <v>3792.126099473986</v>
      </c>
      <c r="X98" s="753">
        <f>+X95*$V$99</f>
        <v>4011.1523867158021</v>
      </c>
      <c r="Y98" s="753">
        <f t="shared" ref="Y98:AI98" si="195">+Y95*$V$99</f>
        <v>3830.9833925591952</v>
      </c>
      <c r="Z98" s="753">
        <f t="shared" si="195"/>
        <v>3609.5836547847903</v>
      </c>
      <c r="AA98" s="753">
        <f t="shared" si="195"/>
        <v>3356.4699974883551</v>
      </c>
      <c r="AB98" s="753">
        <f t="shared" si="195"/>
        <v>3051.4122658204396</v>
      </c>
      <c r="AC98" s="753">
        <f t="shared" si="195"/>
        <v>3185.399601053854</v>
      </c>
      <c r="AD98" s="753">
        <f t="shared" si="195"/>
        <v>3302.6855767842253</v>
      </c>
      <c r="AE98" s="753">
        <f t="shared" si="195"/>
        <v>3401.5855272090403</v>
      </c>
      <c r="AF98" s="753">
        <f t="shared" si="195"/>
        <v>3479.1152278168252</v>
      </c>
      <c r="AG98" s="753">
        <f t="shared" si="195"/>
        <v>3533.5745106912709</v>
      </c>
      <c r="AH98" s="753">
        <f t="shared" si="195"/>
        <v>3563.314433807735</v>
      </c>
      <c r="AI98" s="753">
        <f t="shared" si="195"/>
        <v>3566.782643151601</v>
      </c>
    </row>
    <row r="99" spans="1:41">
      <c r="B99" s="636"/>
      <c r="I99" s="464"/>
      <c r="J99" s="672"/>
      <c r="V99" s="754">
        <f>+E94</f>
        <v>0.3344890410678481</v>
      </c>
    </row>
    <row r="100" spans="1:41">
      <c r="I100" s="464"/>
    </row>
    <row r="101" spans="1:41">
      <c r="B101" s="636"/>
      <c r="C101" s="658"/>
      <c r="D101" s="658"/>
      <c r="E101" s="658"/>
      <c r="F101" s="658"/>
      <c r="G101" s="658"/>
      <c r="H101" s="659"/>
      <c r="I101" s="640"/>
      <c r="J101" s="640"/>
      <c r="K101" s="640"/>
      <c r="L101" s="640"/>
      <c r="M101" s="645"/>
      <c r="N101" s="640"/>
      <c r="O101" s="640"/>
      <c r="P101" s="640"/>
      <c r="Q101" s="640"/>
      <c r="R101" s="645"/>
      <c r="S101" s="640"/>
      <c r="T101" s="640"/>
      <c r="U101" s="640"/>
      <c r="V101" s="640"/>
      <c r="W101" s="645"/>
      <c r="X101" s="640"/>
      <c r="Y101" s="640"/>
      <c r="Z101" s="640"/>
      <c r="AA101" s="640"/>
      <c r="AB101" s="645"/>
      <c r="AC101" s="640"/>
      <c r="AD101" s="640"/>
      <c r="AE101" s="640"/>
      <c r="AF101" s="640"/>
      <c r="AG101" s="645"/>
      <c r="AH101" s="645"/>
    </row>
    <row r="102" spans="1:41" ht="42.95" thickBot="1">
      <c r="B102" s="674" t="s">
        <v>40</v>
      </c>
      <c r="C102" s="667" t="s">
        <v>162</v>
      </c>
      <c r="D102" s="682" t="s">
        <v>502</v>
      </c>
      <c r="E102" s="682" t="s">
        <v>503</v>
      </c>
      <c r="F102" s="658"/>
      <c r="G102" s="11"/>
      <c r="L102" s="640"/>
      <c r="M102" s="645"/>
      <c r="N102" s="640"/>
      <c r="O102" s="640"/>
      <c r="P102" s="640"/>
      <c r="Q102" s="640"/>
      <c r="R102" s="645"/>
      <c r="S102" s="640"/>
      <c r="T102" s="640"/>
      <c r="U102" s="640"/>
      <c r="V102" s="640"/>
      <c r="W102" s="645"/>
      <c r="X102" s="640"/>
      <c r="Y102" s="640"/>
      <c r="Z102" s="640"/>
      <c r="AA102" s="640"/>
      <c r="AB102" s="645"/>
      <c r="AC102" s="640"/>
      <c r="AD102" s="640"/>
      <c r="AE102" s="640"/>
      <c r="AF102" s="640"/>
      <c r="AG102" s="645"/>
      <c r="AH102" s="645"/>
    </row>
    <row r="103" spans="1:41">
      <c r="B103" s="666" t="s">
        <v>164</v>
      </c>
      <c r="C103" s="675">
        <f>+Segments!B5</f>
        <v>0.609375</v>
      </c>
      <c r="D103" s="673"/>
      <c r="E103" s="673"/>
      <c r="F103" s="658"/>
      <c r="G103" s="11"/>
      <c r="H103" s="11"/>
      <c r="I103" s="118"/>
      <c r="J103" s="118"/>
      <c r="K103" s="694"/>
      <c r="L103" s="712">
        <v>2019</v>
      </c>
      <c r="M103" s="712">
        <v>2020</v>
      </c>
      <c r="N103" s="713">
        <f>M103+1</f>
        <v>2021</v>
      </c>
      <c r="O103" s="713">
        <f t="shared" ref="O103:AO103" si="196">N103+1</f>
        <v>2022</v>
      </c>
      <c r="P103" s="713">
        <f t="shared" si="196"/>
        <v>2023</v>
      </c>
      <c r="Q103" s="713">
        <f t="shared" si="196"/>
        <v>2024</v>
      </c>
      <c r="R103" s="713">
        <f t="shared" si="196"/>
        <v>2025</v>
      </c>
      <c r="S103" s="713">
        <f t="shared" si="196"/>
        <v>2026</v>
      </c>
      <c r="T103" s="713">
        <f t="shared" si="196"/>
        <v>2027</v>
      </c>
      <c r="U103" s="713">
        <f t="shared" si="196"/>
        <v>2028</v>
      </c>
      <c r="V103" s="713">
        <f t="shared" si="196"/>
        <v>2029</v>
      </c>
      <c r="W103" s="713">
        <f t="shared" si="196"/>
        <v>2030</v>
      </c>
      <c r="X103" s="713">
        <f t="shared" si="196"/>
        <v>2031</v>
      </c>
      <c r="Y103" s="713">
        <f t="shared" si="196"/>
        <v>2032</v>
      </c>
      <c r="Z103" s="713">
        <f t="shared" si="196"/>
        <v>2033</v>
      </c>
      <c r="AA103" s="713">
        <f t="shared" si="196"/>
        <v>2034</v>
      </c>
      <c r="AB103" s="713">
        <f t="shared" si="196"/>
        <v>2035</v>
      </c>
      <c r="AC103" s="713">
        <f t="shared" si="196"/>
        <v>2036</v>
      </c>
      <c r="AD103" s="713">
        <f t="shared" si="196"/>
        <v>2037</v>
      </c>
      <c r="AE103" s="713">
        <f t="shared" si="196"/>
        <v>2038</v>
      </c>
      <c r="AF103" s="713">
        <f t="shared" si="196"/>
        <v>2039</v>
      </c>
      <c r="AG103" s="713">
        <f t="shared" si="196"/>
        <v>2040</v>
      </c>
      <c r="AH103" s="713">
        <f t="shared" si="196"/>
        <v>2041</v>
      </c>
      <c r="AI103" s="713">
        <f t="shared" si="196"/>
        <v>2042</v>
      </c>
      <c r="AJ103" s="713">
        <f t="shared" si="196"/>
        <v>2043</v>
      </c>
      <c r="AK103" s="713">
        <f t="shared" si="196"/>
        <v>2044</v>
      </c>
      <c r="AL103" s="713">
        <f t="shared" si="196"/>
        <v>2045</v>
      </c>
      <c r="AM103" s="713">
        <f t="shared" si="196"/>
        <v>2046</v>
      </c>
      <c r="AN103" s="713">
        <f t="shared" si="196"/>
        <v>2047</v>
      </c>
      <c r="AO103" s="714">
        <f t="shared" si="196"/>
        <v>2048</v>
      </c>
    </row>
    <row r="104" spans="1:41">
      <c r="B104" s="666" t="s">
        <v>165</v>
      </c>
      <c r="C104" s="675">
        <f>+Segments!B6</f>
        <v>0.21875</v>
      </c>
      <c r="D104" s="673"/>
      <c r="E104" s="673"/>
      <c r="F104" s="658"/>
      <c r="G104" s="464"/>
      <c r="H104" s="184"/>
      <c r="I104" s="118"/>
      <c r="J104" s="118"/>
      <c r="K104" s="697" t="s">
        <v>504</v>
      </c>
      <c r="L104" s="715">
        <f t="shared" ref="L104:AO104" si="197">+E9</f>
        <v>13000</v>
      </c>
      <c r="M104" s="715">
        <f t="shared" si="197"/>
        <v>11139</v>
      </c>
      <c r="N104" s="715">
        <f t="shared" si="197"/>
        <v>17455</v>
      </c>
      <c r="O104" s="715">
        <f t="shared" si="197"/>
        <v>31877</v>
      </c>
      <c r="P104" s="715">
        <f t="shared" si="197"/>
        <v>39846.25</v>
      </c>
      <c r="Q104" s="715">
        <f t="shared" si="197"/>
        <v>47815.5</v>
      </c>
      <c r="R104" s="715">
        <f t="shared" si="197"/>
        <v>54987.824999999997</v>
      </c>
      <c r="S104" s="715">
        <f t="shared" si="197"/>
        <v>63235.998749999992</v>
      </c>
      <c r="T104" s="715">
        <f t="shared" si="197"/>
        <v>69559.598624999999</v>
      </c>
      <c r="U104" s="715">
        <f t="shared" si="197"/>
        <v>75819.962501250004</v>
      </c>
      <c r="V104" s="715">
        <f t="shared" si="197"/>
        <v>82643.759126362507</v>
      </c>
      <c r="W104" s="715">
        <f t="shared" si="197"/>
        <v>89255.259856471515</v>
      </c>
      <c r="X104" s="715">
        <f t="shared" si="197"/>
        <v>96395.680644989247</v>
      </c>
      <c r="Y104" s="715">
        <f t="shared" si="197"/>
        <v>103143.3782901385</v>
      </c>
      <c r="Z104" s="715">
        <f t="shared" si="197"/>
        <v>110363.4147704482</v>
      </c>
      <c r="AA104" s="715">
        <f t="shared" si="197"/>
        <v>116985.21965667509</v>
      </c>
      <c r="AB104" s="715">
        <f t="shared" si="197"/>
        <v>122834.48063950885</v>
      </c>
      <c r="AC104" s="715">
        <f t="shared" si="197"/>
        <v>128976.2046714843</v>
      </c>
      <c r="AD104" s="715">
        <f t="shared" si="197"/>
        <v>135425.01490505852</v>
      </c>
      <c r="AE104" s="715">
        <f t="shared" si="197"/>
        <v>142196.26565031146</v>
      </c>
      <c r="AF104" s="715">
        <f t="shared" si="197"/>
        <v>149306.07893282705</v>
      </c>
      <c r="AG104" s="715">
        <f t="shared" si="197"/>
        <v>156771.38287946841</v>
      </c>
      <c r="AH104" s="715">
        <f t="shared" si="197"/>
        <v>163826.09510904449</v>
      </c>
      <c r="AI104" s="715">
        <f t="shared" si="197"/>
        <v>170379.13891340626</v>
      </c>
      <c r="AJ104" s="715">
        <f t="shared" si="197"/>
        <v>176342.40877537546</v>
      </c>
      <c r="AK104" s="715">
        <f t="shared" si="197"/>
        <v>181632.68103863671</v>
      </c>
      <c r="AL104" s="715">
        <f t="shared" si="197"/>
        <v>186173.49806460261</v>
      </c>
      <c r="AM104" s="715">
        <f t="shared" si="197"/>
        <v>189896.96802589466</v>
      </c>
      <c r="AN104" s="715">
        <f t="shared" si="197"/>
        <v>192745.42254628305</v>
      </c>
      <c r="AO104" s="716">
        <f t="shared" si="197"/>
        <v>194672.87677174588</v>
      </c>
    </row>
    <row r="105" spans="1:41">
      <c r="B105" s="666" t="s">
        <v>505</v>
      </c>
      <c r="C105" s="675">
        <f>+Segments!B7</f>
        <v>0.109375</v>
      </c>
      <c r="D105" s="668"/>
      <c r="E105" s="669"/>
      <c r="F105" s="658"/>
      <c r="G105" s="464"/>
      <c r="H105" s="184"/>
      <c r="I105" s="118"/>
      <c r="J105" s="118"/>
      <c r="K105" s="697" t="s">
        <v>264</v>
      </c>
      <c r="L105" s="118">
        <v>6061</v>
      </c>
      <c r="M105" s="715">
        <v>5154</v>
      </c>
      <c r="N105" s="715">
        <v>9351</v>
      </c>
      <c r="O105" s="715">
        <v>19659</v>
      </c>
      <c r="P105" s="693">
        <f>+P121</f>
        <v>24175.287499999999</v>
      </c>
      <c r="Q105" s="693">
        <f>+Q121</f>
        <v>28532.19</v>
      </c>
      <c r="R105" s="693">
        <f>+R121</f>
        <v>32262.140249999997</v>
      </c>
      <c r="S105" s="693">
        <f t="shared" ref="S105:AO105" si="198">+S121</f>
        <v>36469.101299999995</v>
      </c>
      <c r="T105" s="693">
        <f t="shared" si="198"/>
        <v>39420.415443749996</v>
      </c>
      <c r="U105" s="693">
        <f t="shared" si="198"/>
        <v>42210.053208674995</v>
      </c>
      <c r="V105" s="693">
        <f t="shared" si="198"/>
        <v>45182.520406192125</v>
      </c>
      <c r="W105" s="693">
        <f t="shared" si="198"/>
        <v>47904.569440122781</v>
      </c>
      <c r="X105" s="693">
        <f t="shared" si="198"/>
        <v>50772.978188882713</v>
      </c>
      <c r="Y105" s="693">
        <f t="shared" si="198"/>
        <v>53295.652879203124</v>
      </c>
      <c r="Z105" s="693">
        <f t="shared" si="198"/>
        <v>55922.714433042864</v>
      </c>
      <c r="AA105" s="693">
        <f t="shared" si="198"/>
        <v>58108.22510245868</v>
      </c>
      <c r="AB105" s="693">
        <f t="shared" si="198"/>
        <v>59785.291551186529</v>
      </c>
      <c r="AC105" s="693">
        <f t="shared" si="198"/>
        <v>61484.79408203101</v>
      </c>
      <c r="AD105" s="693">
        <f t="shared" si="198"/>
        <v>63204.783637081979</v>
      </c>
      <c r="AE105" s="693">
        <f t="shared" si="198"/>
        <v>64943.060162432965</v>
      </c>
      <c r="AF105" s="693">
        <f t="shared" si="198"/>
        <v>66697.152381226348</v>
      </c>
      <c r="AG105" s="693">
        <f t="shared" si="198"/>
        <v>68464.296171492984</v>
      </c>
      <c r="AH105" s="693">
        <f t="shared" si="198"/>
        <v>69906.928548119729</v>
      </c>
      <c r="AI105" s="693">
        <f t="shared" si="198"/>
        <v>70999.414300910445</v>
      </c>
      <c r="AJ105" s="693">
        <f t="shared" si="198"/>
        <v>71720.969713688552</v>
      </c>
      <c r="AK105" s="693">
        <f t="shared" si="198"/>
        <v>72056.271994712835</v>
      </c>
      <c r="AL105" s="693">
        <f t="shared" si="198"/>
        <v>71995.943813934617</v>
      </c>
      <c r="AM105" s="693">
        <f t="shared" si="198"/>
        <v>71536.893009954365</v>
      </c>
      <c r="AN105" s="693">
        <f t="shared" si="198"/>
        <v>70682.492179640831</v>
      </c>
      <c r="AO105" s="698">
        <f t="shared" si="198"/>
        <v>69442.588333719788</v>
      </c>
    </row>
    <row r="106" spans="1:41">
      <c r="B106" s="666" t="s">
        <v>167</v>
      </c>
      <c r="C106" s="675">
        <f>+Segments!B8</f>
        <v>6.25E-2</v>
      </c>
      <c r="D106" s="669"/>
      <c r="E106" s="669"/>
      <c r="F106" s="658"/>
      <c r="G106" s="464"/>
      <c r="H106" s="184"/>
      <c r="I106" s="118"/>
      <c r="J106" s="118"/>
      <c r="K106" s="697" t="s">
        <v>506</v>
      </c>
      <c r="L106" s="118">
        <v>1214</v>
      </c>
      <c r="M106" s="118">
        <v>1073</v>
      </c>
      <c r="N106" s="118">
        <v>2439</v>
      </c>
      <c r="O106" s="118">
        <v>2779</v>
      </c>
      <c r="P106" s="118"/>
      <c r="Q106" s="118"/>
      <c r="R106" s="118"/>
      <c r="S106" s="705"/>
      <c r="T106" s="705"/>
      <c r="U106" s="705"/>
      <c r="V106" s="705"/>
      <c r="W106" s="717"/>
      <c r="X106" s="705"/>
      <c r="Y106" s="705"/>
      <c r="Z106" s="705"/>
      <c r="AA106" s="705"/>
      <c r="AB106" s="717"/>
      <c r="AC106" s="705"/>
      <c r="AD106" s="705"/>
      <c r="AE106" s="705"/>
      <c r="AF106" s="705"/>
      <c r="AG106" s="717"/>
      <c r="AH106" s="717"/>
      <c r="AI106" s="118"/>
      <c r="AJ106" s="118"/>
      <c r="AK106" s="118"/>
      <c r="AL106" s="118"/>
      <c r="AM106" s="118"/>
      <c r="AN106" s="118"/>
      <c r="AO106" s="718"/>
    </row>
    <row r="107" spans="1:41">
      <c r="B107" s="670" t="s">
        <v>426</v>
      </c>
      <c r="C107" s="671">
        <v>1</v>
      </c>
      <c r="D107" s="672">
        <f>D105*$C$105+D106*$C$106</f>
        <v>0</v>
      </c>
      <c r="E107" s="672">
        <f>E105*$C$105+E106*$C$106</f>
        <v>0</v>
      </c>
      <c r="F107" s="658"/>
      <c r="G107" s="464"/>
      <c r="H107" s="184"/>
      <c r="I107" s="118"/>
      <c r="J107" s="118"/>
      <c r="K107" s="697" t="s">
        <v>507</v>
      </c>
      <c r="L107" s="118">
        <v>272</v>
      </c>
      <c r="M107" s="118">
        <v>235</v>
      </c>
      <c r="N107" s="118">
        <v>860</v>
      </c>
      <c r="O107" s="118">
        <v>728</v>
      </c>
      <c r="P107" s="118"/>
      <c r="Q107" s="118"/>
      <c r="R107" s="118"/>
      <c r="S107" s="705"/>
      <c r="T107" s="705"/>
      <c r="U107" s="705"/>
      <c r="V107" s="705"/>
      <c r="W107" s="717"/>
      <c r="X107" s="705"/>
      <c r="Y107" s="705"/>
      <c r="Z107" s="705"/>
      <c r="AA107" s="705"/>
      <c r="AB107" s="717"/>
      <c r="AC107" s="705"/>
      <c r="AD107" s="705"/>
      <c r="AE107" s="705"/>
      <c r="AF107" s="705"/>
      <c r="AG107" s="717"/>
      <c r="AH107" s="717"/>
      <c r="AI107" s="118"/>
      <c r="AJ107" s="118"/>
      <c r="AK107" s="118"/>
      <c r="AL107" s="118"/>
      <c r="AM107" s="118"/>
      <c r="AN107" s="118"/>
      <c r="AO107" s="718"/>
    </row>
    <row r="108" spans="1:41">
      <c r="B108" s="670"/>
      <c r="C108" s="671"/>
      <c r="D108" s="672"/>
      <c r="E108" s="672"/>
      <c r="F108" s="658"/>
      <c r="G108" s="464"/>
      <c r="H108" s="184"/>
      <c r="I108" s="118"/>
      <c r="J108" s="118"/>
      <c r="K108" s="697"/>
      <c r="L108" s="118"/>
      <c r="M108" s="118"/>
      <c r="N108" s="118"/>
      <c r="O108" s="118"/>
      <c r="P108" s="118"/>
      <c r="Q108" s="118"/>
      <c r="R108" s="118"/>
      <c r="S108" s="705"/>
      <c r="T108" s="705"/>
      <c r="U108" s="705"/>
      <c r="V108" s="705"/>
      <c r="W108" s="717"/>
      <c r="X108" s="705"/>
      <c r="Y108" s="705"/>
      <c r="Z108" s="705"/>
      <c r="AA108" s="705"/>
      <c r="AB108" s="717"/>
      <c r="AC108" s="705"/>
      <c r="AD108" s="705"/>
      <c r="AE108" s="705"/>
      <c r="AF108" s="705"/>
      <c r="AG108" s="717"/>
      <c r="AH108" s="717"/>
      <c r="AI108" s="118"/>
      <c r="AJ108" s="118"/>
      <c r="AK108" s="118"/>
      <c r="AL108" s="118"/>
      <c r="AM108" s="118"/>
      <c r="AN108" s="118"/>
      <c r="AO108" s="718"/>
    </row>
    <row r="109" spans="1:41">
      <c r="F109" s="658"/>
      <c r="H109" s="184"/>
      <c r="I109" s="118"/>
      <c r="J109" s="118"/>
      <c r="K109" s="719" t="s">
        <v>508</v>
      </c>
      <c r="L109" s="118"/>
      <c r="M109" s="720">
        <f>+ROUNDUP((((L106+M106)/2)/M$104)*365,0)</f>
        <v>38</v>
      </c>
      <c r="N109" s="720">
        <f t="shared" ref="N109" si="199">+ROUNDUP((((M106+N106)/2)/N$104)*365,0)</f>
        <v>37</v>
      </c>
      <c r="O109" s="720">
        <f>+ROUNDUP((((N106+O106)/2)/O$104)*365,0)</f>
        <v>30</v>
      </c>
      <c r="P109" s="1127">
        <f>+AVERAGE(M109:O109)</f>
        <v>35</v>
      </c>
      <c r="Q109" s="1127"/>
      <c r="R109" s="1127"/>
      <c r="S109" s="705"/>
      <c r="T109" s="705"/>
      <c r="U109" s="705"/>
      <c r="V109" s="705"/>
      <c r="W109" s="717"/>
      <c r="X109" s="705"/>
      <c r="Y109" s="705"/>
      <c r="Z109" s="705"/>
      <c r="AA109" s="705"/>
      <c r="AB109" s="717"/>
      <c r="AC109" s="705"/>
      <c r="AD109" s="705"/>
      <c r="AE109" s="705"/>
      <c r="AF109" s="705"/>
      <c r="AG109" s="717"/>
      <c r="AH109" s="717"/>
      <c r="AI109" s="118"/>
      <c r="AJ109" s="118"/>
      <c r="AK109" s="118"/>
      <c r="AL109" s="118"/>
      <c r="AM109" s="118"/>
      <c r="AN109" s="118"/>
      <c r="AO109" s="718"/>
    </row>
    <row r="110" spans="1:41">
      <c r="B110" s="670" t="s">
        <v>424</v>
      </c>
      <c r="C110" s="672">
        <f>C112+C111*(C113-C112)</f>
        <v>4.446E-2</v>
      </c>
      <c r="F110" s="658"/>
      <c r="I110" s="118"/>
      <c r="J110" s="118"/>
      <c r="K110" s="719" t="s">
        <v>509</v>
      </c>
      <c r="L110" s="118"/>
      <c r="M110" s="720">
        <f>+ROUNDUP((((L107+M107)/2)/M$105)*365,0)</f>
        <v>18</v>
      </c>
      <c r="N110" s="720">
        <f t="shared" ref="N110" si="200">+ROUNDUP((((M107+N107)/2)/N$105)*365,0)</f>
        <v>22</v>
      </c>
      <c r="O110" s="720">
        <f>+ROUNDUP((((N107+O107)/2)/O$105)*365,0)</f>
        <v>15</v>
      </c>
      <c r="P110" s="1127">
        <f>+AVERAGE(M110:O110)</f>
        <v>18.333333333333332</v>
      </c>
      <c r="Q110" s="1127"/>
      <c r="R110" s="1127"/>
      <c r="S110" s="705"/>
      <c r="T110" s="705"/>
      <c r="U110" s="705"/>
      <c r="V110" s="705"/>
      <c r="W110" s="717"/>
      <c r="X110" s="705"/>
      <c r="Y110" s="705"/>
      <c r="Z110" s="705"/>
      <c r="AA110" s="705"/>
      <c r="AB110" s="717"/>
      <c r="AC110" s="705"/>
      <c r="AD110" s="705"/>
      <c r="AE110" s="705"/>
      <c r="AF110" s="705"/>
      <c r="AG110" s="717"/>
      <c r="AH110" s="717"/>
      <c r="AI110" s="118"/>
      <c r="AJ110" s="118"/>
      <c r="AK110" s="118"/>
      <c r="AL110" s="118"/>
      <c r="AM110" s="118"/>
      <c r="AN110" s="118"/>
      <c r="AO110" s="718"/>
    </row>
    <row r="111" spans="1:41">
      <c r="B111" s="666" t="s">
        <v>510</v>
      </c>
      <c r="C111">
        <v>1.23</v>
      </c>
      <c r="F111" s="658"/>
      <c r="G111" s="658"/>
      <c r="H111" s="659"/>
      <c r="I111" s="118"/>
      <c r="J111" s="118"/>
      <c r="K111" s="697"/>
      <c r="L111" s="118"/>
      <c r="M111" s="118"/>
      <c r="N111" s="118"/>
      <c r="O111" s="118"/>
      <c r="P111" s="118"/>
      <c r="Q111" s="118"/>
      <c r="R111" s="118"/>
      <c r="S111" s="705"/>
      <c r="T111" s="705"/>
      <c r="U111" s="705"/>
      <c r="V111" s="705"/>
      <c r="W111" s="717"/>
      <c r="X111" s="705"/>
      <c r="Y111" s="705"/>
      <c r="Z111" s="705"/>
      <c r="AA111" s="705"/>
      <c r="AB111" s="717"/>
      <c r="AC111" s="705"/>
      <c r="AD111" s="705"/>
      <c r="AE111" s="705"/>
      <c r="AF111" s="705"/>
      <c r="AG111" s="717"/>
      <c r="AH111" s="717"/>
      <c r="AI111" s="118"/>
      <c r="AJ111" s="118"/>
      <c r="AK111" s="118"/>
      <c r="AL111" s="118"/>
      <c r="AM111" s="118"/>
      <c r="AN111" s="118"/>
      <c r="AO111" s="718"/>
    </row>
    <row r="112" spans="1:41">
      <c r="B112" s="666" t="s">
        <v>511</v>
      </c>
      <c r="C112" s="331">
        <v>4.2000000000000003E-2</v>
      </c>
      <c r="F112" s="21"/>
      <c r="G112" s="21"/>
      <c r="H112" s="21"/>
      <c r="I112" s="704" t="s">
        <v>512</v>
      </c>
      <c r="J112" s="704"/>
      <c r="K112" s="721" t="s">
        <v>513</v>
      </c>
      <c r="L112" s="715"/>
      <c r="M112" s="693">
        <f>+M106</f>
        <v>1073</v>
      </c>
      <c r="N112" s="693">
        <f>+N106</f>
        <v>2439</v>
      </c>
      <c r="O112" s="693">
        <f>+O106</f>
        <v>2779</v>
      </c>
      <c r="P112" s="693">
        <f>+($P109*P104)/365</f>
        <v>3820.8732876712329</v>
      </c>
      <c r="Q112" s="693">
        <f t="shared" ref="Q112:AO112" si="201">+($P109*Q104)/365</f>
        <v>4585.0479452054797</v>
      </c>
      <c r="R112" s="693">
        <f t="shared" si="201"/>
        <v>5272.8051369863015</v>
      </c>
      <c r="S112" s="693">
        <f t="shared" si="201"/>
        <v>6063.7259075342463</v>
      </c>
      <c r="T112" s="693">
        <f t="shared" si="201"/>
        <v>6670.0984982876707</v>
      </c>
      <c r="U112" s="693">
        <f t="shared" si="201"/>
        <v>7270.4073631335623</v>
      </c>
      <c r="V112" s="693">
        <f t="shared" si="201"/>
        <v>7924.744025815583</v>
      </c>
      <c r="W112" s="693">
        <f t="shared" si="201"/>
        <v>8558.7235478808307</v>
      </c>
      <c r="X112" s="693">
        <f t="shared" si="201"/>
        <v>9243.4214317112983</v>
      </c>
      <c r="Y112" s="693">
        <f t="shared" si="201"/>
        <v>9890.4609319310894</v>
      </c>
      <c r="Z112" s="693">
        <f t="shared" si="201"/>
        <v>10582.793197166266</v>
      </c>
      <c r="AA112" s="693">
        <f t="shared" si="201"/>
        <v>11217.760788996242</v>
      </c>
      <c r="AB112" s="693">
        <f t="shared" si="201"/>
        <v>11778.648828446054</v>
      </c>
      <c r="AC112" s="693">
        <f t="shared" si="201"/>
        <v>12367.581269868359</v>
      </c>
      <c r="AD112" s="693">
        <f t="shared" si="201"/>
        <v>12985.960333361776</v>
      </c>
      <c r="AE112" s="693">
        <f t="shared" si="201"/>
        <v>13635.258350029866</v>
      </c>
      <c r="AF112" s="693">
        <f t="shared" si="201"/>
        <v>14317.021267531361</v>
      </c>
      <c r="AG112" s="693">
        <f t="shared" si="201"/>
        <v>15032.872330907929</v>
      </c>
      <c r="AH112" s="693">
        <f t="shared" si="201"/>
        <v>15709.351585798788</v>
      </c>
      <c r="AI112" s="693">
        <f t="shared" si="201"/>
        <v>16337.725649230739</v>
      </c>
      <c r="AJ112" s="693">
        <f t="shared" si="201"/>
        <v>16909.546046953812</v>
      </c>
      <c r="AK112" s="693">
        <f t="shared" si="201"/>
        <v>17416.832428362424</v>
      </c>
      <c r="AL112" s="693">
        <f t="shared" si="201"/>
        <v>17852.253239071484</v>
      </c>
      <c r="AM112" s="693">
        <f t="shared" si="201"/>
        <v>18209.298303852913</v>
      </c>
      <c r="AN112" s="693">
        <f t="shared" si="201"/>
        <v>18482.437778410702</v>
      </c>
      <c r="AO112" s="698">
        <f t="shared" si="201"/>
        <v>18667.262156194811</v>
      </c>
    </row>
    <row r="113" spans="2:41">
      <c r="B113" s="666" t="s">
        <v>514</v>
      </c>
      <c r="C113" s="351">
        <v>4.3999999999999997E-2</v>
      </c>
      <c r="F113" s="21"/>
      <c r="G113" s="21"/>
      <c r="H113" s="21"/>
      <c r="I113" s="704" t="s">
        <v>515</v>
      </c>
      <c r="J113" s="704"/>
      <c r="K113" s="697" t="s">
        <v>516</v>
      </c>
      <c r="L113" s="715"/>
      <c r="M113" s="118">
        <f>+M107</f>
        <v>235</v>
      </c>
      <c r="N113" s="118">
        <f t="shared" ref="N113" si="202">+N107</f>
        <v>860</v>
      </c>
      <c r="O113" s="118">
        <f>+O107</f>
        <v>728</v>
      </c>
      <c r="P113" s="693">
        <f t="shared" ref="P113:AO113" si="203">+($P110*P105)/365</f>
        <v>1214.2838470319634</v>
      </c>
      <c r="Q113" s="693">
        <f t="shared" si="203"/>
        <v>1433.1236986301369</v>
      </c>
      <c r="R113" s="693">
        <f t="shared" si="203"/>
        <v>1620.4727979452052</v>
      </c>
      <c r="S113" s="693">
        <f t="shared" si="203"/>
        <v>1831.7813438356161</v>
      </c>
      <c r="T113" s="693">
        <f t="shared" si="203"/>
        <v>1980.020867037671</v>
      </c>
      <c r="U113" s="693">
        <f t="shared" si="203"/>
        <v>2120.139658883219</v>
      </c>
      <c r="V113" s="693">
        <f t="shared" si="203"/>
        <v>2269.4416642379606</v>
      </c>
      <c r="W113" s="693">
        <f t="shared" si="203"/>
        <v>2406.1655883166695</v>
      </c>
      <c r="X113" s="693">
        <f t="shared" si="203"/>
        <v>2550.2409135968487</v>
      </c>
      <c r="Y113" s="693">
        <f t="shared" si="203"/>
        <v>2676.9506012385132</v>
      </c>
      <c r="Z113" s="693">
        <f t="shared" si="203"/>
        <v>2808.9034646733853</v>
      </c>
      <c r="AA113" s="693">
        <f t="shared" si="203"/>
        <v>2918.677973182856</v>
      </c>
      <c r="AB113" s="693">
        <f t="shared" si="203"/>
        <v>3002.9141875025198</v>
      </c>
      <c r="AC113" s="693">
        <f t="shared" si="203"/>
        <v>3088.2773283211923</v>
      </c>
      <c r="AD113" s="693">
        <f t="shared" si="203"/>
        <v>3174.669497752976</v>
      </c>
      <c r="AE113" s="693">
        <f t="shared" si="203"/>
        <v>3261.9801908071349</v>
      </c>
      <c r="AF113" s="693">
        <f t="shared" si="203"/>
        <v>3350.0852794223279</v>
      </c>
      <c r="AG113" s="693">
        <f t="shared" si="203"/>
        <v>3438.8459264220219</v>
      </c>
      <c r="AH113" s="693">
        <f t="shared" si="203"/>
        <v>3511.3069133758768</v>
      </c>
      <c r="AI113" s="693">
        <f t="shared" si="203"/>
        <v>3566.1806269863691</v>
      </c>
      <c r="AJ113" s="693">
        <f t="shared" si="203"/>
        <v>3602.4231363039912</v>
      </c>
      <c r="AK113" s="693">
        <f t="shared" si="203"/>
        <v>3619.2648033874025</v>
      </c>
      <c r="AL113" s="693">
        <f t="shared" si="203"/>
        <v>3616.234620791236</v>
      </c>
      <c r="AM113" s="693">
        <f t="shared" si="203"/>
        <v>3593.1772744725936</v>
      </c>
      <c r="AN113" s="693">
        <f t="shared" si="203"/>
        <v>3550.2621642741969</v>
      </c>
      <c r="AO113" s="698">
        <f t="shared" si="203"/>
        <v>3487.9838889082994</v>
      </c>
    </row>
    <row r="114" spans="2:41">
      <c r="B114" s="464"/>
      <c r="C114" s="351"/>
      <c r="F114" s="21"/>
      <c r="G114" s="21"/>
      <c r="H114" s="21"/>
      <c r="I114" s="118"/>
      <c r="J114" s="118"/>
      <c r="K114" s="697"/>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718"/>
    </row>
    <row r="115" spans="2:41">
      <c r="B115" s="1128" t="s">
        <v>517</v>
      </c>
      <c r="C115" s="1129"/>
      <c r="D115" s="1129"/>
      <c r="E115" s="1129"/>
      <c r="F115" s="1129"/>
      <c r="G115" s="21"/>
      <c r="H115" s="21"/>
      <c r="I115" s="118"/>
      <c r="J115" s="118"/>
      <c r="K115" s="721" t="s">
        <v>518</v>
      </c>
      <c r="L115" s="715"/>
      <c r="M115" s="715">
        <f>M112-M113</f>
        <v>838</v>
      </c>
      <c r="N115" s="715">
        <f t="shared" ref="N115:Q115" si="204">N112-N113</f>
        <v>1579</v>
      </c>
      <c r="O115" s="715">
        <f t="shared" si="204"/>
        <v>2051</v>
      </c>
      <c r="P115" s="715">
        <f t="shared" si="204"/>
        <v>2606.5894406392695</v>
      </c>
      <c r="Q115" s="715">
        <f t="shared" si="204"/>
        <v>3151.9242465753427</v>
      </c>
      <c r="R115" s="715">
        <f>R112-R113</f>
        <v>3652.332339041096</v>
      </c>
      <c r="S115" s="715">
        <f t="shared" ref="S115:AO115" si="205">S112-S113</f>
        <v>4231.9445636986302</v>
      </c>
      <c r="T115" s="715">
        <f t="shared" si="205"/>
        <v>4690.0776312500002</v>
      </c>
      <c r="U115" s="715">
        <f t="shared" si="205"/>
        <v>5150.2677042503437</v>
      </c>
      <c r="V115" s="715">
        <f t="shared" si="205"/>
        <v>5655.3023615776219</v>
      </c>
      <c r="W115" s="715">
        <f t="shared" si="205"/>
        <v>6152.5579595641611</v>
      </c>
      <c r="X115" s="715">
        <f t="shared" si="205"/>
        <v>6693.18051811445</v>
      </c>
      <c r="Y115" s="715">
        <f t="shared" si="205"/>
        <v>7213.5103306925757</v>
      </c>
      <c r="Z115" s="715">
        <f t="shared" si="205"/>
        <v>7773.8897324928803</v>
      </c>
      <c r="AA115" s="715">
        <f t="shared" si="205"/>
        <v>8299.0828158133863</v>
      </c>
      <c r="AB115" s="715">
        <f t="shared" si="205"/>
        <v>8775.734640943534</v>
      </c>
      <c r="AC115" s="715">
        <f t="shared" si="205"/>
        <v>9279.3039415471667</v>
      </c>
      <c r="AD115" s="715">
        <f t="shared" si="205"/>
        <v>9811.290835608801</v>
      </c>
      <c r="AE115" s="715">
        <f t="shared" si="205"/>
        <v>10373.278159222731</v>
      </c>
      <c r="AF115" s="715">
        <f t="shared" si="205"/>
        <v>10966.935988109033</v>
      </c>
      <c r="AG115" s="715">
        <f t="shared" si="205"/>
        <v>11594.026404485907</v>
      </c>
      <c r="AH115" s="715">
        <f t="shared" si="205"/>
        <v>12198.044672422911</v>
      </c>
      <c r="AI115" s="715">
        <f t="shared" si="205"/>
        <v>12771.545022244369</v>
      </c>
      <c r="AJ115" s="715">
        <f t="shared" si="205"/>
        <v>13307.122910649821</v>
      </c>
      <c r="AK115" s="715">
        <f t="shared" si="205"/>
        <v>13797.567624975021</v>
      </c>
      <c r="AL115" s="715">
        <f t="shared" si="205"/>
        <v>14236.018618280248</v>
      </c>
      <c r="AM115" s="715">
        <f t="shared" si="205"/>
        <v>14616.12102938032</v>
      </c>
      <c r="AN115" s="715">
        <f t="shared" si="205"/>
        <v>14932.175614136504</v>
      </c>
      <c r="AO115" s="716">
        <f t="shared" si="205"/>
        <v>15179.278267286511</v>
      </c>
    </row>
    <row r="116" spans="2:41">
      <c r="B116" s="676" t="s">
        <v>163</v>
      </c>
      <c r="C116" s="676" t="s">
        <v>162</v>
      </c>
      <c r="D116" s="676" t="s">
        <v>519</v>
      </c>
      <c r="E116" s="676" t="s">
        <v>520</v>
      </c>
      <c r="F116" s="677"/>
      <c r="G116" s="21"/>
      <c r="H116" s="21"/>
      <c r="I116" s="118"/>
      <c r="J116" s="118"/>
      <c r="K116" s="697"/>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718"/>
    </row>
    <row r="117" spans="2:41" ht="14.1" thickBot="1">
      <c r="B117" s="666" t="s">
        <v>164</v>
      </c>
      <c r="C117" s="678">
        <f>+C103</f>
        <v>0.609375</v>
      </c>
      <c r="D117" s="679"/>
      <c r="E117" s="679"/>
      <c r="F117" s="680">
        <f>C117*(D117-E117)</f>
        <v>0</v>
      </c>
      <c r="G117" s="21"/>
      <c r="H117" s="21"/>
      <c r="I117" s="118"/>
      <c r="J117" s="118"/>
      <c r="K117" s="699" t="s">
        <v>521</v>
      </c>
      <c r="L117" s="700"/>
      <c r="M117" s="722">
        <f>M115-L115</f>
        <v>838</v>
      </c>
      <c r="N117" s="722">
        <f>N115-M115</f>
        <v>741</v>
      </c>
      <c r="O117" s="722">
        <f t="shared" ref="O117" si="206">O115-N115</f>
        <v>472</v>
      </c>
      <c r="P117" s="722">
        <f>P115-O115</f>
        <v>555.58944063926947</v>
      </c>
      <c r="Q117" s="722">
        <f t="shared" ref="Q117:R117" si="207">Q115-P115</f>
        <v>545.33480593607328</v>
      </c>
      <c r="R117" s="722">
        <f t="shared" si="207"/>
        <v>500.40809246575327</v>
      </c>
      <c r="S117" s="722">
        <f t="shared" ref="S117" si="208">S115-R115</f>
        <v>579.61222465753417</v>
      </c>
      <c r="T117" s="722">
        <f t="shared" ref="T117" si="209">T115-S115</f>
        <v>458.13306755137</v>
      </c>
      <c r="U117" s="722">
        <f t="shared" ref="U117" si="210">U115-T115</f>
        <v>460.19007300034355</v>
      </c>
      <c r="V117" s="722">
        <f t="shared" ref="V117" si="211">V115-U115</f>
        <v>505.03465732727818</v>
      </c>
      <c r="W117" s="722">
        <f t="shared" ref="W117" si="212">W115-V115</f>
        <v>497.25559798653921</v>
      </c>
      <c r="X117" s="722">
        <f t="shared" ref="X117" si="213">X115-W115</f>
        <v>540.62255855028889</v>
      </c>
      <c r="Y117" s="722">
        <f t="shared" ref="Y117" si="214">Y115-X115</f>
        <v>520.32981257812571</v>
      </c>
      <c r="Z117" s="722">
        <f t="shared" ref="Z117" si="215">Z115-Y115</f>
        <v>560.37940180030455</v>
      </c>
      <c r="AA117" s="722">
        <f t="shared" ref="AA117" si="216">AA115-Z115</f>
        <v>525.19308332050605</v>
      </c>
      <c r="AB117" s="722">
        <f t="shared" ref="AB117" si="217">AB115-AA115</f>
        <v>476.6518251301477</v>
      </c>
      <c r="AC117" s="722">
        <f t="shared" ref="AC117" si="218">AC115-AB115</f>
        <v>503.56930060363266</v>
      </c>
      <c r="AD117" s="722">
        <f t="shared" ref="AD117" si="219">AD115-AC115</f>
        <v>531.9868940616343</v>
      </c>
      <c r="AE117" s="722">
        <f t="shared" ref="AE117" si="220">AE115-AD115</f>
        <v>561.98732361393013</v>
      </c>
      <c r="AF117" s="722">
        <f t="shared" ref="AF117" si="221">AF115-AE115</f>
        <v>593.65782888630201</v>
      </c>
      <c r="AG117" s="722">
        <f t="shared" ref="AG117" si="222">AG115-AF115</f>
        <v>627.09041637687369</v>
      </c>
      <c r="AH117" s="722">
        <f t="shared" ref="AH117" si="223">AH115-AG115</f>
        <v>604.01826793700457</v>
      </c>
      <c r="AI117" s="722">
        <f t="shared" ref="AI117" si="224">AI115-AH115</f>
        <v>573.50034982145735</v>
      </c>
      <c r="AJ117" s="722">
        <f t="shared" ref="AJ117" si="225">AJ115-AI115</f>
        <v>535.57788840545254</v>
      </c>
      <c r="AK117" s="722">
        <f t="shared" ref="AK117" si="226">AK115-AJ115</f>
        <v>490.44471432520004</v>
      </c>
      <c r="AL117" s="722">
        <f t="shared" ref="AL117" si="227">AL115-AK115</f>
        <v>438.4509933052268</v>
      </c>
      <c r="AM117" s="722">
        <f t="shared" ref="AM117" si="228">AM115-AL115</f>
        <v>380.10241110007155</v>
      </c>
      <c r="AN117" s="722">
        <f t="shared" ref="AN117" si="229">AN115-AM115</f>
        <v>316.05458475618434</v>
      </c>
      <c r="AO117" s="723">
        <f t="shared" ref="AO117" si="230">AO115-AN115</f>
        <v>247.10265315000652</v>
      </c>
    </row>
    <row r="118" spans="2:41">
      <c r="B118" s="666" t="s">
        <v>165</v>
      </c>
      <c r="C118" s="678">
        <f>+C104</f>
        <v>0.21875</v>
      </c>
      <c r="D118" s="679"/>
      <c r="E118" s="679"/>
      <c r="F118" s="680">
        <f t="shared" ref="F118" si="231">C118*(D118-E118)</f>
        <v>0</v>
      </c>
      <c r="G118" s="21"/>
      <c r="H118" s="21"/>
    </row>
    <row r="119" spans="2:41" ht="14.1" thickBot="1">
      <c r="B119" s="666" t="s">
        <v>505</v>
      </c>
      <c r="C119" s="678">
        <f>+C105</f>
        <v>0.109375</v>
      </c>
      <c r="D119" s="679"/>
      <c r="E119" s="679"/>
      <c r="F119" s="680">
        <f>C119*(D119-E119)</f>
        <v>0</v>
      </c>
      <c r="G119" s="21"/>
      <c r="H119" s="21"/>
    </row>
    <row r="120" spans="2:41">
      <c r="B120" s="666" t="s">
        <v>167</v>
      </c>
      <c r="C120" s="678">
        <f>+C106</f>
        <v>6.25E-2</v>
      </c>
      <c r="D120" s="679"/>
      <c r="E120" s="679"/>
      <c r="F120" s="680">
        <f t="shared" ref="F120" si="232">C120*(D120-E120)</f>
        <v>0</v>
      </c>
      <c r="K120" s="694" t="s">
        <v>504</v>
      </c>
      <c r="L120" s="695">
        <f t="shared" ref="L120:AO120" si="233">+E9</f>
        <v>13000</v>
      </c>
      <c r="M120" s="695">
        <f t="shared" si="233"/>
        <v>11139</v>
      </c>
      <c r="N120" s="695">
        <f t="shared" si="233"/>
        <v>17455</v>
      </c>
      <c r="O120" s="695">
        <f t="shared" si="233"/>
        <v>31877</v>
      </c>
      <c r="P120" s="695">
        <f t="shared" si="233"/>
        <v>39846.25</v>
      </c>
      <c r="Q120" s="695">
        <f t="shared" si="233"/>
        <v>47815.5</v>
      </c>
      <c r="R120" s="695">
        <f t="shared" si="233"/>
        <v>54987.824999999997</v>
      </c>
      <c r="S120" s="695">
        <f t="shared" si="233"/>
        <v>63235.998749999992</v>
      </c>
      <c r="T120" s="695">
        <f t="shared" si="233"/>
        <v>69559.598624999999</v>
      </c>
      <c r="U120" s="695">
        <f t="shared" si="233"/>
        <v>75819.962501250004</v>
      </c>
      <c r="V120" s="695">
        <f t="shared" si="233"/>
        <v>82643.759126362507</v>
      </c>
      <c r="W120" s="695">
        <f t="shared" si="233"/>
        <v>89255.259856471515</v>
      </c>
      <c r="X120" s="695">
        <f t="shared" si="233"/>
        <v>96395.680644989247</v>
      </c>
      <c r="Y120" s="695">
        <f t="shared" si="233"/>
        <v>103143.3782901385</v>
      </c>
      <c r="Z120" s="695">
        <f t="shared" si="233"/>
        <v>110363.4147704482</v>
      </c>
      <c r="AA120" s="695">
        <f t="shared" si="233"/>
        <v>116985.21965667509</v>
      </c>
      <c r="AB120" s="695">
        <f t="shared" si="233"/>
        <v>122834.48063950885</v>
      </c>
      <c r="AC120" s="695">
        <f t="shared" si="233"/>
        <v>128976.2046714843</v>
      </c>
      <c r="AD120" s="695">
        <f t="shared" si="233"/>
        <v>135425.01490505852</v>
      </c>
      <c r="AE120" s="695">
        <f t="shared" si="233"/>
        <v>142196.26565031146</v>
      </c>
      <c r="AF120" s="695">
        <f t="shared" si="233"/>
        <v>149306.07893282705</v>
      </c>
      <c r="AG120" s="695">
        <f t="shared" si="233"/>
        <v>156771.38287946841</v>
      </c>
      <c r="AH120" s="695">
        <f t="shared" si="233"/>
        <v>163826.09510904449</v>
      </c>
      <c r="AI120" s="695">
        <f t="shared" si="233"/>
        <v>170379.13891340626</v>
      </c>
      <c r="AJ120" s="695">
        <f t="shared" si="233"/>
        <v>176342.40877537546</v>
      </c>
      <c r="AK120" s="695">
        <f t="shared" si="233"/>
        <v>181632.68103863671</v>
      </c>
      <c r="AL120" s="695">
        <f t="shared" si="233"/>
        <v>186173.49806460261</v>
      </c>
      <c r="AM120" s="695">
        <f t="shared" si="233"/>
        <v>189896.96802589466</v>
      </c>
      <c r="AN120" s="695">
        <f t="shared" si="233"/>
        <v>192745.42254628305</v>
      </c>
      <c r="AO120" s="696">
        <f t="shared" si="233"/>
        <v>194672.87677174588</v>
      </c>
    </row>
    <row r="121" spans="2:41">
      <c r="B121" s="118"/>
      <c r="C121" s="118"/>
      <c r="D121" s="118"/>
      <c r="E121" s="118"/>
      <c r="F121" s="681">
        <f>SUM(F117:F120)</f>
        <v>0</v>
      </c>
      <c r="K121" s="697" t="s">
        <v>264</v>
      </c>
      <c r="L121" s="118">
        <f>+L105</f>
        <v>6061</v>
      </c>
      <c r="M121" s="715">
        <f>+M105</f>
        <v>5154</v>
      </c>
      <c r="N121" s="118">
        <f>+N105</f>
        <v>9351</v>
      </c>
      <c r="O121" s="118">
        <f>+O105</f>
        <v>19659</v>
      </c>
      <c r="P121" s="693">
        <f>+P120*(1-P122)</f>
        <v>24175.287499999999</v>
      </c>
      <c r="Q121" s="693">
        <f t="shared" ref="Q121" si="234">+Q120*(1-Q122)</f>
        <v>28532.19</v>
      </c>
      <c r="R121" s="693">
        <f>+R120*(1-R122)</f>
        <v>32262.140249999997</v>
      </c>
      <c r="S121" s="693">
        <f t="shared" ref="S121:AN121" si="235">+S120*(1-S122)</f>
        <v>36469.101299999995</v>
      </c>
      <c r="T121" s="693">
        <f t="shared" si="235"/>
        <v>39420.415443749996</v>
      </c>
      <c r="U121" s="693">
        <f t="shared" si="235"/>
        <v>42210.053208674995</v>
      </c>
      <c r="V121" s="693">
        <f t="shared" si="235"/>
        <v>45182.520406192125</v>
      </c>
      <c r="W121" s="693">
        <f t="shared" si="235"/>
        <v>47904.569440122781</v>
      </c>
      <c r="X121" s="693">
        <f t="shared" si="235"/>
        <v>50772.978188882713</v>
      </c>
      <c r="Y121" s="693">
        <f t="shared" si="235"/>
        <v>53295.652879203124</v>
      </c>
      <c r="Z121" s="693">
        <f t="shared" si="235"/>
        <v>55922.714433042864</v>
      </c>
      <c r="AA121" s="693">
        <f t="shared" si="235"/>
        <v>58108.22510245868</v>
      </c>
      <c r="AB121" s="693">
        <f t="shared" si="235"/>
        <v>59785.291551186529</v>
      </c>
      <c r="AC121" s="693">
        <f t="shared" si="235"/>
        <v>61484.79408203101</v>
      </c>
      <c r="AD121" s="693">
        <f t="shared" si="235"/>
        <v>63204.783637081979</v>
      </c>
      <c r="AE121" s="693">
        <f t="shared" si="235"/>
        <v>64943.060162432965</v>
      </c>
      <c r="AF121" s="693">
        <f t="shared" si="235"/>
        <v>66697.152381226348</v>
      </c>
      <c r="AG121" s="693">
        <f t="shared" si="235"/>
        <v>68464.296171492984</v>
      </c>
      <c r="AH121" s="693">
        <f t="shared" si="235"/>
        <v>69906.928548119729</v>
      </c>
      <c r="AI121" s="693">
        <f t="shared" si="235"/>
        <v>70999.414300910445</v>
      </c>
      <c r="AJ121" s="693">
        <f t="shared" si="235"/>
        <v>71720.969713688552</v>
      </c>
      <c r="AK121" s="693">
        <f t="shared" si="235"/>
        <v>72056.271994712835</v>
      </c>
      <c r="AL121" s="693">
        <f t="shared" si="235"/>
        <v>71995.943813934617</v>
      </c>
      <c r="AM121" s="693">
        <f t="shared" si="235"/>
        <v>71536.893009954365</v>
      </c>
      <c r="AN121" s="693">
        <f t="shared" si="235"/>
        <v>70682.492179640831</v>
      </c>
      <c r="AO121" s="698">
        <f>+AO120*(1-AO122)</f>
        <v>69442.588333719788</v>
      </c>
    </row>
    <row r="122" spans="2:41" ht="14.1" thickBot="1">
      <c r="K122" s="699" t="s">
        <v>522</v>
      </c>
      <c r="L122" s="700"/>
      <c r="M122" s="701">
        <f>1-M121/M120</f>
        <v>0.5373013735523835</v>
      </c>
      <c r="N122" s="701">
        <f>1-N121/N120</f>
        <v>0.46427957605270698</v>
      </c>
      <c r="O122" s="701">
        <f>1-O121/O120</f>
        <v>0.38328575461931802</v>
      </c>
      <c r="P122" s="702">
        <f>O122+0.01</f>
        <v>0.39328575461931803</v>
      </c>
      <c r="Q122" s="702">
        <f t="shared" ref="Q122" si="236">P122+0.01</f>
        <v>0.40328575461931804</v>
      </c>
      <c r="R122" s="702">
        <f>Q122+0.01</f>
        <v>0.41328575461931805</v>
      </c>
      <c r="S122" s="702">
        <f t="shared" ref="S122:AO122" si="237">R122+0.01</f>
        <v>0.42328575461931806</v>
      </c>
      <c r="T122" s="702">
        <f t="shared" si="237"/>
        <v>0.43328575461931806</v>
      </c>
      <c r="U122" s="702">
        <f t="shared" si="237"/>
        <v>0.44328575461931807</v>
      </c>
      <c r="V122" s="702">
        <f t="shared" si="237"/>
        <v>0.45328575461931808</v>
      </c>
      <c r="W122" s="702">
        <f t="shared" si="237"/>
        <v>0.46328575461931809</v>
      </c>
      <c r="X122" s="702">
        <f t="shared" si="237"/>
        <v>0.4732857546193181</v>
      </c>
      <c r="Y122" s="702">
        <f t="shared" si="237"/>
        <v>0.48328575461931811</v>
      </c>
      <c r="Z122" s="702">
        <f t="shared" si="237"/>
        <v>0.49328575461931812</v>
      </c>
      <c r="AA122" s="702">
        <f t="shared" si="237"/>
        <v>0.50328575461931813</v>
      </c>
      <c r="AB122" s="702">
        <f t="shared" si="237"/>
        <v>0.51328575461931814</v>
      </c>
      <c r="AC122" s="702">
        <f t="shared" si="237"/>
        <v>0.52328575461931814</v>
      </c>
      <c r="AD122" s="702">
        <f t="shared" si="237"/>
        <v>0.53328575461931815</v>
      </c>
      <c r="AE122" s="702">
        <f t="shared" si="237"/>
        <v>0.54328575461931816</v>
      </c>
      <c r="AF122" s="702">
        <f t="shared" si="237"/>
        <v>0.55328575461931817</v>
      </c>
      <c r="AG122" s="702">
        <f t="shared" si="237"/>
        <v>0.56328575461931818</v>
      </c>
      <c r="AH122" s="702">
        <f t="shared" si="237"/>
        <v>0.57328575461931819</v>
      </c>
      <c r="AI122" s="702">
        <f t="shared" si="237"/>
        <v>0.5832857546193182</v>
      </c>
      <c r="AJ122" s="702">
        <f t="shared" si="237"/>
        <v>0.59328575461931821</v>
      </c>
      <c r="AK122" s="702">
        <f t="shared" si="237"/>
        <v>0.60328575461931822</v>
      </c>
      <c r="AL122" s="702">
        <f t="shared" si="237"/>
        <v>0.61328575461931822</v>
      </c>
      <c r="AM122" s="702">
        <f t="shared" si="237"/>
        <v>0.62328575461931823</v>
      </c>
      <c r="AN122" s="702">
        <f t="shared" si="237"/>
        <v>0.63328575461931824</v>
      </c>
      <c r="AO122" s="703">
        <f t="shared" si="237"/>
        <v>0.64328575461931825</v>
      </c>
    </row>
    <row r="125" spans="2:41" ht="15">
      <c r="C125" s="1124" t="s">
        <v>466</v>
      </c>
      <c r="D125" s="1124"/>
      <c r="E125" s="1124"/>
      <c r="F125" s="1124"/>
      <c r="G125" s="1124"/>
    </row>
    <row r="126" spans="2:41" ht="15">
      <c r="C126" s="631">
        <v>2018</v>
      </c>
      <c r="D126" s="631">
        <v>2019</v>
      </c>
      <c r="E126" s="6">
        <v>2020</v>
      </c>
      <c r="F126" s="6">
        <v>2021</v>
      </c>
      <c r="G126" s="632">
        <v>2022</v>
      </c>
      <c r="H126" s="648" t="s">
        <v>467</v>
      </c>
      <c r="I126" s="648" t="s">
        <v>523</v>
      </c>
    </row>
    <row r="127" spans="2:41">
      <c r="B127" s="634" t="s">
        <v>429</v>
      </c>
      <c r="C127" s="649">
        <f>+D18</f>
        <v>0.25045703839122485</v>
      </c>
      <c r="D127" s="649">
        <f>+E18</f>
        <v>0.2634315424610052</v>
      </c>
      <c r="E127" s="649">
        <f>+F18</f>
        <v>0.23153252480705622</v>
      </c>
      <c r="F127" s="649">
        <f>+G18</f>
        <v>0.24986508364813814</v>
      </c>
      <c r="G127" s="649">
        <f>+H18</f>
        <v>0.20365033621517772</v>
      </c>
      <c r="H127" s="650">
        <f>AVERAGE(C127:G127)*(1-(-H20))</f>
        <v>0.21594303112381649</v>
      </c>
      <c r="I127" s="650">
        <f>+AVERAGE(H19,N19,S19)</f>
        <v>0.20312966592727241</v>
      </c>
      <c r="L127">
        <v>2020</v>
      </c>
      <c r="M127">
        <v>2021</v>
      </c>
      <c r="N127">
        <v>2022</v>
      </c>
    </row>
    <row r="128" spans="2:41">
      <c r="B128" s="634" t="s">
        <v>431</v>
      </c>
      <c r="C128" s="649">
        <f>+D25</f>
        <v>9.140767824497258E-3</v>
      </c>
      <c r="D128" s="649">
        <f>+E25</f>
        <v>9.2432120161756205E-3</v>
      </c>
      <c r="E128" s="649">
        <f>+F25</f>
        <v>8.544652701212789E-2</v>
      </c>
      <c r="F128" s="649">
        <f>+G25</f>
        <v>0.23691311386940098</v>
      </c>
      <c r="G128" s="649">
        <f>+H25</f>
        <v>0.25120076849183476</v>
      </c>
      <c r="H128" s="650">
        <f>AVERAGE(D128:G128)</f>
        <v>0.14570090534738481</v>
      </c>
      <c r="I128" s="650">
        <f>AVERAGE(D128:H128)</f>
        <v>0.14570090534738481</v>
      </c>
      <c r="K128" s="11" t="s">
        <v>524</v>
      </c>
      <c r="L128">
        <v>1016</v>
      </c>
      <c r="M128">
        <v>1182</v>
      </c>
      <c r="N128">
        <v>1285</v>
      </c>
    </row>
    <row r="129" spans="2:14" ht="12.95" customHeight="1">
      <c r="B129" s="634" t="s">
        <v>432</v>
      </c>
      <c r="C129" s="649"/>
      <c r="D129" s="649"/>
      <c r="E129" s="649">
        <f>+F32</f>
        <v>7.4243648442409549E-2</v>
      </c>
      <c r="F129" s="649">
        <f>+G32</f>
        <v>6.6914924090518482E-2</v>
      </c>
      <c r="G129" s="649">
        <f>+H32</f>
        <v>5.6247451140320606E-2</v>
      </c>
      <c r="H129" s="650">
        <f>AVERAGE(E129:G129)</f>
        <v>6.580200789108287E-2</v>
      </c>
      <c r="I129" s="650">
        <f>AVERAGE(C129:G129)</f>
        <v>6.580200789108287E-2</v>
      </c>
      <c r="K129" s="11" t="s">
        <v>525</v>
      </c>
      <c r="L129">
        <v>175</v>
      </c>
      <c r="M129">
        <v>620</v>
      </c>
      <c r="N129">
        <v>1119</v>
      </c>
    </row>
    <row r="130" spans="2:14">
      <c r="B130" s="634" t="s">
        <v>434</v>
      </c>
      <c r="C130" s="649">
        <v>0.216</v>
      </c>
      <c r="D130" s="649">
        <v>-5.0000000000000001E-3</v>
      </c>
      <c r="E130" s="649">
        <v>2.8000000000000001E-2</v>
      </c>
      <c r="F130" s="649">
        <v>0.48</v>
      </c>
      <c r="G130" s="649">
        <v>1.9E-2</v>
      </c>
      <c r="H130" s="650">
        <f>AVERAGE(C130:G130)</f>
        <v>0.14760000000000001</v>
      </c>
      <c r="I130" s="650">
        <f>AVERAGE(D130:H130)</f>
        <v>0.13391999999999998</v>
      </c>
      <c r="K130" s="11" t="s">
        <v>526</v>
      </c>
      <c r="L130">
        <f>+L128-L129</f>
        <v>841</v>
      </c>
      <c r="M130">
        <f>+M128-M129</f>
        <v>562</v>
      </c>
      <c r="N130">
        <f>+N128-N129</f>
        <v>166</v>
      </c>
    </row>
    <row r="131" spans="2:14">
      <c r="B131" s="634" t="s">
        <v>436</v>
      </c>
      <c r="C131" s="651"/>
      <c r="D131" s="651"/>
      <c r="E131" s="651"/>
      <c r="F131" s="651"/>
      <c r="G131" s="651"/>
      <c r="H131" s="650">
        <f>+F46</f>
        <v>0</v>
      </c>
      <c r="I131" s="650">
        <v>0.04</v>
      </c>
    </row>
    <row r="132" spans="2:14">
      <c r="B132" s="634" t="s">
        <v>438</v>
      </c>
      <c r="C132" s="651"/>
      <c r="D132" s="651"/>
      <c r="E132" s="651"/>
      <c r="F132" s="651"/>
      <c r="G132" s="651"/>
      <c r="H132" s="650">
        <v>4.3999999999999997E-2</v>
      </c>
      <c r="I132" s="650">
        <v>4.3299999999999998E-2</v>
      </c>
    </row>
    <row r="133" spans="2:14">
      <c r="B133" s="634" t="s">
        <v>440</v>
      </c>
      <c r="C133" s="651"/>
      <c r="D133" s="651"/>
      <c r="E133" s="651"/>
      <c r="F133" s="651"/>
      <c r="G133" s="651"/>
      <c r="H133" s="650">
        <f>H136</f>
        <v>-3.5798791701388971E-2</v>
      </c>
      <c r="I133" s="650">
        <f>I136</f>
        <v>-3.2261722666990261E-2</v>
      </c>
    </row>
    <row r="134" spans="2:14">
      <c r="B134" s="634" t="s">
        <v>442</v>
      </c>
      <c r="C134" s="649">
        <f>+D59</f>
        <v>0.13601073516725773</v>
      </c>
      <c r="D134" s="649">
        <f>+E59</f>
        <v>0.29899999999999999</v>
      </c>
      <c r="E134" s="649">
        <f>+F59</f>
        <v>-0.47302271299039411</v>
      </c>
      <c r="F134" s="649">
        <f>+G59</f>
        <v>-0.18458894299627615</v>
      </c>
      <c r="G134" s="649">
        <f>+H59</f>
        <v>1.8853718982338362E-2</v>
      </c>
      <c r="H134" s="650">
        <f>AVERAGE(C134:E134,G134)</f>
        <v>-4.7895647101995013E-3</v>
      </c>
      <c r="I134" s="650">
        <f>AVERAGE(D134:E134,G134:H134)</f>
        <v>-3.9989639679563815E-2</v>
      </c>
    </row>
    <row r="135" spans="2:14">
      <c r="B135" s="634" t="s">
        <v>444</v>
      </c>
      <c r="C135" s="652">
        <f>23.5/C9</f>
        <v>2.9626828038325768E-3</v>
      </c>
      <c r="D135" s="652">
        <f>23.8/D9</f>
        <v>2.2812230422697213E-3</v>
      </c>
      <c r="E135" s="652">
        <f>+DCF!D38/Assumptions!F9</f>
        <v>0.14040757698177575</v>
      </c>
      <c r="F135" s="652">
        <f>+DCF!E38/Assumptions!G9</f>
        <v>0.13818390146089946</v>
      </c>
      <c r="G135" s="652">
        <f>+DCF!F38/Assumptions!H9</f>
        <v>5.7941462496470808E-2</v>
      </c>
      <c r="H135" s="650">
        <f>AVERAGE(C135:G135)</f>
        <v>6.8355369357049667E-2</v>
      </c>
      <c r="I135" s="650">
        <f>AVERAGE(D135:H135)</f>
        <v>8.1433906667693082E-2</v>
      </c>
    </row>
    <row r="136" spans="2:14">
      <c r="B136" s="634" t="s">
        <v>527</v>
      </c>
      <c r="C136" s="652">
        <f>+'Fin. Data'!F32/'Fin. Data'!F5</f>
        <v>-5.3484136873382535E-2</v>
      </c>
      <c r="D136" s="652">
        <f>+'Fin. Data'!E32/'Fin. Data'!E5</f>
        <v>-4.5230769230769234E-2</v>
      </c>
      <c r="E136" s="652">
        <f>+'Fin. Data'!D32/'Fin. Data'!D5</f>
        <v>-5.5301194003052341E-2</v>
      </c>
      <c r="F136" s="652">
        <f>+'Fin. Data'!C32/'Fin. Data'!C5</f>
        <v>-1.7072472071039818E-2</v>
      </c>
      <c r="G136" s="652">
        <f>+'Fin. Data'!B32/'Fin. Data'!B5</f>
        <v>-7.9053863287009436E-3</v>
      </c>
      <c r="H136" s="650">
        <f t="shared" ref="H136:I139" si="238">AVERAGE(C136:G136)</f>
        <v>-3.5798791701388971E-2</v>
      </c>
      <c r="I136" s="650">
        <f t="shared" si="238"/>
        <v>-3.2261722666990261E-2</v>
      </c>
    </row>
    <row r="137" spans="2:14">
      <c r="B137" s="634" t="s">
        <v>448</v>
      </c>
      <c r="C137" s="652">
        <f>+'Fin. Data'!F33/Assumptions!D9</f>
        <v>-4.562446084539442E-2</v>
      </c>
      <c r="D137" s="652">
        <f>+'Fin. Data'!E33/'Fin. Data'!E5</f>
        <v>-1.9461538461538461E-2</v>
      </c>
      <c r="E137" s="652">
        <f>+'Fin. Data'!D33/'Fin. Data'!D5</f>
        <v>-0.19130981237094891</v>
      </c>
      <c r="F137" s="652">
        <f>+'Fin. Data'!C33/'Fin. Data'!C5</f>
        <v>-3.5405327986250359E-2</v>
      </c>
      <c r="G137" s="652">
        <f>+'Fin. Data'!B33/'Fin. Data'!B5</f>
        <v>-3.5731091382501488E-2</v>
      </c>
      <c r="H137" s="650">
        <f>AVERAGE(F137:G137,C137:D137)</f>
        <v>-3.4055604668921186E-2</v>
      </c>
      <c r="I137" s="650">
        <f>AVERAGE(D137,F137:H137)</f>
        <v>-3.1163390624802875E-2</v>
      </c>
    </row>
    <row r="138" spans="2:14">
      <c r="B138" s="634" t="s">
        <v>135</v>
      </c>
      <c r="C138" s="649">
        <v>0</v>
      </c>
      <c r="D138" s="649">
        <v>0</v>
      </c>
      <c r="E138" s="649">
        <v>0</v>
      </c>
      <c r="F138" s="649">
        <v>0</v>
      </c>
      <c r="G138" s="649">
        <v>0</v>
      </c>
      <c r="H138" s="650">
        <f t="shared" si="238"/>
        <v>0</v>
      </c>
      <c r="I138" s="650">
        <f t="shared" si="238"/>
        <v>0</v>
      </c>
    </row>
    <row r="139" spans="2:14">
      <c r="B139" s="634" t="s">
        <v>450</v>
      </c>
      <c r="C139" s="649"/>
      <c r="D139" s="649"/>
      <c r="E139" s="649"/>
      <c r="F139" s="649"/>
      <c r="G139" s="649"/>
      <c r="H139" s="650" t="e">
        <f t="shared" si="238"/>
        <v>#DIV/0!</v>
      </c>
      <c r="I139" s="650" t="e">
        <f t="shared" si="238"/>
        <v>#DIV/0!</v>
      </c>
    </row>
    <row r="140" spans="2:14">
      <c r="B140" s="634" t="s">
        <v>451</v>
      </c>
      <c r="C140" s="653">
        <f>+D89</f>
        <v>-8.5306239815968569E-3</v>
      </c>
      <c r="D140" s="653">
        <f>+E89</f>
        <v>0.12161538461538461</v>
      </c>
      <c r="E140" s="653">
        <f>+F89</f>
        <v>-2.0109525092019031E-2</v>
      </c>
      <c r="F140" s="653">
        <f>+G89</f>
        <v>-7.9633342881695792E-3</v>
      </c>
      <c r="G140" s="653">
        <f>+H89</f>
        <v>-2.0390877435141324E-3</v>
      </c>
      <c r="H140" s="650">
        <f>AVERAGE(E140:G140,C140)</f>
        <v>-9.6606427763249007E-3</v>
      </c>
      <c r="I140" s="650">
        <f>AVERAGE(E140:H140,C140)</f>
        <v>-9.6606427763249007E-3</v>
      </c>
    </row>
    <row r="142" spans="2:14" ht="9" customHeight="1"/>
    <row r="144" spans="2:14">
      <c r="I144" s="464"/>
      <c r="J144" s="747"/>
      <c r="K144" s="673"/>
      <c r="L144" s="673"/>
    </row>
    <row r="145" spans="9:12">
      <c r="I145" s="464"/>
      <c r="J145" s="748"/>
      <c r="K145" s="668"/>
      <c r="L145" s="669"/>
    </row>
    <row r="146" spans="9:12">
      <c r="I146" s="464"/>
      <c r="J146" s="748"/>
      <c r="K146" s="669"/>
      <c r="L146" s="669"/>
    </row>
    <row r="147" spans="9:12">
      <c r="I147" s="6"/>
      <c r="J147" s="671"/>
      <c r="K147" s="672"/>
      <c r="L147" s="672"/>
    </row>
    <row r="149" spans="9:12">
      <c r="I149" s="464"/>
      <c r="J149" s="672"/>
    </row>
    <row r="150" spans="9:12">
      <c r="I150" s="464"/>
    </row>
    <row r="151" spans="9:12">
      <c r="I151" s="464"/>
      <c r="J151" s="749"/>
    </row>
    <row r="152" spans="9:12">
      <c r="I152" s="464"/>
      <c r="J152" s="351"/>
    </row>
  </sheetData>
  <mergeCells count="26">
    <mergeCell ref="P110:R110"/>
    <mergeCell ref="C125:G125"/>
    <mergeCell ref="C49:H49"/>
    <mergeCell ref="I49:M49"/>
    <mergeCell ref="C56:H56"/>
    <mergeCell ref="I56:M56"/>
    <mergeCell ref="C76:H76"/>
    <mergeCell ref="I76:M76"/>
    <mergeCell ref="C86:H86"/>
    <mergeCell ref="I86:M86"/>
    <mergeCell ref="B115:F115"/>
    <mergeCell ref="C81:H81"/>
    <mergeCell ref="I81:M81"/>
    <mergeCell ref="C62:H62"/>
    <mergeCell ref="I62:M62"/>
    <mergeCell ref="P109:R109"/>
    <mergeCell ref="C29:H29"/>
    <mergeCell ref="I29:M29"/>
    <mergeCell ref="C15:H15"/>
    <mergeCell ref="J92:N92"/>
    <mergeCell ref="C92:I92"/>
    <mergeCell ref="C7:H7"/>
    <mergeCell ref="I15:M15"/>
    <mergeCell ref="I7:M7"/>
    <mergeCell ref="C22:H22"/>
    <mergeCell ref="I22:M22"/>
  </mergeCells>
  <hyperlinks>
    <hyperlink ref="B3" r:id="rId1" xr:uid="{6380AD92-7414-EE4B-A5F9-3EB760A25B3D}"/>
    <hyperlink ref="B103" r:id="rId2" location="_msocom_1" display="file:///./Users/franciscopuebla/Desktop/UBER.K - Segments.fld/sheet002.htm - _msocom_1" xr:uid="{3006D23D-1B69-AE45-A050-306275D3BA1E}"/>
    <hyperlink ref="B117" r:id="rId3" location="_msocom_1" display="file:///./Users/franciscopuebla/Desktop/UBER.K - Segments.fld/sheet002.htm - _msocom_1" xr:uid="{39FB2873-4A57-9F4F-BA38-5777960F8679}"/>
  </hyperlinks>
  <pageMargins left="0.7" right="0.7" top="0.75" bottom="0.75" header="0.3" footer="0.3"/>
  <ignoredErrors>
    <ignoredError sqref="I129" formula="1"/>
  </ignoredErrors>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topLeftCell="A27" zoomScale="84" workbookViewId="0">
      <selection activeCell="D43" sqref="D43"/>
    </sheetView>
  </sheetViews>
  <sheetFormatPr defaultColWidth="11.42578125" defaultRowHeight="12.95"/>
  <cols>
    <col min="1" max="1" width="36.140625" style="11" customWidth="1"/>
    <col min="2" max="10" width="12.28515625" style="45" customWidth="1"/>
    <col min="11" max="12" width="12.28515625" style="54" customWidth="1"/>
    <col min="13" max="13" width="12.140625" style="54" bestFit="1" customWidth="1"/>
    <col min="14" max="16384" width="11.42578125" style="44"/>
  </cols>
  <sheetData>
    <row r="1" spans="1:25" ht="15.95">
      <c r="A1" s="1131" t="e" vm="1">
        <f>Inputs!H3</f>
        <v>#VALUE!</v>
      </c>
      <c r="B1" s="1131"/>
      <c r="C1" s="1131"/>
      <c r="D1" s="1131"/>
      <c r="E1" s="1131"/>
      <c r="F1" s="1131"/>
      <c r="G1" s="1131"/>
      <c r="H1" s="1131"/>
      <c r="I1" s="1131"/>
      <c r="J1" s="1131"/>
      <c r="K1" s="1131"/>
      <c r="L1" s="1131"/>
      <c r="M1" s="1131"/>
    </row>
    <row r="2" spans="1:25" ht="12">
      <c r="A2" s="1132" t="str">
        <f>Inputs!G2</f>
        <v>Figures in Millions of USD</v>
      </c>
      <c r="B2" s="1132"/>
      <c r="C2" s="1132"/>
      <c r="D2" s="1132"/>
      <c r="E2" s="1132"/>
      <c r="F2" s="1132"/>
      <c r="G2" s="1132"/>
      <c r="H2" s="1132"/>
      <c r="I2" s="1132"/>
      <c r="J2" s="1132"/>
      <c r="K2" s="1132"/>
      <c r="L2" s="1132"/>
      <c r="M2" s="1132"/>
    </row>
    <row r="3" spans="1:25" ht="20.100000000000001">
      <c r="A3" s="1130" t="s">
        <v>528</v>
      </c>
      <c r="B3" s="1130"/>
      <c r="C3" s="1130"/>
      <c r="D3" s="1130"/>
      <c r="E3" s="1130"/>
      <c r="F3" s="1130"/>
      <c r="G3" s="1130"/>
      <c r="H3" s="1130"/>
      <c r="I3" s="1130"/>
      <c r="J3" s="1130"/>
      <c r="K3" s="1130"/>
      <c r="L3" s="1130"/>
      <c r="M3" s="1130"/>
    </row>
    <row r="4" spans="1:25">
      <c r="A4" s="134"/>
      <c r="B4" s="57">
        <f>OP!J17</f>
        <v>2022</v>
      </c>
      <c r="C4" s="46">
        <f>B4-1</f>
        <v>2021</v>
      </c>
      <c r="D4" s="46">
        <f t="shared" ref="D4:M4" si="0">C4-1</f>
        <v>2020</v>
      </c>
      <c r="E4" s="46">
        <f t="shared" si="0"/>
        <v>2019</v>
      </c>
      <c r="F4" s="46">
        <f t="shared" si="0"/>
        <v>2018</v>
      </c>
      <c r="G4" s="46">
        <f t="shared" si="0"/>
        <v>2017</v>
      </c>
      <c r="H4" s="46">
        <f t="shared" si="0"/>
        <v>2016</v>
      </c>
      <c r="I4" s="46">
        <f t="shared" si="0"/>
        <v>2015</v>
      </c>
      <c r="J4" s="46">
        <f>I4-1</f>
        <v>2014</v>
      </c>
      <c r="K4" s="46">
        <f t="shared" si="0"/>
        <v>2013</v>
      </c>
      <c r="L4" s="46">
        <f t="shared" si="0"/>
        <v>2012</v>
      </c>
      <c r="M4" s="46">
        <f t="shared" si="0"/>
        <v>2011</v>
      </c>
    </row>
    <row r="5" spans="1:25">
      <c r="A5" s="135" t="s">
        <v>124</v>
      </c>
      <c r="B5" s="59">
        <f>_xlfn.XLOOKUP($A5,Inputs!$A:$A,Inputs!B:B,,0)</f>
        <v>31877</v>
      </c>
      <c r="C5" s="59">
        <f>_xlfn.XLOOKUP($A5,Inputs!$A:$A,Inputs!C:C,,0)</f>
        <v>17455</v>
      </c>
      <c r="D5" s="59">
        <f>_xlfn.XLOOKUP($A5,Inputs!$A:$A,Inputs!D:D,,0)</f>
        <v>11139</v>
      </c>
      <c r="E5" s="59">
        <f>_xlfn.XLOOKUP($A5,Inputs!$A:$A,Inputs!E:E,,0)</f>
        <v>13000</v>
      </c>
      <c r="F5" s="59">
        <f>_xlfn.XLOOKUP($A5,Inputs!$A:$A,Inputs!F:F,,0)</f>
        <v>10433</v>
      </c>
      <c r="G5" s="59">
        <f>_xlfn.XLOOKUP($A5,Inputs!$A:$A,Inputs!G:G,,0)</f>
        <v>7932</v>
      </c>
      <c r="H5" s="59">
        <f>_xlfn.XLOOKUP($A5,Inputs!$A:$A,Inputs!H:H,,0)</f>
        <v>0</v>
      </c>
      <c r="I5" s="59">
        <f>_xlfn.XLOOKUP($A5,Inputs!$A:$A,Inputs!I:I,,0)</f>
        <v>0</v>
      </c>
      <c r="J5" s="59">
        <f>_xlfn.XLOOKUP($A5,Inputs!$A:$A,Inputs!J:J,,0)</f>
        <v>0</v>
      </c>
      <c r="K5" s="59">
        <f>_xlfn.XLOOKUP($A5,Inputs!$A:$A,Inputs!K:K,,0)</f>
        <v>0</v>
      </c>
      <c r="L5" s="59">
        <f>_xlfn.XLOOKUP($A5,Inputs!$A:$A,Inputs!L:L,,0)</f>
        <v>0</v>
      </c>
      <c r="M5" s="60">
        <f>_xlfn.XLOOKUP($A5,Inputs!$A:$A,Inputs!M:M,,0)</f>
        <v>0</v>
      </c>
    </row>
    <row r="6" spans="1:25">
      <c r="A6" s="136" t="s">
        <v>529</v>
      </c>
      <c r="B6" s="62">
        <f t="shared" ref="B6:L6" si="1">IFERROR(B5/C5-1,"-")</f>
        <v>0.8262389000286452</v>
      </c>
      <c r="C6" s="62">
        <f t="shared" si="1"/>
        <v>0.56701678786246523</v>
      </c>
      <c r="D6" s="62">
        <f t="shared" si="1"/>
        <v>-0.14315384615384619</v>
      </c>
      <c r="E6" s="62">
        <f t="shared" si="1"/>
        <v>0.24604619955909124</v>
      </c>
      <c r="F6" s="62">
        <f t="shared" si="1"/>
        <v>0.31530509329299039</v>
      </c>
      <c r="G6" s="62" t="str">
        <f t="shared" si="1"/>
        <v>-</v>
      </c>
      <c r="H6" s="62" t="str">
        <f t="shared" si="1"/>
        <v>-</v>
      </c>
      <c r="I6" s="62" t="str">
        <f t="shared" si="1"/>
        <v>-</v>
      </c>
      <c r="J6" s="62" t="str">
        <f t="shared" si="1"/>
        <v>-</v>
      </c>
      <c r="K6" s="62" t="str">
        <f t="shared" si="1"/>
        <v>-</v>
      </c>
      <c r="L6" s="62" t="str">
        <f t="shared" si="1"/>
        <v>-</v>
      </c>
      <c r="M6" s="63" t="str">
        <f>IFERROR(M5/#REF!-1,"-")</f>
        <v>-</v>
      </c>
      <c r="N6" s="524"/>
    </row>
    <row r="7" spans="1:25">
      <c r="A7" s="135" t="s">
        <v>530</v>
      </c>
      <c r="B7" s="59">
        <f>_xlfn.XLOOKUP($A7,Inputs!$A:$A,Inputs!B:B,,0)</f>
        <v>12218</v>
      </c>
      <c r="C7" s="59">
        <f>_xlfn.XLOOKUP($A7,Inputs!$A:$A,Inputs!C:C,,0)</f>
        <v>8104</v>
      </c>
      <c r="D7" s="59">
        <f>_xlfn.XLOOKUP($A7,Inputs!$A:$A,Inputs!D:D,,0)</f>
        <v>5985</v>
      </c>
      <c r="E7" s="59">
        <f>_xlfn.XLOOKUP($A7,Inputs!$A:$A,Inputs!E:E,,0)</f>
        <v>6939</v>
      </c>
      <c r="F7" s="59">
        <f>_xlfn.XLOOKUP($A7,Inputs!$A:$A,Inputs!F:F,,0)</f>
        <v>5647</v>
      </c>
      <c r="G7" s="59">
        <f>_xlfn.XLOOKUP($A7,Inputs!$A:$A,Inputs!G:G,,0)</f>
        <v>3772</v>
      </c>
      <c r="H7" s="59">
        <f>_xlfn.XLOOKUP($A7,Inputs!$A:$A,Inputs!H:H,,0)</f>
        <v>0</v>
      </c>
      <c r="I7" s="59">
        <f>_xlfn.XLOOKUP($A7,Inputs!$A:$A,Inputs!I:I,,0)</f>
        <v>0</v>
      </c>
      <c r="J7" s="59">
        <f>_xlfn.XLOOKUP($A7,Inputs!$A:$A,Inputs!J:J,,0)</f>
        <v>0</v>
      </c>
      <c r="K7" s="59">
        <f>_xlfn.XLOOKUP($A7,Inputs!$A:$A,Inputs!K:K,,0)</f>
        <v>0</v>
      </c>
      <c r="L7" s="59">
        <f>_xlfn.XLOOKUP($A7,Inputs!$A:$A,Inputs!L:L,,0)</f>
        <v>0</v>
      </c>
      <c r="M7" s="60">
        <f>_xlfn.XLOOKUP($A7,Inputs!$A:$A,Inputs!M:M,,0)</f>
        <v>0</v>
      </c>
    </row>
    <row r="8" spans="1:25">
      <c r="A8" s="136" t="s">
        <v>531</v>
      </c>
      <c r="B8" s="62">
        <f>IFERROR(B7/B$5,"-")</f>
        <v>0.38328575461931802</v>
      </c>
      <c r="C8" s="62">
        <f t="shared" ref="C8:M8" si="2">IFERROR(C7/C$5,"-")</f>
        <v>0.46427957605270698</v>
      </c>
      <c r="D8" s="62">
        <f t="shared" si="2"/>
        <v>0.5373013735523835</v>
      </c>
      <c r="E8" s="62">
        <f t="shared" si="2"/>
        <v>0.53376923076923077</v>
      </c>
      <c r="F8" s="62">
        <f t="shared" si="2"/>
        <v>0.5412632991469376</v>
      </c>
      <c r="G8" s="62">
        <f t="shared" si="2"/>
        <v>0.47554210791729701</v>
      </c>
      <c r="H8" s="62" t="str">
        <f t="shared" si="2"/>
        <v>-</v>
      </c>
      <c r="I8" s="62" t="str">
        <f t="shared" si="2"/>
        <v>-</v>
      </c>
      <c r="J8" s="62" t="str">
        <f t="shared" si="2"/>
        <v>-</v>
      </c>
      <c r="K8" s="62" t="str">
        <f t="shared" si="2"/>
        <v>-</v>
      </c>
      <c r="L8" s="62" t="str">
        <f t="shared" si="2"/>
        <v>-</v>
      </c>
      <c r="M8" s="63" t="str">
        <f t="shared" si="2"/>
        <v>-</v>
      </c>
    </row>
    <row r="9" spans="1:25">
      <c r="A9" s="135" t="s">
        <v>532</v>
      </c>
      <c r="B9" s="59">
        <f t="shared" ref="B9:M9" si="3">B5-B11</f>
        <v>33709</v>
      </c>
      <c r="C9" s="59">
        <f t="shared" si="3"/>
        <v>21289</v>
      </c>
      <c r="D9" s="59">
        <f t="shared" si="3"/>
        <v>16002</v>
      </c>
      <c r="E9" s="59">
        <f t="shared" si="3"/>
        <v>21596</v>
      </c>
      <c r="F9" s="59">
        <f t="shared" si="3"/>
        <v>13466</v>
      </c>
      <c r="G9" s="59">
        <f t="shared" si="3"/>
        <v>12012</v>
      </c>
      <c r="H9" s="59">
        <f t="shared" si="3"/>
        <v>0</v>
      </c>
      <c r="I9" s="59">
        <f t="shared" si="3"/>
        <v>0</v>
      </c>
      <c r="J9" s="59">
        <f t="shared" si="3"/>
        <v>0</v>
      </c>
      <c r="K9" s="59">
        <f t="shared" si="3"/>
        <v>0</v>
      </c>
      <c r="L9" s="59">
        <f t="shared" si="3"/>
        <v>0</v>
      </c>
      <c r="M9" s="60">
        <f t="shared" si="3"/>
        <v>0</v>
      </c>
    </row>
    <row r="10" spans="1:25">
      <c r="A10" s="136" t="s">
        <v>531</v>
      </c>
      <c r="B10" s="62">
        <f>IFERROR(B9/B$5,"-")</f>
        <v>1.0574709037864292</v>
      </c>
      <c r="C10" s="62">
        <f t="shared" ref="C10:M10" si="4">IFERROR(C9/C$5,"-")</f>
        <v>1.2196505299341163</v>
      </c>
      <c r="D10" s="62">
        <f t="shared" si="4"/>
        <v>1.4365741987611096</v>
      </c>
      <c r="E10" s="62">
        <f t="shared" si="4"/>
        <v>1.6612307692307693</v>
      </c>
      <c r="F10" s="62">
        <f t="shared" si="4"/>
        <v>1.290712163327902</v>
      </c>
      <c r="G10" s="62">
        <f t="shared" si="4"/>
        <v>1.5143721633888048</v>
      </c>
      <c r="H10" s="62" t="str">
        <f t="shared" si="4"/>
        <v>-</v>
      </c>
      <c r="I10" s="62" t="str">
        <f t="shared" si="4"/>
        <v>-</v>
      </c>
      <c r="J10" s="62" t="str">
        <f t="shared" si="4"/>
        <v>-</v>
      </c>
      <c r="K10" s="62" t="str">
        <f t="shared" si="4"/>
        <v>-</v>
      </c>
      <c r="L10" s="62" t="str">
        <f t="shared" si="4"/>
        <v>-</v>
      </c>
      <c r="M10" s="63" t="str">
        <f t="shared" si="4"/>
        <v>-</v>
      </c>
    </row>
    <row r="11" spans="1:25">
      <c r="A11" s="135" t="s">
        <v>265</v>
      </c>
      <c r="B11" s="59">
        <f>_xlfn.XLOOKUP($A11,Inputs!$A:$A,Inputs!B:B,,0)</f>
        <v>-1832</v>
      </c>
      <c r="C11" s="59">
        <f>_xlfn.XLOOKUP($A11,Inputs!$A:$A,Inputs!C:C,,0)</f>
        <v>-3834</v>
      </c>
      <c r="D11" s="59">
        <f>_xlfn.XLOOKUP($A11,Inputs!$A:$A,Inputs!D:D,,0)</f>
        <v>-4863</v>
      </c>
      <c r="E11" s="59">
        <f>_xlfn.XLOOKUP($A11,Inputs!$A:$A,Inputs!E:E,,0)</f>
        <v>-8596</v>
      </c>
      <c r="F11" s="59">
        <f>_xlfn.XLOOKUP($A11,Inputs!$A:$A,Inputs!F:F,,0)</f>
        <v>-3033</v>
      </c>
      <c r="G11" s="59">
        <f>_xlfn.XLOOKUP($A11,Inputs!$A:$A,Inputs!G:G,,0)</f>
        <v>-4080</v>
      </c>
      <c r="H11" s="59">
        <f>_xlfn.XLOOKUP($A11,Inputs!$A:$A,Inputs!H:H,,0)</f>
        <v>0</v>
      </c>
      <c r="I11" s="59">
        <f>_xlfn.XLOOKUP($A11,Inputs!$A:$A,Inputs!I:I,,0)</f>
        <v>0</v>
      </c>
      <c r="J11" s="59">
        <f>_xlfn.XLOOKUP($A11,Inputs!$A:$A,Inputs!J:J,,0)</f>
        <v>0</v>
      </c>
      <c r="K11" s="59">
        <f>_xlfn.XLOOKUP($A11,Inputs!$A:$A,Inputs!K:K,,0)</f>
        <v>0</v>
      </c>
      <c r="L11" s="59">
        <f>_xlfn.XLOOKUP($A11,Inputs!$A:$A,Inputs!L:L,,0)</f>
        <v>0</v>
      </c>
      <c r="M11" s="60">
        <f>_xlfn.XLOOKUP($A11,Inputs!$A:$A,Inputs!M:M,,0)</f>
        <v>0</v>
      </c>
    </row>
    <row r="12" spans="1:25">
      <c r="A12" s="136" t="s">
        <v>125</v>
      </c>
      <c r="B12" s="62">
        <f t="shared" ref="B12:M12" si="5">IFERROR(B11/B$5,"-")</f>
        <v>-5.7470903786429085E-2</v>
      </c>
      <c r="C12" s="62">
        <f t="shared" si="5"/>
        <v>-0.2196505299341163</v>
      </c>
      <c r="D12" s="62">
        <f t="shared" si="5"/>
        <v>-0.43657419876110959</v>
      </c>
      <c r="E12" s="62">
        <f t="shared" si="5"/>
        <v>-0.66123076923076918</v>
      </c>
      <c r="F12" s="62">
        <f t="shared" si="5"/>
        <v>-0.29071216332790184</v>
      </c>
      <c r="G12" s="62">
        <f t="shared" si="5"/>
        <v>-0.51437216338880487</v>
      </c>
      <c r="H12" s="62" t="str">
        <f t="shared" si="5"/>
        <v>-</v>
      </c>
      <c r="I12" s="62" t="str">
        <f t="shared" si="5"/>
        <v>-</v>
      </c>
      <c r="J12" s="62" t="str">
        <f t="shared" si="5"/>
        <v>-</v>
      </c>
      <c r="K12" s="62" t="str">
        <f t="shared" si="5"/>
        <v>-</v>
      </c>
      <c r="L12" s="62" t="str">
        <f t="shared" si="5"/>
        <v>-</v>
      </c>
      <c r="M12" s="63" t="str">
        <f t="shared" si="5"/>
        <v>-</v>
      </c>
    </row>
    <row r="13" spans="1:25">
      <c r="A13" s="135" t="s">
        <v>533</v>
      </c>
      <c r="B13" s="62">
        <f t="shared" ref="B13" si="6">IFERROR(B12/C12-1,"-")</f>
        <v>-0.73835299280330735</v>
      </c>
      <c r="C13" s="62">
        <f t="shared" ref="C13" si="7">IFERROR(C12/D12-1,"-")</f>
        <v>-0.49687697862715985</v>
      </c>
      <c r="D13" s="62">
        <f t="shared" ref="D13" si="8">IFERROR(D12/E12-1,"-")</f>
        <v>-0.33975516706672582</v>
      </c>
      <c r="E13" s="62">
        <f t="shared" ref="E13" si="9">IFERROR(E12/F12-1,"-")</f>
        <v>1.2745204798498566</v>
      </c>
      <c r="F13" s="62">
        <f t="shared" ref="F13" si="10">IFERROR(F12/G12-1,"-")</f>
        <v>-0.43482135305957914</v>
      </c>
      <c r="G13" s="62" t="str">
        <f t="shared" ref="G13" si="11">IFERROR(G12/H12-1,"-")</f>
        <v>-</v>
      </c>
      <c r="H13" s="62" t="str">
        <f t="shared" ref="H13" si="12">IFERROR(H12/I12-1,"-")</f>
        <v>-</v>
      </c>
      <c r="I13" s="62" t="str">
        <f t="shared" ref="I13" si="13">IFERROR(I12/J12-1,"-")</f>
        <v>-</v>
      </c>
      <c r="J13" s="62" t="str">
        <f t="shared" ref="J13" si="14">IFERROR(J12/K12-1,"-")</f>
        <v>-</v>
      </c>
      <c r="K13" s="62" t="str">
        <f t="shared" ref="K13" si="15">IFERROR(K12/L12-1,"-")</f>
        <v>-</v>
      </c>
      <c r="L13" s="62" t="str">
        <f t="shared" ref="L13" si="16">IFERROR(L12/M12-1,"-")</f>
        <v>-</v>
      </c>
      <c r="M13" s="63" t="str">
        <f>IFERROR(M12/#REF!-1,"-")</f>
        <v>-</v>
      </c>
    </row>
    <row r="14" spans="1:25">
      <c r="A14" s="137" t="s">
        <v>266</v>
      </c>
      <c r="B14" s="59">
        <f>_xlfn.XLOOKUP($A14,Inputs!$A:$A,Inputs!B:B,,0)</f>
        <v>-426</v>
      </c>
      <c r="C14" s="59">
        <f>_xlfn.XLOOKUP($A14,Inputs!$A:$A,Inputs!C:C,,0)</f>
        <v>-446</v>
      </c>
      <c r="D14" s="59">
        <f>_xlfn.XLOOKUP($A14,Inputs!$A:$A,Inputs!D:D,,0)</f>
        <v>-403</v>
      </c>
      <c r="E14" s="59">
        <f>_xlfn.XLOOKUP($A14,Inputs!$A:$A,Inputs!E:E,,0)</f>
        <v>-325</v>
      </c>
      <c r="F14" s="59">
        <f>_xlfn.XLOOKUP($A14,Inputs!$A:$A,Inputs!F:F,,0)</f>
        <v>-544</v>
      </c>
      <c r="G14" s="59">
        <f>_xlfn.XLOOKUP($A14,Inputs!$A:$A,Inputs!G:G,,0)</f>
        <v>-408</v>
      </c>
      <c r="H14" s="59">
        <f>_xlfn.XLOOKUP($A14,Inputs!$A:$A,Inputs!H:H,,0)</f>
        <v>0</v>
      </c>
      <c r="I14" s="59">
        <f>_xlfn.XLOOKUP($A14,Inputs!$A:$A,Inputs!I:I,,0)</f>
        <v>0</v>
      </c>
      <c r="J14" s="59">
        <f>_xlfn.XLOOKUP($A14,Inputs!$A:$A,Inputs!J:J,,0)</f>
        <v>0</v>
      </c>
      <c r="K14" s="59">
        <f>_xlfn.XLOOKUP($A14,Inputs!$A:$A,Inputs!K:K,,0)</f>
        <v>0</v>
      </c>
      <c r="L14" s="59">
        <f>_xlfn.XLOOKUP($A14,Inputs!$A:$A,Inputs!L:L,,0)</f>
        <v>0</v>
      </c>
      <c r="M14" s="60">
        <f>_xlfn.XLOOKUP($A14,Inputs!$A:$A,Inputs!M:M,,0)</f>
        <v>0</v>
      </c>
    </row>
    <row r="15" spans="1:25">
      <c r="A15" s="135" t="s">
        <v>534</v>
      </c>
      <c r="B15" s="59">
        <f>_xlfn.XLOOKUP($A15,Inputs!$A:$A,Inputs!B:B,,0)</f>
        <v>-7029</v>
      </c>
      <c r="C15" s="59">
        <f>_xlfn.XLOOKUP($A15,Inputs!$A:$A,Inputs!C:C,,0)</f>
        <v>3292</v>
      </c>
      <c r="D15" s="59">
        <f>_xlfn.XLOOKUP($A15,Inputs!$A:$A,Inputs!D:D,,0)</f>
        <v>-1625</v>
      </c>
      <c r="E15" s="59">
        <f>_xlfn.XLOOKUP($A15,Inputs!$A:$A,Inputs!E:E,,0)</f>
        <v>722</v>
      </c>
      <c r="F15" s="59">
        <f>_xlfn.XLOOKUP($A15,Inputs!$A:$A,Inputs!F:F,,0)</f>
        <v>4993</v>
      </c>
      <c r="G15" s="59">
        <f>_xlfn.XLOOKUP($A15,Inputs!$A:$A,Inputs!G:G,,0)</f>
        <v>-16</v>
      </c>
      <c r="H15" s="59">
        <f>_xlfn.XLOOKUP($A15,Inputs!$A:$A,Inputs!H:H,,0)</f>
        <v>0</v>
      </c>
      <c r="I15" s="59">
        <f>_xlfn.XLOOKUP($A15,Inputs!$A:$A,Inputs!I:I,,0)</f>
        <v>0</v>
      </c>
      <c r="J15" s="59">
        <f>_xlfn.XLOOKUP($A15,Inputs!$A:$A,Inputs!J:J,,0)</f>
        <v>0</v>
      </c>
      <c r="K15" s="59">
        <f>_xlfn.XLOOKUP($A15,Inputs!$A:$A,Inputs!K:K,,0)</f>
        <v>0</v>
      </c>
      <c r="L15" s="59">
        <f>_xlfn.XLOOKUP($A15,Inputs!$A:$A,Inputs!L:L,,0)</f>
        <v>0</v>
      </c>
      <c r="M15" s="60">
        <f>_xlfn.XLOOKUP($A15,Inputs!$A:$A,Inputs!M:M,,0)</f>
        <v>0</v>
      </c>
    </row>
    <row r="16" spans="1:25">
      <c r="A16" s="137" t="s">
        <v>65</v>
      </c>
      <c r="B16" s="59">
        <f>B11-B15</f>
        <v>5197</v>
      </c>
      <c r="C16" s="59">
        <f t="shared" ref="C16:M16" si="17">C11-C15</f>
        <v>-7126</v>
      </c>
      <c r="D16" s="59">
        <f t="shared" si="17"/>
        <v>-3238</v>
      </c>
      <c r="E16" s="59">
        <f t="shared" si="17"/>
        <v>-9318</v>
      </c>
      <c r="F16" s="59">
        <f t="shared" si="17"/>
        <v>-8026</v>
      </c>
      <c r="G16" s="59">
        <f t="shared" si="17"/>
        <v>-4064</v>
      </c>
      <c r="H16" s="59">
        <f t="shared" si="17"/>
        <v>0</v>
      </c>
      <c r="I16" s="59">
        <f t="shared" si="17"/>
        <v>0</v>
      </c>
      <c r="J16" s="59">
        <f t="shared" si="17"/>
        <v>0</v>
      </c>
      <c r="K16" s="59">
        <f t="shared" si="17"/>
        <v>0</v>
      </c>
      <c r="L16" s="59">
        <f t="shared" si="17"/>
        <v>0</v>
      </c>
      <c r="M16" s="60">
        <f t="shared" si="17"/>
        <v>0</v>
      </c>
      <c r="N16" s="56"/>
      <c r="O16" s="56"/>
      <c r="P16" s="56"/>
      <c r="Q16" s="56"/>
      <c r="R16" s="56"/>
      <c r="S16" s="56"/>
      <c r="T16" s="56"/>
      <c r="U16" s="56"/>
      <c r="V16" s="56"/>
      <c r="W16" s="56"/>
      <c r="X16" s="56"/>
      <c r="Y16" s="56"/>
    </row>
    <row r="17" spans="1:18">
      <c r="A17" s="135" t="s">
        <v>60</v>
      </c>
      <c r="B17" s="59">
        <f>_xlfn.XLOOKUP($A17,Inputs!$A:$A,Inputs!B:B,,0)</f>
        <v>947</v>
      </c>
      <c r="C17" s="59">
        <f>_xlfn.XLOOKUP($A17,Inputs!$A:$A,Inputs!C:C,,0)</f>
        <v>902</v>
      </c>
      <c r="D17" s="59">
        <f>_xlfn.XLOOKUP($A17,Inputs!$A:$A,Inputs!D:D,,0)</f>
        <v>575</v>
      </c>
      <c r="E17" s="59">
        <f>_xlfn.XLOOKUP($A17,Inputs!$A:$A,Inputs!E:E,,0)</f>
        <v>472</v>
      </c>
      <c r="F17" s="59">
        <f>_xlfn.XLOOKUP($A17,Inputs!$A:$A,Inputs!F:F,,0)</f>
        <v>426</v>
      </c>
      <c r="G17" s="59">
        <f>_xlfn.XLOOKUP($A17,Inputs!$A:$A,Inputs!G:G,,0)</f>
        <v>510</v>
      </c>
      <c r="H17" s="59">
        <f>_xlfn.XLOOKUP($A17,Inputs!$A:$A,Inputs!H:H,,0)</f>
        <v>0</v>
      </c>
      <c r="I17" s="59">
        <f>_xlfn.XLOOKUP($A17,Inputs!$A:$A,Inputs!I:I,,0)</f>
        <v>0</v>
      </c>
      <c r="J17" s="59">
        <f>_xlfn.XLOOKUP($A17,Inputs!$A:$A,Inputs!J:J,,0)</f>
        <v>0</v>
      </c>
      <c r="K17" s="59">
        <f>_xlfn.XLOOKUP($A17,Inputs!$A:$A,Inputs!K:K,,0)</f>
        <v>0</v>
      </c>
      <c r="L17" s="59">
        <f>_xlfn.XLOOKUP($A17,Inputs!$A:$A,Inputs!L:L,,0)</f>
        <v>0</v>
      </c>
      <c r="M17" s="60">
        <f>_xlfn.XLOOKUP($A17,Inputs!$A:$A,Inputs!M:M,,0)</f>
        <v>0</v>
      </c>
      <c r="N17" s="345"/>
    </row>
    <row r="18" spans="1:18">
      <c r="A18" s="137" t="s">
        <v>535</v>
      </c>
      <c r="B18" s="59">
        <f>_xlfn.XLOOKUP($A18,Inputs!$A:$A,Inputs!B:B,,0)</f>
        <v>601</v>
      </c>
      <c r="C18" s="59">
        <f>_xlfn.XLOOKUP($A18,Inputs!$A:$A,Inputs!C:C,,0)</f>
        <v>-3222</v>
      </c>
      <c r="D18" s="59">
        <f>_xlfn.XLOOKUP($A18,Inputs!$A:$A,Inputs!D:D,,0)</f>
        <v>-5269</v>
      </c>
      <c r="E18" s="59">
        <f>_xlfn.XLOOKUP($A18,Inputs!$A:$A,Inputs!E:E,,0)</f>
        <v>3887</v>
      </c>
      <c r="F18" s="59">
        <f>_xlfn.XLOOKUP($A18,Inputs!$A:$A,Inputs!F:F,,0)</f>
        <v>1419</v>
      </c>
      <c r="G18" s="59">
        <f>_xlfn.XLOOKUP($A18,Inputs!$A:$A,Inputs!G:G,,0)</f>
        <v>0</v>
      </c>
      <c r="H18" s="59">
        <f>_xlfn.XLOOKUP($A18,Inputs!$A:$A,Inputs!H:H,,0)</f>
        <v>0</v>
      </c>
      <c r="I18" s="59">
        <f>_xlfn.XLOOKUP($A18,Inputs!$A:$A,Inputs!I:I,,0)</f>
        <v>0</v>
      </c>
      <c r="J18" s="59">
        <f>_xlfn.XLOOKUP($A18,Inputs!$A:$A,Inputs!J:J,,0)</f>
        <v>0</v>
      </c>
      <c r="K18" s="59">
        <f>_xlfn.XLOOKUP($A18,Inputs!$A:$A,Inputs!K:K,,0)</f>
        <v>0</v>
      </c>
      <c r="L18" s="59">
        <f>_xlfn.XLOOKUP($A18,Inputs!$A:$A,Inputs!L:L,,0)</f>
        <v>0</v>
      </c>
      <c r="M18" s="60">
        <f>_xlfn.XLOOKUP($A18,Inputs!$A:$A,Inputs!M:M,,0)</f>
        <v>0</v>
      </c>
    </row>
    <row r="19" spans="1:18">
      <c r="A19" s="135" t="s">
        <v>56</v>
      </c>
      <c r="B19" s="59">
        <f>B11-B15+B17</f>
        <v>6144</v>
      </c>
      <c r="C19" s="59">
        <f t="shared" ref="C19:M19" si="18">C11-C15+C17</f>
        <v>-6224</v>
      </c>
      <c r="D19" s="59">
        <f t="shared" si="18"/>
        <v>-2663</v>
      </c>
      <c r="E19" s="59">
        <f t="shared" si="18"/>
        <v>-8846</v>
      </c>
      <c r="F19" s="59">
        <f t="shared" si="18"/>
        <v>-7600</v>
      </c>
      <c r="G19" s="59">
        <f t="shared" si="18"/>
        <v>-3554</v>
      </c>
      <c r="H19" s="59">
        <f t="shared" si="18"/>
        <v>0</v>
      </c>
      <c r="I19" s="59">
        <f t="shared" si="18"/>
        <v>0</v>
      </c>
      <c r="J19" s="59">
        <f t="shared" si="18"/>
        <v>0</v>
      </c>
      <c r="K19" s="59">
        <f t="shared" si="18"/>
        <v>0</v>
      </c>
      <c r="L19" s="59">
        <f t="shared" si="18"/>
        <v>0</v>
      </c>
      <c r="M19" s="60">
        <f t="shared" si="18"/>
        <v>0</v>
      </c>
    </row>
    <row r="20" spans="1:18">
      <c r="A20" s="136" t="s">
        <v>536</v>
      </c>
      <c r="B20" s="62">
        <f t="shared" ref="B20" si="19">IFERROR(B19/B$5,"-")</f>
        <v>0.19274084763308968</v>
      </c>
      <c r="C20" s="62">
        <f t="shared" ref="C20" si="20">IFERROR(C19/C$5,"-")</f>
        <v>-0.35657404755084504</v>
      </c>
      <c r="D20" s="62">
        <f t="shared" ref="D20" si="21">IFERROR(D19/D$5,"-")</f>
        <v>-0.23906993446449412</v>
      </c>
      <c r="E20" s="62">
        <f t="shared" ref="E20" si="22">IFERROR(E19/E$5,"-")</f>
        <v>-0.68046153846153845</v>
      </c>
      <c r="F20" s="62">
        <f t="shared" ref="F20" si="23">IFERROR(F19/F$5,"-")</f>
        <v>-0.72845777820377644</v>
      </c>
      <c r="G20" s="62">
        <f t="shared" ref="G20" si="24">IFERROR(G19/G$5,"-")</f>
        <v>-0.4480584972264246</v>
      </c>
      <c r="H20" s="62" t="str">
        <f t="shared" ref="H20" si="25">IFERROR(H19/H$5,"-")</f>
        <v>-</v>
      </c>
      <c r="I20" s="62" t="str">
        <f t="shared" ref="I20" si="26">IFERROR(I19/I$5,"-")</f>
        <v>-</v>
      </c>
      <c r="J20" s="62" t="str">
        <f t="shared" ref="J20" si="27">IFERROR(J19/J$5,"-")</f>
        <v>-</v>
      </c>
      <c r="K20" s="62" t="str">
        <f t="shared" ref="K20" si="28">IFERROR(K19/K$5,"-")</f>
        <v>-</v>
      </c>
      <c r="L20" s="62" t="str">
        <f t="shared" ref="L20" si="29">IFERROR(L19/L$5,"-")</f>
        <v>-</v>
      </c>
      <c r="M20" s="63" t="str">
        <f t="shared" ref="M20" si="30">IFERROR(M19/M$5,"-")</f>
        <v>-</v>
      </c>
      <c r="P20" s="345"/>
      <c r="Q20" s="345"/>
      <c r="R20" s="345"/>
    </row>
    <row r="21" spans="1:18">
      <c r="A21" s="135" t="s">
        <v>267</v>
      </c>
      <c r="B21" s="59">
        <f>_xlfn.XLOOKUP($A21,Inputs!$A:$A,Inputs!B:B,,0)</f>
        <v>-181</v>
      </c>
      <c r="C21" s="59">
        <f>_xlfn.XLOOKUP($A21,Inputs!$A:$A,Inputs!C:C,,0)</f>
        <v>-492</v>
      </c>
      <c r="D21" s="59">
        <f>_xlfn.XLOOKUP($A21,Inputs!$A:$A,Inputs!D:D,,0)</f>
        <v>-192</v>
      </c>
      <c r="E21" s="59">
        <f>_xlfn.XLOOKUP($A21,Inputs!$A:$A,Inputs!E:E,,0)</f>
        <v>45</v>
      </c>
      <c r="F21" s="59">
        <f>_xlfn.XLOOKUP($A21,Inputs!$A:$A,Inputs!F:F,,0)</f>
        <v>283</v>
      </c>
      <c r="G21" s="59">
        <f>_xlfn.XLOOKUP($A21,Inputs!$A:$A,Inputs!G:G,,0)</f>
        <v>-542</v>
      </c>
      <c r="H21" s="59">
        <f>_xlfn.XLOOKUP($A21,Inputs!$A:$A,Inputs!H:H,,0)</f>
        <v>0</v>
      </c>
      <c r="I21" s="59">
        <f>_xlfn.XLOOKUP($A21,Inputs!$A:$A,Inputs!I:I,,0)</f>
        <v>0</v>
      </c>
      <c r="J21" s="59">
        <f>_xlfn.XLOOKUP($A21,Inputs!$A:$A,Inputs!J:J,,0)</f>
        <v>0</v>
      </c>
      <c r="K21" s="59">
        <f>_xlfn.XLOOKUP($A21,Inputs!$A:$A,Inputs!K:K,,0)</f>
        <v>0</v>
      </c>
      <c r="L21" s="59">
        <f>_xlfn.XLOOKUP($A21,Inputs!$A:$A,Inputs!L:L,,0)</f>
        <v>0</v>
      </c>
      <c r="M21" s="60">
        <f>_xlfn.XLOOKUP($A21,Inputs!$A:$A,Inputs!M:M,,0)</f>
        <v>0</v>
      </c>
    </row>
    <row r="22" spans="1:18">
      <c r="A22" s="136" t="s">
        <v>537</v>
      </c>
      <c r="B22" s="62">
        <f t="shared" ref="B22" si="31">IFERROR(B21/B$5,"-")</f>
        <v>-5.6780751011701229E-3</v>
      </c>
      <c r="C22" s="62">
        <f t="shared" ref="C22" si="32">IFERROR(C21/C$5,"-")</f>
        <v>-2.8186765969636207E-2</v>
      </c>
      <c r="D22" s="62">
        <f t="shared" ref="D22" si="33">IFERROR(D21/D$5,"-")</f>
        <v>-1.723673579315917E-2</v>
      </c>
      <c r="E22" s="62">
        <f t="shared" ref="E22" si="34">IFERROR(E21/E$5,"-")</f>
        <v>3.4615384615384616E-3</v>
      </c>
      <c r="F22" s="62">
        <f t="shared" ref="F22" si="35">IFERROR(F21/F$5,"-")</f>
        <v>2.7125467267324836E-2</v>
      </c>
      <c r="G22" s="62">
        <f t="shared" ref="G22" si="36">IFERROR(G21/G$5,"-")</f>
        <v>-6.833081190115986E-2</v>
      </c>
      <c r="H22" s="62" t="str">
        <f t="shared" ref="H22" si="37">IFERROR(H21/H$5,"-")</f>
        <v>-</v>
      </c>
      <c r="I22" s="62" t="str">
        <f t="shared" ref="I22" si="38">IFERROR(I21/I$5,"-")</f>
        <v>-</v>
      </c>
      <c r="J22" s="62" t="str">
        <f t="shared" ref="J22" si="39">IFERROR(J21/J$5,"-")</f>
        <v>-</v>
      </c>
      <c r="K22" s="62" t="str">
        <f t="shared" ref="K22" si="40">IFERROR(K21/K$5,"-")</f>
        <v>-</v>
      </c>
      <c r="L22" s="62" t="str">
        <f t="shared" ref="L22" si="41">IFERROR(L21/L$5,"-")</f>
        <v>-</v>
      </c>
      <c r="M22" s="63" t="str">
        <f t="shared" ref="M22" si="42">IFERROR(M21/M$5,"-")</f>
        <v>-</v>
      </c>
    </row>
    <row r="23" spans="1:18">
      <c r="A23" s="135" t="s">
        <v>69</v>
      </c>
      <c r="B23" s="59">
        <f>_xlfn.XLOOKUP($A23,Inputs!$A:$A,Inputs!B:B,,0)</f>
        <v>-9141</v>
      </c>
      <c r="C23" s="59">
        <f>_xlfn.XLOOKUP($A23,Inputs!$A:$A,Inputs!C:C,,0)</f>
        <v>-496</v>
      </c>
      <c r="D23" s="59">
        <f>_xlfn.XLOOKUP($A23,Inputs!$A:$A,Inputs!D:D,,0)</f>
        <v>-6768</v>
      </c>
      <c r="E23" s="59">
        <f>_xlfn.XLOOKUP($A23,Inputs!$A:$A,Inputs!E:E,,0)</f>
        <v>-8512</v>
      </c>
      <c r="F23" s="59">
        <f>_xlfn.XLOOKUP($A23,Inputs!$A:$A,Inputs!F:F,,0)</f>
        <v>987</v>
      </c>
      <c r="G23" s="59">
        <f>_xlfn.XLOOKUP($A23,Inputs!$A:$A,Inputs!G:G,,0)</f>
        <v>-4033</v>
      </c>
      <c r="H23" s="59">
        <f>_xlfn.XLOOKUP($A23,Inputs!$A:$A,Inputs!H:H,,0)</f>
        <v>0</v>
      </c>
      <c r="I23" s="59">
        <f>_xlfn.XLOOKUP($A23,Inputs!$A:$A,Inputs!I:I,,0)</f>
        <v>0</v>
      </c>
      <c r="J23" s="59">
        <f>_xlfn.XLOOKUP($A23,Inputs!$A:$A,Inputs!J:J,,0)</f>
        <v>0</v>
      </c>
      <c r="K23" s="59">
        <f>_xlfn.XLOOKUP($A23,Inputs!$A:$A,Inputs!K:K,,0)</f>
        <v>0</v>
      </c>
      <c r="L23" s="59">
        <f>_xlfn.XLOOKUP($A23,Inputs!$A:$A,Inputs!L:L,,0)</f>
        <v>0</v>
      </c>
      <c r="M23" s="60">
        <f>_xlfn.XLOOKUP($A23,Inputs!$A:$A,Inputs!M:M,,0)</f>
        <v>0</v>
      </c>
    </row>
    <row r="24" spans="1:18">
      <c r="A24" s="136" t="s">
        <v>231</v>
      </c>
      <c r="B24" s="62">
        <f t="shared" ref="B24" si="43">IFERROR(B23/B$5,"-")</f>
        <v>-0.28675847789942593</v>
      </c>
      <c r="C24" s="62">
        <f t="shared" ref="C24" si="44">IFERROR(C23/C$5,"-")</f>
        <v>-2.8415926668576338E-2</v>
      </c>
      <c r="D24" s="62">
        <f t="shared" ref="D24" si="45">IFERROR(D23/D$5,"-")</f>
        <v>-0.60759493670886078</v>
      </c>
      <c r="E24" s="62">
        <f t="shared" ref="E24" si="46">IFERROR(E23/E$5,"-")</f>
        <v>-0.65476923076923077</v>
      </c>
      <c r="F24" s="62">
        <f t="shared" ref="F24" si="47">IFERROR(F23/F$5,"-")</f>
        <v>9.4603661458832547E-2</v>
      </c>
      <c r="G24" s="62">
        <f t="shared" ref="G24" si="48">IFERROR(G23/G$5,"-")</f>
        <v>-0.50844679778113966</v>
      </c>
      <c r="H24" s="62" t="str">
        <f t="shared" ref="H24" si="49">IFERROR(H23/H$5,"-")</f>
        <v>-</v>
      </c>
      <c r="I24" s="62" t="str">
        <f t="shared" ref="I24" si="50">IFERROR(I23/I$5,"-")</f>
        <v>-</v>
      </c>
      <c r="J24" s="62" t="str">
        <f t="shared" ref="J24" si="51">IFERROR(J23/J$5,"-")</f>
        <v>-</v>
      </c>
      <c r="K24" s="62" t="str">
        <f t="shared" ref="K24" si="52">IFERROR(K23/K$5,"-")</f>
        <v>-</v>
      </c>
      <c r="L24" s="62" t="str">
        <f t="shared" ref="L24" si="53">IFERROR(L23/L$5,"-")</f>
        <v>-</v>
      </c>
      <c r="M24" s="63" t="str">
        <f t="shared" ref="M24" si="54">IFERROR(M23/M$5,"-")</f>
        <v>-</v>
      </c>
    </row>
    <row r="25" spans="1:18">
      <c r="A25" s="135" t="s">
        <v>529</v>
      </c>
      <c r="B25" s="62">
        <f t="shared" ref="B25" si="55">IFERROR(B24/C24-1,"-")</f>
        <v>9.091470225271129</v>
      </c>
      <c r="C25" s="62">
        <f t="shared" ref="C25" si="56">IFERROR(C24/D24-1,"-")</f>
        <v>-0.95323212069130148</v>
      </c>
      <c r="D25" s="62">
        <f t="shared" ref="D25" si="57">IFERROR(D24/E24-1,"-")</f>
        <v>-7.2047206624155313E-2</v>
      </c>
      <c r="E25" s="62">
        <f t="shared" ref="E25" si="58">IFERROR(E24/F24-1,"-")</f>
        <v>-7.9211827605019094</v>
      </c>
      <c r="F25" s="62">
        <f t="shared" ref="F25" si="59">IFERROR(F24/G24-1,"-")</f>
        <v>-1.1860640324055194</v>
      </c>
      <c r="G25" s="62" t="str">
        <f t="shared" ref="G25" si="60">IFERROR(G24/H24-1,"-")</f>
        <v>-</v>
      </c>
      <c r="H25" s="62" t="str">
        <f t="shared" ref="H25" si="61">IFERROR(H24/I24-1,"-")</f>
        <v>-</v>
      </c>
      <c r="I25" s="62" t="str">
        <f t="shared" ref="I25" si="62">IFERROR(I24/J24-1,"-")</f>
        <v>-</v>
      </c>
      <c r="J25" s="62" t="str">
        <f t="shared" ref="J25" si="63">IFERROR(J24/K24-1,"-")</f>
        <v>-</v>
      </c>
      <c r="K25" s="62" t="str">
        <f t="shared" ref="K25" si="64">IFERROR(K24/L24-1,"-")</f>
        <v>-</v>
      </c>
      <c r="L25" s="62" t="str">
        <f t="shared" ref="L25" si="65">IFERROR(L24/M24-1,"-")</f>
        <v>-</v>
      </c>
      <c r="M25" s="63" t="str">
        <f>IFERROR(M24/#REF!-1,"-")</f>
        <v>-</v>
      </c>
    </row>
    <row r="26" spans="1:18">
      <c r="A26" s="136" t="s">
        <v>538</v>
      </c>
      <c r="B26" s="65">
        <f>B39-C39</f>
        <v>-87</v>
      </c>
      <c r="C26" s="65">
        <f t="shared" ref="C26:M26" si="66">C39-D39</f>
        <v>-1352</v>
      </c>
      <c r="D26" s="65">
        <f t="shared" si="66"/>
        <v>-5226</v>
      </c>
      <c r="E26" s="65">
        <f t="shared" si="66"/>
        <v>4467</v>
      </c>
      <c r="F26" s="65">
        <f t="shared" si="66"/>
        <v>1871</v>
      </c>
      <c r="G26" s="65">
        <f t="shared" si="66"/>
        <v>4535</v>
      </c>
      <c r="H26" s="65">
        <f t="shared" si="66"/>
        <v>0</v>
      </c>
      <c r="I26" s="65">
        <f t="shared" si="66"/>
        <v>0</v>
      </c>
      <c r="J26" s="65">
        <f t="shared" si="66"/>
        <v>0</v>
      </c>
      <c r="K26" s="65">
        <f t="shared" si="66"/>
        <v>0</v>
      </c>
      <c r="L26" s="65">
        <f t="shared" si="66"/>
        <v>0</v>
      </c>
      <c r="M26" s="60">
        <f t="shared" si="66"/>
        <v>0</v>
      </c>
    </row>
    <row r="27" spans="1:18">
      <c r="A27" s="135" t="s">
        <v>135</v>
      </c>
      <c r="B27" s="59">
        <f>_xlfn.XLOOKUP($A27,Inputs!$A:$A,Inputs!B:B,,0)</f>
        <v>0</v>
      </c>
      <c r="C27" s="59">
        <f>_xlfn.XLOOKUP($A27,Inputs!$A:$A,Inputs!C:C,,0)</f>
        <v>0</v>
      </c>
      <c r="D27" s="59">
        <f>_xlfn.XLOOKUP($A27,Inputs!$A:$A,Inputs!D:D,,0)</f>
        <v>0</v>
      </c>
      <c r="E27" s="59">
        <f>_xlfn.XLOOKUP($A27,Inputs!$A:$A,Inputs!E:E,,0)</f>
        <v>0</v>
      </c>
      <c r="F27" s="59">
        <f>_xlfn.XLOOKUP($A27,Inputs!$A:$A,Inputs!F:F,,0)</f>
        <v>0</v>
      </c>
      <c r="G27" s="59">
        <f>_xlfn.XLOOKUP($A27,Inputs!$A:$A,Inputs!G:G,,0)</f>
        <v>0</v>
      </c>
      <c r="H27" s="59">
        <f>_xlfn.XLOOKUP($A27,Inputs!$A:$A,Inputs!H:H,,0)</f>
        <v>0</v>
      </c>
      <c r="I27" s="59">
        <f>_xlfn.XLOOKUP($A27,Inputs!$A:$A,Inputs!I:I,,0)</f>
        <v>0</v>
      </c>
      <c r="J27" s="59">
        <f>_xlfn.XLOOKUP($A27,Inputs!$A:$A,Inputs!J:J,,0)</f>
        <v>0</v>
      </c>
      <c r="K27" s="59">
        <f>_xlfn.XLOOKUP($A27,Inputs!$A:$A,Inputs!K:K,,0)</f>
        <v>0</v>
      </c>
      <c r="L27" s="59">
        <f>_xlfn.XLOOKUP($A27,Inputs!$A:$A,Inputs!L:L,,0)</f>
        <v>0</v>
      </c>
      <c r="M27" s="60">
        <f>_xlfn.XLOOKUP($A27,Inputs!$A:$A,Inputs!M:M,,0)</f>
        <v>0</v>
      </c>
    </row>
    <row r="28" spans="1:18">
      <c r="A28" s="137" t="s">
        <v>539</v>
      </c>
      <c r="B28" s="59">
        <f>_xlfn.XLOOKUP($A28,Inputs!$A:$A,Inputs!B:B,,0)</f>
        <v>0</v>
      </c>
      <c r="C28" s="59">
        <f>_xlfn.XLOOKUP($A28,Inputs!$A:$A,Inputs!C:C,,0)</f>
        <v>0</v>
      </c>
      <c r="D28" s="59">
        <f>_xlfn.XLOOKUP($A28,Inputs!$A:$A,Inputs!D:D,,0)</f>
        <v>0</v>
      </c>
      <c r="E28" s="59">
        <f>_xlfn.XLOOKUP($A28,Inputs!$A:$A,Inputs!E:E,,0)</f>
        <v>0</v>
      </c>
      <c r="F28" s="59">
        <f>_xlfn.XLOOKUP($A28,Inputs!$A:$A,Inputs!F:F,,0)</f>
        <v>-10</v>
      </c>
      <c r="G28" s="59">
        <f>_xlfn.XLOOKUP($A28,Inputs!$A:$A,Inputs!G:G,,0)</f>
        <v>-131</v>
      </c>
      <c r="H28" s="59">
        <f>_xlfn.XLOOKUP($A28,Inputs!$A:$A,Inputs!H:H,,0)</f>
        <v>0</v>
      </c>
      <c r="I28" s="59">
        <f>_xlfn.XLOOKUP($A28,Inputs!$A:$A,Inputs!I:I,,0)</f>
        <v>0</v>
      </c>
      <c r="J28" s="59">
        <f>_xlfn.XLOOKUP($A28,Inputs!$A:$A,Inputs!J:J,,0)</f>
        <v>0</v>
      </c>
      <c r="K28" s="59">
        <f>_xlfn.XLOOKUP($A28,Inputs!$A:$A,Inputs!K:K,,0)</f>
        <v>0</v>
      </c>
      <c r="L28" s="59">
        <f>_xlfn.XLOOKUP($A28,Inputs!$A:$A,Inputs!L:L,,0)</f>
        <v>0</v>
      </c>
      <c r="M28" s="60">
        <f>_xlfn.XLOOKUP($A28,Inputs!$A:$A,Inputs!M:M,,0)</f>
        <v>0</v>
      </c>
    </row>
    <row r="29" spans="1:18">
      <c r="A29" s="135" t="s">
        <v>127</v>
      </c>
      <c r="B29" s="65">
        <f>SUM(B26:B28)</f>
        <v>-87</v>
      </c>
      <c r="C29" s="65">
        <f t="shared" ref="C29:M29" si="67">SUM(C26:C28)</f>
        <v>-1352</v>
      </c>
      <c r="D29" s="65">
        <f t="shared" si="67"/>
        <v>-5226</v>
      </c>
      <c r="E29" s="65">
        <f t="shared" si="67"/>
        <v>4467</v>
      </c>
      <c r="F29" s="65">
        <f t="shared" si="67"/>
        <v>1861</v>
      </c>
      <c r="G29" s="65">
        <f t="shared" si="67"/>
        <v>4404</v>
      </c>
      <c r="H29" s="65">
        <f t="shared" si="67"/>
        <v>0</v>
      </c>
      <c r="I29" s="65">
        <f t="shared" si="67"/>
        <v>0</v>
      </c>
      <c r="J29" s="65">
        <f t="shared" si="67"/>
        <v>0</v>
      </c>
      <c r="K29" s="65">
        <f t="shared" si="67"/>
        <v>0</v>
      </c>
      <c r="L29" s="65">
        <f t="shared" si="67"/>
        <v>0</v>
      </c>
      <c r="M29" s="60">
        <f t="shared" si="67"/>
        <v>0</v>
      </c>
    </row>
    <row r="30" spans="1:18">
      <c r="A30" s="137" t="s">
        <v>540</v>
      </c>
      <c r="B30" s="65">
        <f>+B29-(B58-C29)</f>
        <v>-12578</v>
      </c>
      <c r="C30" s="65">
        <f t="shared" ref="C30:M30" si="68">+C29-(C58-D29)</f>
        <v>-17683</v>
      </c>
      <c r="D30" s="65">
        <f t="shared" si="68"/>
        <v>-10038</v>
      </c>
      <c r="E30" s="65">
        <f t="shared" si="68"/>
        <v>-1098</v>
      </c>
      <c r="F30" s="65">
        <f t="shared" si="68"/>
        <v>-604</v>
      </c>
      <c r="G30" s="65">
        <f t="shared" si="68"/>
        <v>4404</v>
      </c>
      <c r="H30" s="65">
        <f t="shared" si="68"/>
        <v>0</v>
      </c>
      <c r="I30" s="65">
        <f t="shared" si="68"/>
        <v>0</v>
      </c>
      <c r="J30" s="65">
        <f t="shared" si="68"/>
        <v>0</v>
      </c>
      <c r="K30" s="65">
        <f t="shared" si="68"/>
        <v>0</v>
      </c>
      <c r="L30" s="65">
        <f t="shared" si="68"/>
        <v>0</v>
      </c>
      <c r="M30" s="60">
        <f t="shared" si="68"/>
        <v>0</v>
      </c>
    </row>
    <row r="31" spans="1:18">
      <c r="A31" s="135" t="s">
        <v>541</v>
      </c>
      <c r="B31" s="65">
        <f>+B30+B33</f>
        <v>-13717</v>
      </c>
      <c r="C31" s="65">
        <f t="shared" ref="C31:L31" si="69">+C30+C33</f>
        <v>-18301</v>
      </c>
      <c r="D31" s="65">
        <f t="shared" si="69"/>
        <v>-12169</v>
      </c>
      <c r="E31" s="65">
        <f t="shared" si="69"/>
        <v>-1351</v>
      </c>
      <c r="F31" s="65">
        <f t="shared" si="69"/>
        <v>-1080</v>
      </c>
      <c r="G31" s="65">
        <f t="shared" si="69"/>
        <v>4404</v>
      </c>
      <c r="H31" s="65">
        <f t="shared" si="69"/>
        <v>0</v>
      </c>
      <c r="I31" s="65">
        <f t="shared" si="69"/>
        <v>0</v>
      </c>
      <c r="J31" s="65">
        <f t="shared" si="69"/>
        <v>0</v>
      </c>
      <c r="K31" s="65">
        <f t="shared" si="69"/>
        <v>0</v>
      </c>
      <c r="L31" s="65">
        <f t="shared" si="69"/>
        <v>0</v>
      </c>
      <c r="M31" s="60">
        <f t="shared" ref="M31" si="70">+M30+M33</f>
        <v>0</v>
      </c>
    </row>
    <row r="32" spans="1:18">
      <c r="A32" s="137" t="s">
        <v>132</v>
      </c>
      <c r="B32" s="59">
        <f>_xlfn.XLOOKUP($A32,Inputs!$A:$A,Inputs!B:B,,0)</f>
        <v>-252</v>
      </c>
      <c r="C32" s="59">
        <f>_xlfn.XLOOKUP($A32,Inputs!$A:$A,Inputs!C:C,,0)</f>
        <v>-298</v>
      </c>
      <c r="D32" s="59">
        <f>_xlfn.XLOOKUP($A32,Inputs!$A:$A,Inputs!D:D,,0)</f>
        <v>-616</v>
      </c>
      <c r="E32" s="59">
        <f>_xlfn.XLOOKUP($A32,Inputs!$A:$A,Inputs!E:E,,0)</f>
        <v>-588</v>
      </c>
      <c r="F32" s="59">
        <f>_xlfn.XLOOKUP($A32,Inputs!$A:$A,Inputs!F:F,,0)</f>
        <v>-558</v>
      </c>
      <c r="G32" s="59">
        <f>_xlfn.XLOOKUP($A32,Inputs!$A:$A,Inputs!G:G,,0)</f>
        <v>0</v>
      </c>
      <c r="H32" s="59">
        <f>_xlfn.XLOOKUP($A32,Inputs!$A:$A,Inputs!H:H,,0)</f>
        <v>0</v>
      </c>
      <c r="I32" s="59">
        <f>_xlfn.XLOOKUP($A32,Inputs!$A:$A,Inputs!I:I,,0)</f>
        <v>0</v>
      </c>
      <c r="J32" s="59">
        <f>_xlfn.XLOOKUP($A32,Inputs!$A:$A,Inputs!J:J,,0)</f>
        <v>0</v>
      </c>
      <c r="K32" s="59">
        <f>_xlfn.XLOOKUP($A32,Inputs!$A:$A,Inputs!K:K,,0)</f>
        <v>0</v>
      </c>
      <c r="L32" s="59">
        <f>_xlfn.XLOOKUP($A32,Inputs!$A:$A,Inputs!L:L,,0)</f>
        <v>0</v>
      </c>
      <c r="M32" s="60">
        <f>_xlfn.XLOOKUP($A32,Inputs!$A:$A,Inputs!M:M,,0)</f>
        <v>0</v>
      </c>
    </row>
    <row r="33" spans="1:13">
      <c r="A33" s="135" t="s">
        <v>133</v>
      </c>
      <c r="B33" s="59">
        <f>_xlfn.XLOOKUP($A33,Inputs!$A:$A,Inputs!B:B,,0)</f>
        <v>-1139</v>
      </c>
      <c r="C33" s="59">
        <f>_xlfn.XLOOKUP($A33,Inputs!$A:$A,Inputs!C:C,,0)</f>
        <v>-618</v>
      </c>
      <c r="D33" s="59">
        <f>_xlfn.XLOOKUP($A33,Inputs!$A:$A,Inputs!D:D,,0)</f>
        <v>-2131</v>
      </c>
      <c r="E33" s="59">
        <f>_xlfn.XLOOKUP($A33,Inputs!$A:$A,Inputs!E:E,,0)</f>
        <v>-253</v>
      </c>
      <c r="F33" s="59">
        <f>_xlfn.XLOOKUP($A33,Inputs!$A:$A,Inputs!F:F,,0)</f>
        <v>-476</v>
      </c>
      <c r="G33" s="59">
        <f>_xlfn.XLOOKUP($A33,Inputs!$A:$A,Inputs!G:G,,0)</f>
        <v>0</v>
      </c>
      <c r="H33" s="59">
        <f>_xlfn.XLOOKUP($A33,Inputs!$A:$A,Inputs!H:H,,0)</f>
        <v>0</v>
      </c>
      <c r="I33" s="59">
        <f>_xlfn.XLOOKUP($A33,Inputs!$A:$A,Inputs!I:I,,0)</f>
        <v>0</v>
      </c>
      <c r="J33" s="59">
        <f>_xlfn.XLOOKUP($A33,Inputs!$A:$A,Inputs!J:J,,0)</f>
        <v>0</v>
      </c>
      <c r="K33" s="59">
        <f>_xlfn.XLOOKUP($A33,Inputs!$A:$A,Inputs!K:K,,0)</f>
        <v>0</v>
      </c>
      <c r="L33" s="59">
        <f>_xlfn.XLOOKUP($A33,Inputs!$A:$A,Inputs!L:L,,0)</f>
        <v>0</v>
      </c>
      <c r="M33" s="60">
        <f>_xlfn.XLOOKUP($A33,Inputs!$A:$A,Inputs!M:M,,0)</f>
        <v>0</v>
      </c>
    </row>
    <row r="34" spans="1:13">
      <c r="A34" s="136" t="s">
        <v>128</v>
      </c>
      <c r="B34" s="65">
        <f t="shared" ref="B34:M34" si="71">+B32+B33</f>
        <v>-1391</v>
      </c>
      <c r="C34" s="65">
        <f t="shared" si="71"/>
        <v>-916</v>
      </c>
      <c r="D34" s="65">
        <f t="shared" si="71"/>
        <v>-2747</v>
      </c>
      <c r="E34" s="65">
        <f t="shared" si="71"/>
        <v>-841</v>
      </c>
      <c r="F34" s="65">
        <f t="shared" si="71"/>
        <v>-1034</v>
      </c>
      <c r="G34" s="65">
        <f t="shared" si="71"/>
        <v>0</v>
      </c>
      <c r="H34" s="65">
        <f t="shared" si="71"/>
        <v>0</v>
      </c>
      <c r="I34" s="65">
        <f t="shared" si="71"/>
        <v>0</v>
      </c>
      <c r="J34" s="65">
        <f t="shared" si="71"/>
        <v>0</v>
      </c>
      <c r="K34" s="65">
        <f t="shared" si="71"/>
        <v>0</v>
      </c>
      <c r="L34" s="65">
        <f t="shared" si="71"/>
        <v>0</v>
      </c>
      <c r="M34" s="66">
        <f t="shared" si="71"/>
        <v>0</v>
      </c>
    </row>
    <row r="35" spans="1:13">
      <c r="A35" s="135" t="s">
        <v>126</v>
      </c>
      <c r="B35" s="65">
        <f t="shared" ref="B35:M35" si="72">+B27+B28</f>
        <v>0</v>
      </c>
      <c r="C35" s="65">
        <f t="shared" si="72"/>
        <v>0</v>
      </c>
      <c r="D35" s="65">
        <f t="shared" si="72"/>
        <v>0</v>
      </c>
      <c r="E35" s="65">
        <f t="shared" si="72"/>
        <v>0</v>
      </c>
      <c r="F35" s="65">
        <f t="shared" si="72"/>
        <v>-10</v>
      </c>
      <c r="G35" s="65">
        <f t="shared" si="72"/>
        <v>-131</v>
      </c>
      <c r="H35" s="65">
        <f t="shared" si="72"/>
        <v>0</v>
      </c>
      <c r="I35" s="65">
        <f t="shared" si="72"/>
        <v>0</v>
      </c>
      <c r="J35" s="65">
        <f t="shared" si="72"/>
        <v>0</v>
      </c>
      <c r="K35" s="65">
        <f t="shared" si="72"/>
        <v>0</v>
      </c>
      <c r="L35" s="65">
        <f t="shared" si="72"/>
        <v>0</v>
      </c>
      <c r="M35" s="66">
        <f t="shared" si="72"/>
        <v>0</v>
      </c>
    </row>
    <row r="36" spans="1:13">
      <c r="A36" s="137" t="s">
        <v>542</v>
      </c>
      <c r="B36" s="62">
        <f>IFERROR(B35/B23,"-")</f>
        <v>0</v>
      </c>
      <c r="C36" s="62">
        <f t="shared" ref="C36:M36" si="73">IFERROR(C35/C23,"-")</f>
        <v>0</v>
      </c>
      <c r="D36" s="62">
        <f t="shared" si="73"/>
        <v>0</v>
      </c>
      <c r="E36" s="62">
        <f t="shared" si="73"/>
        <v>0</v>
      </c>
      <c r="F36" s="62">
        <f t="shared" si="73"/>
        <v>-1.0131712259371834E-2</v>
      </c>
      <c r="G36" s="62">
        <f t="shared" si="73"/>
        <v>3.2482023307711383E-2</v>
      </c>
      <c r="H36" s="62" t="str">
        <f t="shared" si="73"/>
        <v>-</v>
      </c>
      <c r="I36" s="62" t="str">
        <f t="shared" si="73"/>
        <v>-</v>
      </c>
      <c r="J36" s="62" t="str">
        <f t="shared" si="73"/>
        <v>-</v>
      </c>
      <c r="K36" s="62" t="str">
        <f t="shared" si="73"/>
        <v>-</v>
      </c>
      <c r="L36" s="62" t="str">
        <f t="shared" si="73"/>
        <v>-</v>
      </c>
      <c r="M36" s="63" t="str">
        <f t="shared" si="73"/>
        <v>-</v>
      </c>
    </row>
    <row r="37" spans="1:13">
      <c r="A37" s="7"/>
      <c r="B37" s="766"/>
      <c r="C37" s="49"/>
      <c r="D37" s="49"/>
      <c r="E37" s="49"/>
      <c r="F37" s="49"/>
      <c r="G37" s="49"/>
      <c r="H37" s="49"/>
      <c r="I37" s="49"/>
      <c r="J37" s="49"/>
      <c r="K37" s="49"/>
      <c r="L37" s="49"/>
      <c r="M37" s="49"/>
    </row>
    <row r="38" spans="1:13" ht="20.100000000000001">
      <c r="A38" s="1130" t="s">
        <v>543</v>
      </c>
      <c r="B38" s="1130"/>
      <c r="C38" s="1130"/>
      <c r="D38" s="1130"/>
      <c r="E38" s="1130"/>
      <c r="F38" s="1130"/>
      <c r="G38" s="1130"/>
      <c r="H38" s="1130"/>
      <c r="I38" s="1130"/>
      <c r="J38" s="1130"/>
      <c r="K38" s="1130"/>
      <c r="L38" s="1130"/>
      <c r="M38" s="1130"/>
    </row>
    <row r="39" spans="1:13">
      <c r="A39" s="138" t="s">
        <v>269</v>
      </c>
      <c r="B39" s="59">
        <f>_xlfn.XLOOKUP($A39,Inputs!$A:$A,Inputs!B:B,,0)</f>
        <v>4208</v>
      </c>
      <c r="C39" s="59">
        <f>_xlfn.XLOOKUP($A39,Inputs!$A:$A,Inputs!C:C,,0)</f>
        <v>4295</v>
      </c>
      <c r="D39" s="59">
        <f>_xlfn.XLOOKUP($A39,Inputs!$A:$A,Inputs!D:D,,0)</f>
        <v>5647</v>
      </c>
      <c r="E39" s="59">
        <f>_xlfn.XLOOKUP($A39,Inputs!$A:$A,Inputs!E:E,,0)</f>
        <v>10873</v>
      </c>
      <c r="F39" s="59">
        <f>_xlfn.XLOOKUP($A39,Inputs!$A:$A,Inputs!F:F,,0)</f>
        <v>6406</v>
      </c>
      <c r="G39" s="59">
        <f>_xlfn.XLOOKUP($A39,Inputs!$A:$A,Inputs!G:G,,0)</f>
        <v>4535</v>
      </c>
      <c r="H39" s="59">
        <f>_xlfn.XLOOKUP($A39,Inputs!$A:$A,Inputs!H:H,,0)</f>
        <v>0</v>
      </c>
      <c r="I39" s="59">
        <f>_xlfn.XLOOKUP($A39,Inputs!$A:$A,Inputs!I:I,,0)</f>
        <v>0</v>
      </c>
      <c r="J39" s="59">
        <f>_xlfn.XLOOKUP($A39,Inputs!$A:$A,Inputs!J:J,,0)</f>
        <v>0</v>
      </c>
      <c r="K39" s="59">
        <f>_xlfn.XLOOKUP($A39,Inputs!$A:$A,Inputs!K:K,,0)</f>
        <v>0</v>
      </c>
      <c r="L39" s="59">
        <f>_xlfn.XLOOKUP($A39,Inputs!$A:$A,Inputs!L:L,,0)</f>
        <v>0</v>
      </c>
      <c r="M39" s="60">
        <f>_xlfn.XLOOKUP($A39,Inputs!$A:$A,Inputs!M:M,,0)</f>
        <v>0</v>
      </c>
    </row>
    <row r="40" spans="1:13">
      <c r="A40" s="136" t="s">
        <v>544</v>
      </c>
      <c r="B40" s="59">
        <f>_xlfn.XLOOKUP($A40,Inputs!$A:$A,Inputs!B:B,,0)</f>
        <v>2779</v>
      </c>
      <c r="C40" s="59">
        <f>_xlfn.XLOOKUP($A40,Inputs!$A:$A,Inputs!C:C,,0)</f>
        <v>2439</v>
      </c>
      <c r="D40" s="59">
        <f>_xlfn.XLOOKUP($A40,Inputs!$A:$A,Inputs!D:D,,0)</f>
        <v>1073</v>
      </c>
      <c r="E40" s="59">
        <f>_xlfn.XLOOKUP($A40,Inputs!$A:$A,Inputs!E:E,,0)</f>
        <v>1214</v>
      </c>
      <c r="F40" s="59">
        <f>_xlfn.XLOOKUP($A40,Inputs!$A:$A,Inputs!F:F,,0)</f>
        <v>919</v>
      </c>
      <c r="G40" s="59">
        <f>_xlfn.XLOOKUP($A40,Inputs!$A:$A,Inputs!G:G,,0)</f>
        <v>739</v>
      </c>
      <c r="H40" s="59">
        <f>_xlfn.XLOOKUP($A40,Inputs!$A:$A,Inputs!H:H,,0)</f>
        <v>0</v>
      </c>
      <c r="I40" s="59">
        <f>_xlfn.XLOOKUP($A40,Inputs!$A:$A,Inputs!I:I,,0)</f>
        <v>0</v>
      </c>
      <c r="J40" s="59">
        <f>_xlfn.XLOOKUP($A40,Inputs!$A:$A,Inputs!J:J,,0)</f>
        <v>0</v>
      </c>
      <c r="K40" s="59">
        <f>_xlfn.XLOOKUP($A40,Inputs!$A:$A,Inputs!K:K,,0)</f>
        <v>0</v>
      </c>
      <c r="L40" s="59">
        <f>_xlfn.XLOOKUP($A40,Inputs!$A:$A,Inputs!L:L,,0)</f>
        <v>0</v>
      </c>
      <c r="M40" s="60">
        <f>_xlfn.XLOOKUP($A40,Inputs!$A:$A,Inputs!M:M,,0)</f>
        <v>0</v>
      </c>
    </row>
    <row r="41" spans="1:13">
      <c r="A41" s="138" t="s">
        <v>271</v>
      </c>
      <c r="B41" s="59">
        <f>_xlfn.XLOOKUP($A41,Inputs!$A:$A,Inputs!B:B,,0)</f>
        <v>0</v>
      </c>
      <c r="C41" s="59">
        <f>_xlfn.XLOOKUP($A41,Inputs!$A:$A,Inputs!C:C,,0)</f>
        <v>0</v>
      </c>
      <c r="D41" s="59">
        <f>_xlfn.XLOOKUP($A41,Inputs!$A:$A,Inputs!D:D,,0)</f>
        <v>0</v>
      </c>
      <c r="E41" s="59">
        <f>_xlfn.XLOOKUP($A41,Inputs!$A:$A,Inputs!E:E,,0)</f>
        <v>0</v>
      </c>
      <c r="F41" s="59">
        <f>_xlfn.XLOOKUP($A41,Inputs!$A:$A,Inputs!F:F,,0)</f>
        <v>0</v>
      </c>
      <c r="G41" s="59">
        <f>_xlfn.XLOOKUP($A41,Inputs!$A:$A,Inputs!G:G,,0)</f>
        <v>0</v>
      </c>
      <c r="H41" s="59">
        <f>_xlfn.XLOOKUP($A41,Inputs!$A:$A,Inputs!H:H,,0)</f>
        <v>0</v>
      </c>
      <c r="I41" s="59">
        <f>_xlfn.XLOOKUP($A41,Inputs!$A:$A,Inputs!I:I,,0)</f>
        <v>0</v>
      </c>
      <c r="J41" s="59">
        <f>_xlfn.XLOOKUP($A41,Inputs!$A:$A,Inputs!J:J,,0)</f>
        <v>0</v>
      </c>
      <c r="K41" s="59">
        <f>_xlfn.XLOOKUP($A41,Inputs!$A:$A,Inputs!K:K,,0)</f>
        <v>0</v>
      </c>
      <c r="L41" s="59">
        <f>_xlfn.XLOOKUP($A41,Inputs!$A:$A,Inputs!L:L,,0)</f>
        <v>0</v>
      </c>
      <c r="M41" s="60">
        <f>_xlfn.XLOOKUP($A41,Inputs!$A:$A,Inputs!M:M,,0)</f>
        <v>0</v>
      </c>
    </row>
    <row r="42" spans="1:13">
      <c r="A42" s="136" t="s">
        <v>545</v>
      </c>
      <c r="B42" s="59">
        <f>_xlfn.XLOOKUP($A42,Inputs!$A:$A,Inputs!B:B,,0)</f>
        <v>2082</v>
      </c>
      <c r="C42" s="59">
        <f>_xlfn.XLOOKUP($A42,Inputs!$A:$A,Inputs!C:C,,0)</f>
        <v>1853</v>
      </c>
      <c r="D42" s="59">
        <f>_xlfn.XLOOKUP($A42,Inputs!$A:$A,Inputs!D:D,,0)</f>
        <v>1814</v>
      </c>
      <c r="E42" s="59">
        <f>_xlfn.XLOOKUP($A42,Inputs!$A:$A,Inputs!E:E,,0)</f>
        <v>1731</v>
      </c>
      <c r="F42" s="59">
        <f>_xlfn.XLOOKUP($A42,Inputs!$A:$A,Inputs!F:F,,0)</f>
        <v>1641</v>
      </c>
      <c r="G42" s="59">
        <f>_xlfn.XLOOKUP($A42,Inputs!$A:$A,Inputs!G:G,,0)</f>
        <v>1192</v>
      </c>
      <c r="H42" s="59">
        <f>_xlfn.XLOOKUP($A42,Inputs!$A:$A,Inputs!H:H,,0)</f>
        <v>0</v>
      </c>
      <c r="I42" s="59">
        <f>_xlfn.XLOOKUP($A42,Inputs!$A:$A,Inputs!I:I,,0)</f>
        <v>0</v>
      </c>
      <c r="J42" s="59">
        <f>_xlfn.XLOOKUP($A42,Inputs!$A:$A,Inputs!J:J,,0)</f>
        <v>0</v>
      </c>
      <c r="K42" s="59">
        <f>_xlfn.XLOOKUP($A42,Inputs!$A:$A,Inputs!K:K,,0)</f>
        <v>0</v>
      </c>
      <c r="L42" s="59">
        <f>_xlfn.XLOOKUP($A42,Inputs!$A:$A,Inputs!L:L,,0)</f>
        <v>0</v>
      </c>
      <c r="M42" s="60">
        <f>_xlfn.XLOOKUP($A42,Inputs!$A:$A,Inputs!M:M,,0)</f>
        <v>0</v>
      </c>
    </row>
    <row r="43" spans="1:13">
      <c r="A43" s="138" t="s">
        <v>546</v>
      </c>
      <c r="B43" s="59">
        <f>_xlfn.XLOOKUP($A43,Inputs!$A:$A,Inputs!B:B,,0)</f>
        <v>20721</v>
      </c>
      <c r="C43" s="59">
        <f>_xlfn.XLOOKUP($A43,Inputs!$A:$A,Inputs!C:C,,0)</f>
        <v>27999</v>
      </c>
      <c r="D43" s="59">
        <f>_xlfn.XLOOKUP($A43,Inputs!$A:$A,Inputs!D:D,,0)</f>
        <v>22365</v>
      </c>
      <c r="E43" s="59">
        <f>_xlfn.XLOOKUP($A43,Inputs!$A:$A,Inputs!E:E,,0)</f>
        <v>14985</v>
      </c>
      <c r="F43" s="59">
        <f>_xlfn.XLOOKUP($A43,Inputs!$A:$A,Inputs!F:F,,0)</f>
        <v>13710</v>
      </c>
      <c r="G43" s="59">
        <f>_xlfn.XLOOKUP($A43,Inputs!$A:$A,Inputs!G:G,,0)</f>
        <v>8960</v>
      </c>
      <c r="H43" s="59">
        <f>_xlfn.XLOOKUP($A43,Inputs!$A:$A,Inputs!H:H,,0)</f>
        <v>0</v>
      </c>
      <c r="I43" s="59">
        <f>_xlfn.XLOOKUP($A43,Inputs!$A:$A,Inputs!I:I,,0)</f>
        <v>0</v>
      </c>
      <c r="J43" s="59">
        <f>_xlfn.XLOOKUP($A43,Inputs!$A:$A,Inputs!J:J,,0)</f>
        <v>0</v>
      </c>
      <c r="K43" s="59">
        <f>_xlfn.XLOOKUP($A43,Inputs!$A:$A,Inputs!K:K,,0)</f>
        <v>0</v>
      </c>
      <c r="L43" s="59">
        <f>_xlfn.XLOOKUP($A43,Inputs!$A:$A,Inputs!L:L,,0)</f>
        <v>0</v>
      </c>
      <c r="M43" s="60">
        <f>_xlfn.XLOOKUP($A43,Inputs!$A:$A,Inputs!M:M,,0)</f>
        <v>0</v>
      </c>
    </row>
    <row r="44" spans="1:13">
      <c r="A44" s="139" t="s">
        <v>44</v>
      </c>
      <c r="B44" s="69">
        <f>_xlfn.XLOOKUP($A44,Inputs!$A:$A,Inputs!B:B,,0)</f>
        <v>32109</v>
      </c>
      <c r="C44" s="69">
        <f>_xlfn.XLOOKUP($A44,Inputs!$A:$A,Inputs!C:C,,0)</f>
        <v>38774</v>
      </c>
      <c r="D44" s="69">
        <f>_xlfn.XLOOKUP($A44,Inputs!$A:$A,Inputs!D:D,,0)</f>
        <v>33252</v>
      </c>
      <c r="E44" s="69">
        <f>_xlfn.XLOOKUP($A44,Inputs!$A:$A,Inputs!E:E,,0)</f>
        <v>31761</v>
      </c>
      <c r="F44" s="69">
        <f>_xlfn.XLOOKUP($A44,Inputs!$A:$A,Inputs!F:F,,0)</f>
        <v>23988</v>
      </c>
      <c r="G44" s="69">
        <f>_xlfn.XLOOKUP($A44,Inputs!$A:$A,Inputs!G:G,,0)</f>
        <v>15426</v>
      </c>
      <c r="H44" s="69">
        <f>_xlfn.XLOOKUP($A44,Inputs!$A:$A,Inputs!H:H,,0)</f>
        <v>0</v>
      </c>
      <c r="I44" s="69">
        <f>_xlfn.XLOOKUP($A44,Inputs!$A:$A,Inputs!I:I,,0)</f>
        <v>0</v>
      </c>
      <c r="J44" s="69">
        <f>_xlfn.XLOOKUP($A44,Inputs!$A:$A,Inputs!J:J,,0)</f>
        <v>0</v>
      </c>
      <c r="K44" s="69">
        <f>_xlfn.XLOOKUP($A44,Inputs!$A:$A,Inputs!K:K,,0)</f>
        <v>0</v>
      </c>
      <c r="L44" s="69">
        <f>_xlfn.XLOOKUP($A44,Inputs!$A:$A,Inputs!L:L,,0)</f>
        <v>0</v>
      </c>
      <c r="M44" s="69">
        <f>_xlfn.XLOOKUP($A44,Inputs!$A:$A,Inputs!M:M,,0)</f>
        <v>0</v>
      </c>
    </row>
    <row r="45" spans="1:13">
      <c r="B45"/>
      <c r="C45"/>
      <c r="D45"/>
      <c r="E45"/>
      <c r="F45"/>
      <c r="G45"/>
      <c r="H45"/>
      <c r="I45"/>
      <c r="J45"/>
      <c r="K45"/>
      <c r="L45"/>
      <c r="M45"/>
    </row>
    <row r="46" spans="1:13">
      <c r="B46"/>
      <c r="C46"/>
      <c r="D46"/>
      <c r="E46"/>
      <c r="F46"/>
      <c r="G46"/>
      <c r="H46"/>
      <c r="I46"/>
      <c r="J46"/>
      <c r="K46"/>
      <c r="L46"/>
      <c r="M46"/>
    </row>
    <row r="47" spans="1:13" ht="20.100000000000001">
      <c r="A47" s="1130" t="s">
        <v>547</v>
      </c>
      <c r="B47" s="1130"/>
      <c r="C47" s="1130"/>
      <c r="D47" s="1130"/>
      <c r="E47" s="1130"/>
      <c r="F47" s="1130"/>
      <c r="G47" s="1130"/>
      <c r="H47" s="1130"/>
      <c r="I47" s="1130"/>
      <c r="J47" s="1130"/>
      <c r="K47" s="1130"/>
      <c r="L47" s="1130"/>
      <c r="M47" s="1130"/>
    </row>
    <row r="48" spans="1:13">
      <c r="A48" s="140" t="s">
        <v>275</v>
      </c>
      <c r="B48" s="69">
        <f>_xlfn.XLOOKUP($A48,Inputs!$A:$A,Inputs!B:B,,0)</f>
        <v>8853</v>
      </c>
      <c r="C48" s="69">
        <f>_xlfn.XLOOKUP($A48,Inputs!$A:$A,Inputs!C:C,,0)</f>
        <v>9024</v>
      </c>
      <c r="D48" s="69">
        <f>_xlfn.XLOOKUP($A48,Inputs!$A:$A,Inputs!D:D,,0)</f>
        <v>6865</v>
      </c>
      <c r="E48" s="69">
        <f>_xlfn.XLOOKUP($A48,Inputs!$A:$A,Inputs!E:E,,0)</f>
        <v>5639</v>
      </c>
      <c r="F48" s="69">
        <f>_xlfn.XLOOKUP($A48,Inputs!$A:$A,Inputs!F:F,,0)</f>
        <v>4259</v>
      </c>
      <c r="G48" s="69">
        <f>_xlfn.XLOOKUP($A48,Inputs!$A:$A,Inputs!G:G,,0)</f>
        <v>3857</v>
      </c>
      <c r="H48" s="69">
        <f>_xlfn.XLOOKUP($A48,Inputs!$A:$A,Inputs!H:H,,0)</f>
        <v>0</v>
      </c>
      <c r="I48" s="69">
        <f>_xlfn.XLOOKUP($A48,Inputs!$A:$A,Inputs!I:I,,0)</f>
        <v>0</v>
      </c>
      <c r="J48" s="69">
        <f>_xlfn.XLOOKUP($A48,Inputs!$A:$A,Inputs!J:J,,0)</f>
        <v>0</v>
      </c>
      <c r="K48" s="69">
        <f>_xlfn.XLOOKUP($A48,Inputs!$A:$A,Inputs!K:K,,0)</f>
        <v>0</v>
      </c>
      <c r="L48" s="69">
        <f>_xlfn.XLOOKUP($A48,Inputs!$A:$A,Inputs!L:L,,0)</f>
        <v>0</v>
      </c>
      <c r="M48" s="69">
        <f>_xlfn.XLOOKUP($A48,Inputs!$A:$A,Inputs!M:M,,0)</f>
        <v>0</v>
      </c>
    </row>
    <row r="49" spans="1:13">
      <c r="A49" s="141" t="s">
        <v>548</v>
      </c>
      <c r="B49" s="59">
        <f>_xlfn.XLOOKUP($A49,Inputs!$A:$A,Inputs!B:B,,0)</f>
        <v>0</v>
      </c>
      <c r="C49" s="59">
        <f>_xlfn.XLOOKUP($A49,Inputs!$A:$A,Inputs!C:C,,0)</f>
        <v>0</v>
      </c>
      <c r="D49" s="59">
        <f>_xlfn.XLOOKUP($A49,Inputs!$A:$A,Inputs!D:D,,0)</f>
        <v>0</v>
      </c>
      <c r="E49" s="59">
        <f>_xlfn.XLOOKUP($A49,Inputs!$A:$A,Inputs!E:E,,0)</f>
        <v>0</v>
      </c>
      <c r="F49" s="59">
        <f>_xlfn.XLOOKUP($A49,Inputs!$A:$A,Inputs!F:F,,0)</f>
        <v>0</v>
      </c>
      <c r="G49" s="59">
        <f>_xlfn.XLOOKUP($A49,Inputs!$A:$A,Inputs!G:G,,0)</f>
        <v>0</v>
      </c>
      <c r="H49" s="59">
        <f>_xlfn.XLOOKUP($A49,Inputs!$A:$A,Inputs!H:H,,0)</f>
        <v>0</v>
      </c>
      <c r="I49" s="59">
        <f>_xlfn.XLOOKUP($A49,Inputs!$A:$A,Inputs!I:I,,0)</f>
        <v>0</v>
      </c>
      <c r="J49" s="59">
        <f>_xlfn.XLOOKUP($A49,Inputs!$A:$A,Inputs!J:J,,0)</f>
        <v>0</v>
      </c>
      <c r="K49" s="59">
        <f>_xlfn.XLOOKUP($A49,Inputs!$A:$A,Inputs!K:K,,0)</f>
        <v>0</v>
      </c>
      <c r="L49" s="59">
        <f>_xlfn.XLOOKUP($A49,Inputs!$A:$A,Inputs!L:L,,0)</f>
        <v>0</v>
      </c>
      <c r="M49" s="59">
        <f>_xlfn.XLOOKUP($A49,Inputs!$A:$A,Inputs!M:M,,0)</f>
        <v>0</v>
      </c>
    </row>
    <row r="50" spans="1:13">
      <c r="A50" s="135" t="s">
        <v>549</v>
      </c>
      <c r="B50" s="59">
        <f>_xlfn.XLOOKUP($A50,Inputs!$A:$A,Inputs!B:B,,0)</f>
        <v>201</v>
      </c>
      <c r="C50" s="59">
        <f>_xlfn.XLOOKUP($A50,Inputs!$A:$A,Inputs!C:C,,0)</f>
        <v>185</v>
      </c>
      <c r="D50" s="59">
        <f>_xlfn.XLOOKUP($A50,Inputs!$A:$A,Inputs!D:D,,0)</f>
        <v>175</v>
      </c>
      <c r="E50" s="59">
        <f>_xlfn.XLOOKUP($A50,Inputs!$A:$A,Inputs!E:E,,0)</f>
        <v>196</v>
      </c>
      <c r="F50" s="59">
        <f>_xlfn.XLOOKUP($A50,Inputs!$A:$A,Inputs!F:F,,0)</f>
        <v>0</v>
      </c>
      <c r="G50" s="59">
        <f>_xlfn.XLOOKUP($A50,Inputs!$A:$A,Inputs!G:G,,0)</f>
        <v>0</v>
      </c>
      <c r="H50" s="59">
        <f>_xlfn.XLOOKUP($A50,Inputs!$A:$A,Inputs!H:H,,0)</f>
        <v>0</v>
      </c>
      <c r="I50" s="59">
        <f>_xlfn.XLOOKUP($A50,Inputs!$A:$A,Inputs!I:I,,0)</f>
        <v>0</v>
      </c>
      <c r="J50" s="59">
        <f>_xlfn.XLOOKUP($A50,Inputs!$A:$A,Inputs!J:J,,0)</f>
        <v>0</v>
      </c>
      <c r="K50" s="59">
        <f>_xlfn.XLOOKUP($A50,Inputs!$A:$A,Inputs!K:K,,0)</f>
        <v>0</v>
      </c>
      <c r="L50" s="59">
        <f>_xlfn.XLOOKUP($A50,Inputs!$A:$A,Inputs!L:L,,0)</f>
        <v>0</v>
      </c>
      <c r="M50" s="59">
        <f>_xlfn.XLOOKUP($A50,Inputs!$A:$A,Inputs!M:M,,0)</f>
        <v>0</v>
      </c>
    </row>
    <row r="51" spans="1:13">
      <c r="A51" s="136" t="s">
        <v>550</v>
      </c>
      <c r="B51" s="59">
        <f>_xlfn.XLOOKUP($A51,Inputs!$A:$A,Inputs!B:B,,0)</f>
        <v>7924</v>
      </c>
      <c r="C51" s="59">
        <f>_xlfn.XLOOKUP($A51,Inputs!$A:$A,Inputs!C:C,,0)</f>
        <v>7979</v>
      </c>
      <c r="D51" s="59">
        <f>_xlfn.XLOOKUP($A51,Inputs!$A:$A,Inputs!D:D,,0)</f>
        <v>6455</v>
      </c>
      <c r="E51" s="59">
        <f>_xlfn.XLOOKUP($A51,Inputs!$A:$A,Inputs!E:E,,0)</f>
        <v>5171</v>
      </c>
      <c r="F51" s="59">
        <f>_xlfn.XLOOKUP($A51,Inputs!$A:$A,Inputs!F:F,,0)</f>
        <v>4109</v>
      </c>
      <c r="G51" s="59">
        <f>_xlfn.XLOOKUP($A51,Inputs!$A:$A,Inputs!G:G,,0)</f>
        <v>3857</v>
      </c>
      <c r="H51" s="59">
        <f>_xlfn.XLOOKUP($A51,Inputs!$A:$A,Inputs!H:H,,0)</f>
        <v>0</v>
      </c>
      <c r="I51" s="59">
        <f>_xlfn.XLOOKUP($A51,Inputs!$A:$A,Inputs!I:I,,0)</f>
        <v>0</v>
      </c>
      <c r="J51" s="59">
        <f>_xlfn.XLOOKUP($A51,Inputs!$A:$A,Inputs!J:J,,0)</f>
        <v>0</v>
      </c>
      <c r="K51" s="59">
        <f>_xlfn.XLOOKUP($A51,Inputs!$A:$A,Inputs!K:K,,0)</f>
        <v>0</v>
      </c>
      <c r="L51" s="59">
        <f>_xlfn.XLOOKUP($A51,Inputs!$A:$A,Inputs!L:L,,0)</f>
        <v>0</v>
      </c>
      <c r="M51" s="59">
        <f>_xlfn.XLOOKUP($A51,Inputs!$A:$A,Inputs!M:M,,0)</f>
        <v>0</v>
      </c>
    </row>
    <row r="52" spans="1:13">
      <c r="A52" s="140" t="s">
        <v>551</v>
      </c>
      <c r="B52" s="69">
        <f>_xlfn.XLOOKUP($A52,Inputs!$A:$A,Inputs!B:B,,0)</f>
        <v>14752</v>
      </c>
      <c r="C52" s="69">
        <f>_xlfn.XLOOKUP($A52,Inputs!$A:$A,Inputs!C:C,,0)</f>
        <v>14401</v>
      </c>
      <c r="D52" s="69">
        <f>_xlfn.XLOOKUP($A52,Inputs!$A:$A,Inputs!D:D,,0)</f>
        <v>12633</v>
      </c>
      <c r="E52" s="69">
        <f>_xlfn.XLOOKUP($A52,Inputs!$A:$A,Inputs!E:E,,0)</f>
        <v>10939</v>
      </c>
      <c r="F52" s="69">
        <f>_xlfn.XLOOKUP($A52,Inputs!$A:$A,Inputs!F:F,,0)</f>
        <v>12937</v>
      </c>
      <c r="G52" s="69">
        <f>_xlfn.XLOOKUP($A52,Inputs!$A:$A,Inputs!G:G,,0)</f>
        <v>-3857</v>
      </c>
      <c r="H52" s="69">
        <f>_xlfn.XLOOKUP($A52,Inputs!$A:$A,Inputs!H:H,,0)</f>
        <v>0</v>
      </c>
      <c r="I52" s="69">
        <f>_xlfn.XLOOKUP($A52,Inputs!$A:$A,Inputs!I:I,,0)</f>
        <v>0</v>
      </c>
      <c r="J52" s="69">
        <f>_xlfn.XLOOKUP($A52,Inputs!$A:$A,Inputs!J:J,,0)</f>
        <v>0</v>
      </c>
      <c r="K52" s="69">
        <f>_xlfn.XLOOKUP($A52,Inputs!$A:$A,Inputs!K:K,,0)</f>
        <v>0</v>
      </c>
      <c r="L52" s="69">
        <f>_xlfn.XLOOKUP($A52,Inputs!$A:$A,Inputs!L:L,,0)</f>
        <v>0</v>
      </c>
      <c r="M52" s="69">
        <f>_xlfn.XLOOKUP($A52,Inputs!$A:$A,Inputs!M:M,,0)</f>
        <v>0</v>
      </c>
    </row>
    <row r="53" spans="1:13">
      <c r="A53" s="141" t="s">
        <v>552</v>
      </c>
      <c r="B53" s="59">
        <f>_xlfn.XLOOKUP($A53,Inputs!$A:$A,Inputs!B:B,,0)</f>
        <v>9265</v>
      </c>
      <c r="C53" s="59">
        <f>_xlfn.XLOOKUP($A53,Inputs!$A:$A,Inputs!C:C,,0)</f>
        <v>9276</v>
      </c>
      <c r="D53" s="59">
        <f>_xlfn.XLOOKUP($A53,Inputs!$A:$A,Inputs!D:D,,0)</f>
        <v>7560</v>
      </c>
      <c r="E53" s="59">
        <f>_xlfn.XLOOKUP($A53,Inputs!$A:$A,Inputs!E:E,,0)</f>
        <v>5707</v>
      </c>
      <c r="F53" s="59">
        <f>_xlfn.XLOOKUP($A53,Inputs!$A:$A,Inputs!F:F,,0)</f>
        <v>6869</v>
      </c>
      <c r="G53" s="59">
        <f>_xlfn.XLOOKUP($A53,Inputs!$A:$A,Inputs!G:G,,0)</f>
        <v>0</v>
      </c>
      <c r="H53" s="59">
        <f>_xlfn.XLOOKUP($A53,Inputs!$A:$A,Inputs!H:H,,0)</f>
        <v>0</v>
      </c>
      <c r="I53" s="59">
        <f>_xlfn.XLOOKUP($A53,Inputs!$A:$A,Inputs!I:I,,0)</f>
        <v>0</v>
      </c>
      <c r="J53" s="59">
        <f>_xlfn.XLOOKUP($A53,Inputs!$A:$A,Inputs!J:J,,0)</f>
        <v>0</v>
      </c>
      <c r="K53" s="59">
        <f>_xlfn.XLOOKUP($A53,Inputs!$A:$A,Inputs!K:K,,0)</f>
        <v>0</v>
      </c>
      <c r="L53" s="59">
        <f>_xlfn.XLOOKUP($A53,Inputs!$A:$A,Inputs!L:L,,0)</f>
        <v>0</v>
      </c>
      <c r="M53" s="59">
        <f>_xlfn.XLOOKUP($A53,Inputs!$A:$A,Inputs!M:M,,0)</f>
        <v>0</v>
      </c>
    </row>
    <row r="54" spans="1:13">
      <c r="A54" s="135" t="s">
        <v>553</v>
      </c>
      <c r="B54" s="59">
        <f>_xlfn.XLOOKUP($A54,Inputs!$A:$A,Inputs!B:B,,0)</f>
        <v>1673</v>
      </c>
      <c r="C54" s="59">
        <f>_xlfn.XLOOKUP($A54,Inputs!$A:$A,Inputs!C:C,,0)</f>
        <v>1644</v>
      </c>
      <c r="D54" s="59">
        <f>_xlfn.XLOOKUP($A54,Inputs!$A:$A,Inputs!D:D,,0)</f>
        <v>1544</v>
      </c>
      <c r="E54" s="59">
        <f>_xlfn.XLOOKUP($A54,Inputs!$A:$A,Inputs!E:E,,0)</f>
        <v>1523</v>
      </c>
      <c r="F54" s="59">
        <f>_xlfn.XLOOKUP($A54,Inputs!$A:$A,Inputs!F:F,,0)</f>
        <v>0</v>
      </c>
      <c r="G54" s="59">
        <f>_xlfn.XLOOKUP($A54,Inputs!$A:$A,Inputs!G:G,,0)</f>
        <v>0</v>
      </c>
      <c r="H54" s="59">
        <f>_xlfn.XLOOKUP($A54,Inputs!$A:$A,Inputs!H:H,,0)</f>
        <v>0</v>
      </c>
      <c r="I54" s="59">
        <f>_xlfn.XLOOKUP($A54,Inputs!$A:$A,Inputs!I:I,,0)</f>
        <v>0</v>
      </c>
      <c r="J54" s="59">
        <f>_xlfn.XLOOKUP($A54,Inputs!$A:$A,Inputs!J:J,,0)</f>
        <v>0</v>
      </c>
      <c r="K54" s="59">
        <f>_xlfn.XLOOKUP($A54,Inputs!$A:$A,Inputs!K:K,,0)</f>
        <v>0</v>
      </c>
      <c r="L54" s="59">
        <f>_xlfn.XLOOKUP($A54,Inputs!$A:$A,Inputs!L:L,,0)</f>
        <v>0</v>
      </c>
      <c r="M54" s="59">
        <f>_xlfn.XLOOKUP($A54,Inputs!$A:$A,Inputs!M:M,,0)</f>
        <v>0</v>
      </c>
    </row>
    <row r="55" spans="1:13">
      <c r="A55" s="136" t="s">
        <v>554</v>
      </c>
      <c r="B55" s="59">
        <f>_xlfn.XLOOKUP($A55,Inputs!$A:$A,Inputs!B:B,,0)</f>
        <v>3814</v>
      </c>
      <c r="C55" s="59">
        <f>_xlfn.XLOOKUP($A55,Inputs!$A:$A,Inputs!C:C,,0)</f>
        <v>3481</v>
      </c>
      <c r="D55" s="59">
        <f>_xlfn.XLOOKUP($A55,Inputs!$A:$A,Inputs!D:D,,0)</f>
        <v>3529</v>
      </c>
      <c r="E55" s="59">
        <f>_xlfn.XLOOKUP($A55,Inputs!$A:$A,Inputs!E:E,,0)</f>
        <v>3709</v>
      </c>
      <c r="F55" s="59">
        <f>_xlfn.XLOOKUP($A55,Inputs!$A:$A,Inputs!F:F,,0)</f>
        <v>6068</v>
      </c>
      <c r="G55" s="59">
        <f>_xlfn.XLOOKUP($A55,Inputs!$A:$A,Inputs!G:G,,0)</f>
        <v>-3857</v>
      </c>
      <c r="H55" s="59">
        <f>_xlfn.XLOOKUP($A55,Inputs!$A:$A,Inputs!H:H,,0)</f>
        <v>0</v>
      </c>
      <c r="I55" s="59">
        <f>_xlfn.XLOOKUP($A55,Inputs!$A:$A,Inputs!I:I,,0)</f>
        <v>0</v>
      </c>
      <c r="J55" s="59">
        <f>_xlfn.XLOOKUP($A55,Inputs!$A:$A,Inputs!J:J,,0)</f>
        <v>0</v>
      </c>
      <c r="K55" s="59">
        <f>_xlfn.XLOOKUP($A55,Inputs!$A:$A,Inputs!K:K,,0)</f>
        <v>0</v>
      </c>
      <c r="L55" s="59">
        <f>_xlfn.XLOOKUP($A55,Inputs!$A:$A,Inputs!L:L,,0)</f>
        <v>0</v>
      </c>
      <c r="M55" s="59">
        <f>_xlfn.XLOOKUP($A55,Inputs!$A:$A,Inputs!M:M,,0)</f>
        <v>0</v>
      </c>
    </row>
    <row r="56" spans="1:13">
      <c r="A56" s="140" t="s">
        <v>50</v>
      </c>
      <c r="B56" s="69">
        <f>_xlfn.XLOOKUP($A56,Inputs!$A:$A,Inputs!B:B,,0)</f>
        <v>23605</v>
      </c>
      <c r="C56" s="69">
        <f>_xlfn.XLOOKUP($A56,Inputs!$A:$A,Inputs!C:C,,0)</f>
        <v>23425</v>
      </c>
      <c r="D56" s="69">
        <f>_xlfn.XLOOKUP($A56,Inputs!$A:$A,Inputs!D:D,,0)</f>
        <v>19498</v>
      </c>
      <c r="E56" s="69">
        <f>_xlfn.XLOOKUP($A56,Inputs!$A:$A,Inputs!E:E,,0)</f>
        <v>16578</v>
      </c>
      <c r="F56" s="69">
        <f>_xlfn.XLOOKUP($A56,Inputs!$A:$A,Inputs!F:F,,0)</f>
        <v>17196</v>
      </c>
      <c r="G56" s="69">
        <f>_xlfn.XLOOKUP($A56,Inputs!$A:$A,Inputs!G:G,,0)</f>
        <v>0</v>
      </c>
      <c r="H56" s="69">
        <f>_xlfn.XLOOKUP($A56,Inputs!$A:$A,Inputs!H:H,,0)</f>
        <v>0</v>
      </c>
      <c r="I56" s="69">
        <f>_xlfn.XLOOKUP($A56,Inputs!$A:$A,Inputs!I:I,,0)</f>
        <v>0</v>
      </c>
      <c r="J56" s="69">
        <f>_xlfn.XLOOKUP($A56,Inputs!$A:$A,Inputs!J:J,,0)</f>
        <v>0</v>
      </c>
      <c r="K56" s="69">
        <f>_xlfn.XLOOKUP($A56,Inputs!$A:$A,Inputs!K:K,,0)</f>
        <v>0</v>
      </c>
      <c r="L56" s="69">
        <f>_xlfn.XLOOKUP($A56,Inputs!$A:$A,Inputs!L:L,,0)</f>
        <v>0</v>
      </c>
      <c r="M56" s="69">
        <f>_xlfn.XLOOKUP($A56,Inputs!$A:$A,Inputs!M:M,,0)</f>
        <v>0</v>
      </c>
    </row>
    <row r="57" spans="1:13">
      <c r="B57"/>
      <c r="C57"/>
      <c r="D57"/>
      <c r="E57"/>
      <c r="F57"/>
      <c r="G57"/>
      <c r="H57"/>
      <c r="I57"/>
      <c r="J57"/>
      <c r="K57"/>
      <c r="L57"/>
      <c r="M57"/>
    </row>
    <row r="58" spans="1:13">
      <c r="A58" s="140" t="s">
        <v>276</v>
      </c>
      <c r="B58" s="69">
        <f>B49+B53+B50+B54</f>
        <v>11139</v>
      </c>
      <c r="C58" s="69">
        <f t="shared" ref="C58:M58" si="74">C49+C53+C50+C54</f>
        <v>11105</v>
      </c>
      <c r="D58" s="69">
        <f t="shared" si="74"/>
        <v>9279</v>
      </c>
      <c r="E58" s="69">
        <f t="shared" si="74"/>
        <v>7426</v>
      </c>
      <c r="F58" s="69">
        <f t="shared" si="74"/>
        <v>6869</v>
      </c>
      <c r="G58" s="69">
        <f>G49+G53+G50+G54</f>
        <v>0</v>
      </c>
      <c r="H58" s="69">
        <f t="shared" si="74"/>
        <v>0</v>
      </c>
      <c r="I58" s="69">
        <f t="shared" si="74"/>
        <v>0</v>
      </c>
      <c r="J58" s="69">
        <f t="shared" si="74"/>
        <v>0</v>
      </c>
      <c r="K58" s="69">
        <f t="shared" si="74"/>
        <v>0</v>
      </c>
      <c r="L58" s="69">
        <f t="shared" si="74"/>
        <v>0</v>
      </c>
      <c r="M58" s="69">
        <f t="shared" si="74"/>
        <v>0</v>
      </c>
    </row>
    <row r="59" spans="1:13">
      <c r="A59" s="141" t="s">
        <v>72</v>
      </c>
      <c r="B59" s="62">
        <f>IFERROR(B58/B44,"-")</f>
        <v>0.34691208072503038</v>
      </c>
      <c r="C59" s="62">
        <f t="shared" ref="C59:M59" si="75">IFERROR(C58/C44,"-")</f>
        <v>0.28640325991643883</v>
      </c>
      <c r="D59" s="62">
        <f t="shared" si="75"/>
        <v>0.27905088415734391</v>
      </c>
      <c r="E59" s="62">
        <f t="shared" si="75"/>
        <v>0.23380875917005131</v>
      </c>
      <c r="F59" s="62">
        <f t="shared" si="75"/>
        <v>0.28635150908787727</v>
      </c>
      <c r="G59" s="62">
        <f t="shared" si="75"/>
        <v>0</v>
      </c>
      <c r="H59" s="62" t="str">
        <f t="shared" si="75"/>
        <v>-</v>
      </c>
      <c r="I59" s="62" t="str">
        <f t="shared" si="75"/>
        <v>-</v>
      </c>
      <c r="J59" s="62" t="str">
        <f t="shared" si="75"/>
        <v>-</v>
      </c>
      <c r="K59" s="62" t="str">
        <f t="shared" si="75"/>
        <v>-</v>
      </c>
      <c r="L59" s="62" t="str">
        <f t="shared" si="75"/>
        <v>-</v>
      </c>
      <c r="M59" s="62" t="str">
        <f t="shared" si="75"/>
        <v>-</v>
      </c>
    </row>
    <row r="60" spans="1:13">
      <c r="A60" s="140" t="s">
        <v>555</v>
      </c>
      <c r="B60" s="69">
        <f>B58-B39</f>
        <v>6931</v>
      </c>
      <c r="C60" s="69">
        <f t="shared" ref="C60:M60" si="76">C58-C39</f>
        <v>6810</v>
      </c>
      <c r="D60" s="69">
        <f t="shared" si="76"/>
        <v>3632</v>
      </c>
      <c r="E60" s="69">
        <f>E58-E39</f>
        <v>-3447</v>
      </c>
      <c r="F60" s="69">
        <f t="shared" si="76"/>
        <v>463</v>
      </c>
      <c r="G60" s="69">
        <f t="shared" si="76"/>
        <v>-4535</v>
      </c>
      <c r="H60" s="69">
        <f t="shared" si="76"/>
        <v>0</v>
      </c>
      <c r="I60" s="69">
        <f t="shared" si="76"/>
        <v>0</v>
      </c>
      <c r="J60" s="69">
        <f t="shared" si="76"/>
        <v>0</v>
      </c>
      <c r="K60" s="69">
        <f t="shared" si="76"/>
        <v>0</v>
      </c>
      <c r="L60" s="69">
        <f t="shared" si="76"/>
        <v>0</v>
      </c>
      <c r="M60" s="69">
        <f t="shared" si="76"/>
        <v>0</v>
      </c>
    </row>
    <row r="61" spans="1:13">
      <c r="B61"/>
      <c r="C61"/>
      <c r="D61"/>
      <c r="E61"/>
      <c r="F61"/>
      <c r="G61"/>
      <c r="H61"/>
      <c r="I61"/>
      <c r="J61"/>
      <c r="K61"/>
      <c r="L61"/>
      <c r="M61"/>
    </row>
    <row r="62" spans="1:13" s="50" customFormat="1">
      <c r="A62" s="140" t="s">
        <v>556</v>
      </c>
      <c r="B62" s="69">
        <f>_xlfn.XLOOKUP($A62,Inputs!$A:$A,Inputs!B:B,,0)</f>
        <v>430</v>
      </c>
      <c r="C62" s="69">
        <f>_xlfn.XLOOKUP($A62,Inputs!$A:$A,Inputs!C:C,,0)</f>
        <v>204</v>
      </c>
      <c r="D62" s="69">
        <f>_xlfn.XLOOKUP($A62,Inputs!$A:$A,Inputs!D:D,,0)</f>
        <v>787</v>
      </c>
      <c r="E62" s="69">
        <f>_xlfn.XLOOKUP($A62,Inputs!$A:$A,Inputs!E:E,,0)</f>
        <v>311</v>
      </c>
      <c r="F62" s="69">
        <f>_xlfn.XLOOKUP($A62,Inputs!$A:$A,Inputs!F:F,,0)</f>
        <v>0</v>
      </c>
      <c r="G62" s="69">
        <f>_xlfn.XLOOKUP($A62,Inputs!$A:$A,Inputs!G:G,,0)</f>
        <v>0</v>
      </c>
      <c r="H62" s="69">
        <f>_xlfn.XLOOKUP($A62,Inputs!$A:$A,Inputs!H:H,,0)</f>
        <v>0</v>
      </c>
      <c r="I62" s="69">
        <f>_xlfn.XLOOKUP($A62,Inputs!$A:$A,Inputs!I:I,,0)</f>
        <v>0</v>
      </c>
      <c r="J62" s="69">
        <f>_xlfn.XLOOKUP($A62,Inputs!$A:$A,Inputs!J:J,,0)</f>
        <v>0</v>
      </c>
      <c r="K62" s="69">
        <f>_xlfn.XLOOKUP($A62,Inputs!$A:$A,Inputs!K:K,,0)</f>
        <v>0</v>
      </c>
      <c r="L62" s="69">
        <f>_xlfn.XLOOKUP($A62,Inputs!$A:$A,Inputs!L:L,,0)</f>
        <v>0</v>
      </c>
      <c r="M62" s="69">
        <f>_xlfn.XLOOKUP($A62,Inputs!$A:$A,Inputs!M:M,,0)</f>
        <v>0</v>
      </c>
    </row>
    <row r="63" spans="1:13">
      <c r="B63"/>
      <c r="C63"/>
      <c r="D63"/>
      <c r="E63"/>
      <c r="F63"/>
      <c r="G63"/>
      <c r="H63"/>
      <c r="I63"/>
      <c r="J63"/>
      <c r="K63"/>
      <c r="L63"/>
      <c r="M63"/>
    </row>
    <row r="64" spans="1:13">
      <c r="A64" s="140" t="s">
        <v>557</v>
      </c>
      <c r="B64" s="69">
        <f>_xlfn.XLOOKUP($A64,Inputs!$A:$A,Inputs!B:B,,0)</f>
        <v>8074</v>
      </c>
      <c r="C64" s="69">
        <f>_xlfn.XLOOKUP($A64,Inputs!$A:$A,Inputs!C:C,,0)</f>
        <v>15145</v>
      </c>
      <c r="D64" s="69">
        <f>_xlfn.XLOOKUP($A64,Inputs!$A:$A,Inputs!D:D,,0)</f>
        <v>12967</v>
      </c>
      <c r="E64" s="69">
        <f>_xlfn.XLOOKUP($A64,Inputs!$A:$A,Inputs!E:E,,0)</f>
        <v>14872</v>
      </c>
      <c r="F64" s="69">
        <f>_xlfn.XLOOKUP($A64,Inputs!$A:$A,Inputs!F:F,,0)</f>
        <v>6792</v>
      </c>
      <c r="G64" s="69">
        <f>_xlfn.XLOOKUP($A64,Inputs!$A:$A,Inputs!G:G,,0)</f>
        <v>15426</v>
      </c>
      <c r="H64" s="69">
        <f>_xlfn.XLOOKUP($A64,Inputs!$A:$A,Inputs!H:H,,0)</f>
        <v>0</v>
      </c>
      <c r="I64" s="69">
        <f>_xlfn.XLOOKUP($A64,Inputs!$A:$A,Inputs!I:I,,0)</f>
        <v>0</v>
      </c>
      <c r="J64" s="69">
        <f>_xlfn.XLOOKUP($A64,Inputs!$A:$A,Inputs!J:J,,0)</f>
        <v>0</v>
      </c>
      <c r="K64" s="69">
        <f>_xlfn.XLOOKUP($A64,Inputs!$A:$A,Inputs!K:K,,0)</f>
        <v>0</v>
      </c>
      <c r="L64" s="69">
        <f>_xlfn.XLOOKUP($A64,Inputs!$A:$A,Inputs!L:L,,0)</f>
        <v>0</v>
      </c>
      <c r="M64" s="69">
        <f>_xlfn.XLOOKUP($A64,Inputs!$A:$A,Inputs!M:M,,0)</f>
        <v>0</v>
      </c>
    </row>
    <row r="65" spans="1:235">
      <c r="K65" s="45"/>
      <c r="L65" s="45"/>
      <c r="M65" s="45"/>
    </row>
    <row r="66" spans="1:235" ht="20.100000000000001">
      <c r="A66" s="1130" t="s">
        <v>129</v>
      </c>
      <c r="B66" s="1130"/>
      <c r="C66" s="1130"/>
      <c r="D66" s="1130"/>
      <c r="E66" s="1130"/>
      <c r="F66" s="1130"/>
      <c r="G66" s="1130"/>
      <c r="H66" s="1130"/>
      <c r="I66" s="1130"/>
      <c r="J66" s="1130"/>
      <c r="K66" s="1130"/>
      <c r="L66" s="1130"/>
      <c r="M66" s="1130"/>
    </row>
    <row r="67" spans="1:235">
      <c r="A67" s="140" t="s">
        <v>130</v>
      </c>
      <c r="B67" s="69">
        <f>_xlfn.XLOOKUP($A67,Inputs!$A:$A,Inputs!B:B,,0)</f>
        <v>642</v>
      </c>
      <c r="C67" s="69">
        <f>_xlfn.XLOOKUP($A67,Inputs!$A:$A,Inputs!C:C,,0)</f>
        <v>-445</v>
      </c>
      <c r="D67" s="69">
        <f>_xlfn.XLOOKUP($A67,Inputs!$A:$A,Inputs!D:D,,0)</f>
        <v>-2745</v>
      </c>
      <c r="E67" s="69">
        <f>_xlfn.XLOOKUP($A67,Inputs!$A:$A,Inputs!E:E,,0)</f>
        <v>-4321</v>
      </c>
      <c r="F67" s="69">
        <f>_xlfn.XLOOKUP($A67,Inputs!$A:$A,Inputs!F:F,,0)</f>
        <v>-1541</v>
      </c>
      <c r="G67" s="69">
        <f>_xlfn.XLOOKUP($A67,Inputs!$A:$A,Inputs!G:G,,0)</f>
        <v>-1418</v>
      </c>
      <c r="H67" s="69">
        <f>_xlfn.XLOOKUP($A67,Inputs!$A:$A,Inputs!H:H,,0)</f>
        <v>0</v>
      </c>
      <c r="I67" s="69">
        <f>_xlfn.XLOOKUP($A67,Inputs!$A:$A,Inputs!I:I,,0)</f>
        <v>0</v>
      </c>
      <c r="J67" s="69">
        <f>_xlfn.XLOOKUP($A67,Inputs!$A:$A,Inputs!J:J,,0)</f>
        <v>0</v>
      </c>
      <c r="K67" s="69">
        <f>_xlfn.XLOOKUP($A67,Inputs!$A:$A,Inputs!K:K,,0)</f>
        <v>0</v>
      </c>
      <c r="L67" s="69">
        <f>_xlfn.XLOOKUP($A67,Inputs!$A:$A,Inputs!L:L,,0)</f>
        <v>0</v>
      </c>
      <c r="M67" s="69">
        <f>_xlfn.XLOOKUP($A67,Inputs!$A:$A,Inputs!M:M,,0)</f>
        <v>0</v>
      </c>
    </row>
    <row r="68" spans="1:235">
      <c r="A68" s="140" t="s">
        <v>131</v>
      </c>
      <c r="B68" s="69">
        <f>_xlfn.XLOOKUP($A68,Inputs!$A:$A,Inputs!B:B,,0)</f>
        <v>-1637</v>
      </c>
      <c r="C68" s="69">
        <f>_xlfn.XLOOKUP($A68,Inputs!$A:$A,Inputs!C:C,,0)</f>
        <v>-1201</v>
      </c>
      <c r="D68" s="69">
        <f>_xlfn.XLOOKUP($A68,Inputs!$A:$A,Inputs!D:D,,0)</f>
        <v>-2869</v>
      </c>
      <c r="E68" s="69">
        <f>_xlfn.XLOOKUP($A68,Inputs!$A:$A,Inputs!E:E,,0)</f>
        <v>-790</v>
      </c>
      <c r="F68" s="69">
        <f>_xlfn.XLOOKUP($A68,Inputs!$A:$A,Inputs!F:F,,0)</f>
        <v>-695</v>
      </c>
      <c r="G68" s="69">
        <f>_xlfn.XLOOKUP($A68,Inputs!$A:$A,Inputs!G:G,,0)</f>
        <v>-487</v>
      </c>
      <c r="H68" s="69">
        <f>_xlfn.XLOOKUP($A68,Inputs!$A:$A,Inputs!H:H,,0)</f>
        <v>0</v>
      </c>
      <c r="I68" s="69">
        <f>_xlfn.XLOOKUP($A68,Inputs!$A:$A,Inputs!I:I,,0)</f>
        <v>0</v>
      </c>
      <c r="J68" s="69">
        <f>_xlfn.XLOOKUP($A68,Inputs!$A:$A,Inputs!J:J,,0)</f>
        <v>0</v>
      </c>
      <c r="K68" s="69">
        <f>_xlfn.XLOOKUP($A68,Inputs!$A:$A,Inputs!K:K,,0)</f>
        <v>0</v>
      </c>
      <c r="L68" s="69">
        <f>_xlfn.XLOOKUP($A68,Inputs!$A:$A,Inputs!L:L,,0)</f>
        <v>0</v>
      </c>
      <c r="M68" s="69">
        <f>_xlfn.XLOOKUP($A68,Inputs!$A:$A,Inputs!M:M,,0)</f>
        <v>0</v>
      </c>
    </row>
    <row r="69" spans="1:235">
      <c r="A69" s="136" t="s">
        <v>132</v>
      </c>
      <c r="B69" s="59">
        <f>_xlfn.XLOOKUP($A69,Inputs!$A:$A,Inputs!B:B,,0)</f>
        <v>-252</v>
      </c>
      <c r="C69" s="59">
        <f>_xlfn.XLOOKUP($A69,Inputs!$A:$A,Inputs!C:C,,0)</f>
        <v>-298</v>
      </c>
      <c r="D69" s="59">
        <f>_xlfn.XLOOKUP($A69,Inputs!$A:$A,Inputs!D:D,,0)</f>
        <v>-616</v>
      </c>
      <c r="E69" s="59">
        <f>_xlfn.XLOOKUP($A69,Inputs!$A:$A,Inputs!E:E,,0)</f>
        <v>-588</v>
      </c>
      <c r="F69" s="59">
        <f>_xlfn.XLOOKUP($A69,Inputs!$A:$A,Inputs!F:F,,0)</f>
        <v>-558</v>
      </c>
      <c r="G69" s="59">
        <f>_xlfn.XLOOKUP($A69,Inputs!$A:$A,Inputs!G:G,,0)</f>
        <v>0</v>
      </c>
      <c r="H69" s="59">
        <f>_xlfn.XLOOKUP($A69,Inputs!$A:$A,Inputs!H:H,,0)</f>
        <v>0</v>
      </c>
      <c r="I69" s="59">
        <f>_xlfn.XLOOKUP($A69,Inputs!$A:$A,Inputs!I:I,,0)</f>
        <v>0</v>
      </c>
      <c r="J69" s="59">
        <f>_xlfn.XLOOKUP($A69,Inputs!$A:$A,Inputs!J:J,,0)</f>
        <v>0</v>
      </c>
      <c r="K69" s="59">
        <f>_xlfn.XLOOKUP($A69,Inputs!$A:$A,Inputs!K:K,,0)</f>
        <v>0</v>
      </c>
      <c r="L69" s="59">
        <f>_xlfn.XLOOKUP($A69,Inputs!$A:$A,Inputs!L:L,,0)</f>
        <v>0</v>
      </c>
      <c r="M69" s="59">
        <f>_xlfn.XLOOKUP($A69,Inputs!$A:$A,Inputs!M:M,,0)</f>
        <v>0</v>
      </c>
    </row>
    <row r="70" spans="1:235">
      <c r="A70" s="136" t="s">
        <v>133</v>
      </c>
      <c r="B70" s="59">
        <f>_xlfn.XLOOKUP($A70,Inputs!$A:$A,Inputs!B:B,,0)</f>
        <v>-1139</v>
      </c>
      <c r="C70" s="59">
        <f>_xlfn.XLOOKUP($A70,Inputs!$A:$A,Inputs!C:C,,0)</f>
        <v>-618</v>
      </c>
      <c r="D70" s="59">
        <f>_xlfn.XLOOKUP($A70,Inputs!$A:$A,Inputs!D:D,,0)</f>
        <v>-2131</v>
      </c>
      <c r="E70" s="59">
        <f>_xlfn.XLOOKUP($A70,Inputs!$A:$A,Inputs!E:E,,0)</f>
        <v>-253</v>
      </c>
      <c r="F70" s="59">
        <f>_xlfn.XLOOKUP($A70,Inputs!$A:$A,Inputs!F:F,,0)</f>
        <v>-476</v>
      </c>
      <c r="G70" s="59">
        <f>_xlfn.XLOOKUP($A70,Inputs!$A:$A,Inputs!G:G,,0)</f>
        <v>0</v>
      </c>
      <c r="H70" s="59">
        <f>_xlfn.XLOOKUP($A70,Inputs!$A:$A,Inputs!H:H,,0)</f>
        <v>0</v>
      </c>
      <c r="I70" s="59">
        <f>_xlfn.XLOOKUP($A70,Inputs!$A:$A,Inputs!I:I,,0)</f>
        <v>0</v>
      </c>
      <c r="J70" s="59">
        <f>_xlfn.XLOOKUP($A70,Inputs!$A:$A,Inputs!J:J,,0)</f>
        <v>0</v>
      </c>
      <c r="K70" s="59">
        <f>_xlfn.XLOOKUP($A70,Inputs!$A:$A,Inputs!K:K,,0)</f>
        <v>0</v>
      </c>
      <c r="L70" s="59">
        <f>_xlfn.XLOOKUP($A70,Inputs!$A:$A,Inputs!L:L,,0)</f>
        <v>0</v>
      </c>
      <c r="M70" s="59">
        <f>_xlfn.XLOOKUP($A70,Inputs!$A:$A,Inputs!M:M,,0)</f>
        <v>0</v>
      </c>
      <c r="IA70" s="45"/>
    </row>
    <row r="71" spans="1:235">
      <c r="A71" s="140" t="s">
        <v>134</v>
      </c>
      <c r="B71" s="69">
        <f>_xlfn.XLOOKUP($A71,Inputs!$A:$A,Inputs!B:B,,0)</f>
        <v>15</v>
      </c>
      <c r="C71" s="69">
        <f>_xlfn.XLOOKUP($A71,Inputs!$A:$A,Inputs!C:C,,0)</f>
        <v>1780</v>
      </c>
      <c r="D71" s="69">
        <f>_xlfn.XLOOKUP($A71,Inputs!$A:$A,Inputs!D:D,,0)</f>
        <v>1379</v>
      </c>
      <c r="E71" s="69">
        <f>_xlfn.XLOOKUP($A71,Inputs!$A:$A,Inputs!E:E,,0)</f>
        <v>8939</v>
      </c>
      <c r="F71" s="69">
        <f>_xlfn.XLOOKUP($A71,Inputs!$A:$A,Inputs!F:F,,0)</f>
        <v>4640</v>
      </c>
      <c r="G71" s="69">
        <f>_xlfn.XLOOKUP($A71,Inputs!$A:$A,Inputs!G:G,,0)</f>
        <v>1015</v>
      </c>
      <c r="H71" s="69">
        <f>_xlfn.XLOOKUP($A71,Inputs!$A:$A,Inputs!H:H,,0)</f>
        <v>0</v>
      </c>
      <c r="I71" s="69">
        <f>_xlfn.XLOOKUP($A71,Inputs!$A:$A,Inputs!I:I,,0)</f>
        <v>0</v>
      </c>
      <c r="J71" s="69">
        <f>_xlfn.XLOOKUP($A71,Inputs!$A:$A,Inputs!J:J,,0)</f>
        <v>0</v>
      </c>
      <c r="K71" s="69">
        <f>_xlfn.XLOOKUP($A71,Inputs!$A:$A,Inputs!K:K,,0)</f>
        <v>0</v>
      </c>
      <c r="L71" s="69">
        <f>_xlfn.XLOOKUP($A71,Inputs!$A:$A,Inputs!L:L,,0)</f>
        <v>0</v>
      </c>
      <c r="M71" s="69">
        <f>_xlfn.XLOOKUP($A71,Inputs!$A:$A,Inputs!M:M,,0)</f>
        <v>0</v>
      </c>
      <c r="IA71" s="45"/>
    </row>
    <row r="72" spans="1:235">
      <c r="A72" s="136" t="s">
        <v>135</v>
      </c>
      <c r="B72" s="59">
        <f>_xlfn.XLOOKUP($A72,Inputs!$A:$A,Inputs!B:B,,0)</f>
        <v>0</v>
      </c>
      <c r="C72" s="59">
        <f>_xlfn.XLOOKUP($A72,Inputs!$A:$A,Inputs!C:C,,0)</f>
        <v>0</v>
      </c>
      <c r="D72" s="59">
        <f>_xlfn.XLOOKUP($A72,Inputs!$A:$A,Inputs!D:D,,0)</f>
        <v>0</v>
      </c>
      <c r="E72" s="59">
        <f>_xlfn.XLOOKUP($A72,Inputs!$A:$A,Inputs!E:E,,0)</f>
        <v>0</v>
      </c>
      <c r="F72" s="59">
        <f>_xlfn.XLOOKUP($A72,Inputs!$A:$A,Inputs!F:F,,0)</f>
        <v>0</v>
      </c>
      <c r="G72" s="59">
        <f>_xlfn.XLOOKUP($A72,Inputs!$A:$A,Inputs!G:G,,0)</f>
        <v>0</v>
      </c>
      <c r="H72" s="59">
        <f>_xlfn.XLOOKUP($A72,Inputs!$A:$A,Inputs!H:H,,0)</f>
        <v>0</v>
      </c>
      <c r="I72" s="59">
        <f>_xlfn.XLOOKUP($A72,Inputs!$A:$A,Inputs!I:I,,0)</f>
        <v>0</v>
      </c>
      <c r="J72" s="59">
        <f>_xlfn.XLOOKUP($A72,Inputs!$A:$A,Inputs!J:J,,0)</f>
        <v>0</v>
      </c>
      <c r="K72" s="59">
        <f>_xlfn.XLOOKUP($A72,Inputs!$A:$A,Inputs!K:K,,0)</f>
        <v>0</v>
      </c>
      <c r="L72" s="59">
        <f>_xlfn.XLOOKUP($A72,Inputs!$A:$A,Inputs!L:L,,0)</f>
        <v>0</v>
      </c>
      <c r="M72" s="59">
        <f>_xlfn.XLOOKUP($A72,Inputs!$A:$A,Inputs!M:M,,0)</f>
        <v>0</v>
      </c>
      <c r="IA72" s="45"/>
    </row>
    <row r="73" spans="1:235">
      <c r="A73" s="136" t="s">
        <v>539</v>
      </c>
      <c r="B73" s="59">
        <f>_xlfn.XLOOKUP($A73,Inputs!$A:$A,Inputs!B:B,,0)</f>
        <v>0</v>
      </c>
      <c r="C73" s="59">
        <f>_xlfn.XLOOKUP($A73,Inputs!$A:$A,Inputs!C:C,,0)</f>
        <v>0</v>
      </c>
      <c r="D73" s="59">
        <f>_xlfn.XLOOKUP($A73,Inputs!$A:$A,Inputs!D:D,,0)</f>
        <v>0</v>
      </c>
      <c r="E73" s="59">
        <f>_xlfn.XLOOKUP($A73,Inputs!$A:$A,Inputs!E:E,,0)</f>
        <v>0</v>
      </c>
      <c r="F73" s="59">
        <f>_xlfn.XLOOKUP($A73,Inputs!$A:$A,Inputs!F:F,,0)</f>
        <v>-10</v>
      </c>
      <c r="G73" s="59">
        <f>_xlfn.XLOOKUP($A73,Inputs!$A:$A,Inputs!G:G,,0)</f>
        <v>-131</v>
      </c>
      <c r="H73" s="59">
        <f>_xlfn.XLOOKUP($A73,Inputs!$A:$A,Inputs!H:H,,0)</f>
        <v>0</v>
      </c>
      <c r="I73" s="59">
        <f>_xlfn.XLOOKUP($A73,Inputs!$A:$A,Inputs!I:I,,0)</f>
        <v>0</v>
      </c>
      <c r="J73" s="59">
        <f>_xlfn.XLOOKUP($A73,Inputs!$A:$A,Inputs!J:J,,0)</f>
        <v>0</v>
      </c>
      <c r="K73" s="59">
        <f>_xlfn.XLOOKUP($A73,Inputs!$A:$A,Inputs!K:K,,0)</f>
        <v>0</v>
      </c>
      <c r="L73" s="59">
        <f>_xlfn.XLOOKUP($A73,Inputs!$A:$A,Inputs!L:L,,0)</f>
        <v>0</v>
      </c>
      <c r="M73" s="59">
        <f>_xlfn.XLOOKUP($A73,Inputs!$A:$A,Inputs!M:M,,0)</f>
        <v>0</v>
      </c>
    </row>
    <row r="74" spans="1:235">
      <c r="A74" s="140" t="s">
        <v>138</v>
      </c>
      <c r="B74" s="69">
        <f>_xlfn.XLOOKUP($A74,Inputs!$A:$A,Inputs!B:B,,0)</f>
        <v>-148</v>
      </c>
      <c r="C74" s="69">
        <f>_xlfn.XLOOKUP($A74,Inputs!$A:$A,Inputs!C:C,,0)</f>
        <v>-69</v>
      </c>
      <c r="D74" s="69">
        <f>_xlfn.XLOOKUP($A74,Inputs!$A:$A,Inputs!D:D,,0)</f>
        <v>-92</v>
      </c>
      <c r="E74" s="69">
        <f>_xlfn.XLOOKUP($A74,Inputs!$A:$A,Inputs!E:E,,0)</f>
        <v>-4</v>
      </c>
      <c r="F74" s="69">
        <f>_xlfn.XLOOKUP($A74,Inputs!$A:$A,Inputs!F:F,,0)</f>
        <v>-119</v>
      </c>
      <c r="G74" s="69">
        <f>_xlfn.XLOOKUP($A74,Inputs!$A:$A,Inputs!G:G,,0)</f>
        <v>22</v>
      </c>
      <c r="H74" s="69">
        <f>_xlfn.XLOOKUP($A74,Inputs!$A:$A,Inputs!H:H,,0)</f>
        <v>0</v>
      </c>
      <c r="I74" s="69">
        <f>_xlfn.XLOOKUP($A74,Inputs!$A:$A,Inputs!I:I,,0)</f>
        <v>0</v>
      </c>
      <c r="J74" s="69">
        <f>_xlfn.XLOOKUP($A74,Inputs!$A:$A,Inputs!J:J,,0)</f>
        <v>0</v>
      </c>
      <c r="K74" s="69">
        <f>_xlfn.XLOOKUP($A74,Inputs!$A:$A,Inputs!K:K,,0)</f>
        <v>0</v>
      </c>
      <c r="L74" s="69">
        <f>_xlfn.XLOOKUP($A74,Inputs!$A:$A,Inputs!L:L,,0)</f>
        <v>0</v>
      </c>
      <c r="M74" s="69">
        <f>_xlfn.XLOOKUP($A74,Inputs!$A:$A,Inputs!M:M,,0)</f>
        <v>0</v>
      </c>
    </row>
    <row r="75" spans="1:235">
      <c r="A75" s="140" t="s">
        <v>558</v>
      </c>
      <c r="B75" s="69">
        <f>_xlfn.XLOOKUP($A75,Inputs!$A:$A,Inputs!B:B,,0)</f>
        <v>-1128</v>
      </c>
      <c r="C75" s="69">
        <f>_xlfn.XLOOKUP($A75,Inputs!$A:$A,Inputs!C:C,,0)</f>
        <v>65</v>
      </c>
      <c r="D75" s="69">
        <f>_xlfn.XLOOKUP($A75,Inputs!$A:$A,Inputs!D:D,,0)</f>
        <v>-4327</v>
      </c>
      <c r="E75" s="69">
        <f>_xlfn.XLOOKUP($A75,Inputs!$A:$A,Inputs!E:E,,0)</f>
        <v>3824</v>
      </c>
      <c r="F75" s="69">
        <f>_xlfn.XLOOKUP($A75,Inputs!$A:$A,Inputs!F:F,,0)</f>
        <v>2285</v>
      </c>
      <c r="G75" s="69">
        <f>_xlfn.XLOOKUP($A75,Inputs!$A:$A,Inputs!G:G,,0)</f>
        <v>-868</v>
      </c>
      <c r="H75" s="69">
        <f>_xlfn.XLOOKUP($A75,Inputs!$A:$A,Inputs!H:H,,0)</f>
        <v>0</v>
      </c>
      <c r="I75" s="69">
        <f>_xlfn.XLOOKUP($A75,Inputs!$A:$A,Inputs!I:I,,0)</f>
        <v>0</v>
      </c>
      <c r="J75" s="69">
        <f>_xlfn.XLOOKUP($A75,Inputs!$A:$A,Inputs!J:J,,0)</f>
        <v>0</v>
      </c>
      <c r="K75" s="69">
        <f>_xlfn.XLOOKUP($A75,Inputs!$A:$A,Inputs!K:K,,0)</f>
        <v>0</v>
      </c>
      <c r="L75" s="69">
        <f>_xlfn.XLOOKUP($A75,Inputs!$A:$A,Inputs!L:L,,0)</f>
        <v>0</v>
      </c>
      <c r="M75" s="69">
        <f>_xlfn.XLOOKUP($A75,Inputs!$A:$A,Inputs!M:M,,0)</f>
        <v>0</v>
      </c>
    </row>
    <row r="76" spans="1:235">
      <c r="K76" s="45"/>
      <c r="L76" s="45"/>
      <c r="M76" s="45"/>
    </row>
    <row r="77" spans="1:235" ht="20.100000000000001">
      <c r="A77" s="1130" t="s">
        <v>559</v>
      </c>
      <c r="B77" s="1130"/>
      <c r="C77" s="1130"/>
      <c r="D77" s="1130"/>
      <c r="E77" s="1130"/>
      <c r="F77" s="1130"/>
      <c r="G77" s="1130"/>
      <c r="H77" s="1130"/>
      <c r="I77" s="1130"/>
      <c r="J77" s="1130"/>
      <c r="K77" s="1130"/>
      <c r="L77" s="1130"/>
      <c r="M77" s="1130"/>
    </row>
    <row r="78" spans="1:235">
      <c r="A78" s="135" t="s">
        <v>560</v>
      </c>
      <c r="B78" s="59" t="e">
        <f>_xlfn.XLOOKUP($A78,Inputs!$A:$A,Inputs!B:B,,0)</f>
        <v>#N/A</v>
      </c>
      <c r="C78" s="59" t="e">
        <f>_xlfn.XLOOKUP($A78,Inputs!$A:$A,Inputs!C:C,,0)</f>
        <v>#N/A</v>
      </c>
      <c r="D78" s="59" t="e">
        <f>_xlfn.XLOOKUP($A78,Inputs!$A:$A,Inputs!D:D,,0)</f>
        <v>#N/A</v>
      </c>
      <c r="E78" s="59" t="e">
        <f>_xlfn.XLOOKUP($A78,Inputs!$A:$A,Inputs!E:E,,0)</f>
        <v>#N/A</v>
      </c>
      <c r="F78" s="59" t="e">
        <f>_xlfn.XLOOKUP($A78,Inputs!$A:$A,Inputs!F:F,,0)</f>
        <v>#N/A</v>
      </c>
      <c r="G78" s="59" t="e">
        <f>_xlfn.XLOOKUP($A78,Inputs!$A:$A,Inputs!G:G,,0)</f>
        <v>#N/A</v>
      </c>
      <c r="H78" s="59" t="e">
        <f>_xlfn.XLOOKUP($A78,Inputs!$A:$A,Inputs!H:H,,0)</f>
        <v>#N/A</v>
      </c>
      <c r="I78" s="59" t="e">
        <f>_xlfn.XLOOKUP($A78,Inputs!$A:$A,Inputs!I:I,,0)</f>
        <v>#N/A</v>
      </c>
      <c r="J78" s="59" t="e">
        <f>_xlfn.XLOOKUP($A78,Inputs!$A:$A,Inputs!J:J,,0)</f>
        <v>#N/A</v>
      </c>
      <c r="K78" s="59" t="e">
        <f>_xlfn.XLOOKUP($A78,Inputs!$A:$A,Inputs!K:K,,0)</f>
        <v>#N/A</v>
      </c>
      <c r="L78" s="59" t="e">
        <f>_xlfn.XLOOKUP($A78,Inputs!$A:$A,Inputs!L:L,,0)</f>
        <v>#N/A</v>
      </c>
      <c r="M78" s="59" t="e">
        <f>_xlfn.XLOOKUP($A78,Inputs!$A:$A,Inputs!M:M,,0)</f>
        <v>#N/A</v>
      </c>
    </row>
    <row r="79" spans="1:235">
      <c r="A79" s="141" t="s">
        <v>561</v>
      </c>
      <c r="B79" s="59" t="e">
        <f>_xlfn.XLOOKUP($A79,Inputs!$A:$A,Inputs!B:B,,0)</f>
        <v>#N/A</v>
      </c>
      <c r="C79" s="59" t="e">
        <f>_xlfn.XLOOKUP($A79,Inputs!$A:$A,Inputs!C:C,,0)</f>
        <v>#N/A</v>
      </c>
      <c r="D79" s="59" t="e">
        <f>_xlfn.XLOOKUP($A79,Inputs!$A:$A,Inputs!D:D,,0)</f>
        <v>#N/A</v>
      </c>
      <c r="E79" s="59" t="e">
        <f>_xlfn.XLOOKUP($A79,Inputs!$A:$A,Inputs!E:E,,0)</f>
        <v>#N/A</v>
      </c>
      <c r="F79" s="59" t="e">
        <f>_xlfn.XLOOKUP($A79,Inputs!$A:$A,Inputs!F:F,,0)</f>
        <v>#N/A</v>
      </c>
      <c r="G79" s="59" t="e">
        <f>_xlfn.XLOOKUP($A79,Inputs!$A:$A,Inputs!G:G,,0)</f>
        <v>#N/A</v>
      </c>
      <c r="H79" s="59" t="e">
        <f>_xlfn.XLOOKUP($A79,Inputs!$A:$A,Inputs!H:H,,0)</f>
        <v>#N/A</v>
      </c>
      <c r="I79" s="59" t="e">
        <f>_xlfn.XLOOKUP($A79,Inputs!$A:$A,Inputs!I:I,,0)</f>
        <v>#N/A</v>
      </c>
      <c r="J79" s="59" t="e">
        <f>_xlfn.XLOOKUP($A79,Inputs!$A:$A,Inputs!J:J,,0)</f>
        <v>#N/A</v>
      </c>
      <c r="K79" s="59" t="e">
        <f>_xlfn.XLOOKUP($A79,Inputs!$A:$A,Inputs!K:K,,0)</f>
        <v>#N/A</v>
      </c>
      <c r="L79" s="59" t="e">
        <f>_xlfn.XLOOKUP($A79,Inputs!$A:$A,Inputs!L:L,,0)</f>
        <v>#N/A</v>
      </c>
      <c r="M79" s="59" t="e">
        <f>_xlfn.XLOOKUP($A79,Inputs!$A:$A,Inputs!M:M,,0)</f>
        <v>#N/A</v>
      </c>
    </row>
    <row r="80" spans="1:235">
      <c r="A80" s="135" t="s">
        <v>48</v>
      </c>
      <c r="B80" s="59">
        <f>_xlfn.XLOOKUP($A80,Inputs!$A:$A,Inputs!B:B,,0)</f>
        <v>0.99829999999999997</v>
      </c>
      <c r="C80" s="59" t="str">
        <f>_xlfn.XLOOKUP($A80,Inputs!$A:$A,Inputs!C:C,,0)</f>
        <v>Yahoo finance</v>
      </c>
      <c r="D80" s="59">
        <f>_xlfn.XLOOKUP($A80,Inputs!$A:$A,Inputs!D:D,,0)</f>
        <v>0</v>
      </c>
      <c r="E80" s="59">
        <f>_xlfn.XLOOKUP($A80,Inputs!$A:$A,Inputs!E:E,,0)</f>
        <v>0</v>
      </c>
      <c r="F80" s="59">
        <f>_xlfn.XLOOKUP($A80,Inputs!$A:$A,Inputs!F:F,,0)</f>
        <v>0</v>
      </c>
      <c r="G80" s="59">
        <f>_xlfn.XLOOKUP($A80,Inputs!$A:$A,Inputs!G:G,,0)</f>
        <v>0</v>
      </c>
      <c r="H80" s="59">
        <f>_xlfn.XLOOKUP($A80,Inputs!$A:$A,Inputs!H:H,,0)</f>
        <v>0</v>
      </c>
      <c r="I80" s="59">
        <f>_xlfn.XLOOKUP($A80,Inputs!$A:$A,Inputs!I:I,,0)</f>
        <v>0</v>
      </c>
      <c r="J80" s="59">
        <f>_xlfn.XLOOKUP($A80,Inputs!$A:$A,Inputs!J:J,,0)</f>
        <v>0</v>
      </c>
      <c r="K80" s="59">
        <f>_xlfn.XLOOKUP($A80,Inputs!$A:$A,Inputs!K:K,,0)</f>
        <v>0</v>
      </c>
      <c r="L80" s="59">
        <f>_xlfn.XLOOKUP($A80,Inputs!$A:$A,Inputs!L:L,,0)</f>
        <v>0</v>
      </c>
      <c r="M80" s="59">
        <f>_xlfn.XLOOKUP($A80,Inputs!$A:$A,Inputs!M:M,,0)</f>
        <v>0</v>
      </c>
    </row>
    <row r="81" spans="1:13">
      <c r="A81" s="141" t="s">
        <v>53</v>
      </c>
      <c r="B81" s="59">
        <f>_xlfn.XLOOKUP($A81,Inputs!$A:$A,Inputs!B:B,,0)</f>
        <v>1.6999999999999999E-3</v>
      </c>
      <c r="C81" s="59" t="str">
        <f>_xlfn.XLOOKUP($A81,Inputs!$A:$A,Inputs!C:C,,0)</f>
        <v>Yahoo finance</v>
      </c>
      <c r="D81" s="59">
        <f>_xlfn.XLOOKUP($A81,Inputs!$A:$A,Inputs!D:D,,0)</f>
        <v>0</v>
      </c>
      <c r="E81" s="59">
        <f>_xlfn.XLOOKUP($A81,Inputs!$A:$A,Inputs!E:E,,0)</f>
        <v>0</v>
      </c>
      <c r="F81" s="59">
        <f>_xlfn.XLOOKUP($A81,Inputs!$A:$A,Inputs!F:F,,0)</f>
        <v>0</v>
      </c>
      <c r="G81" s="59">
        <f>_xlfn.XLOOKUP($A81,Inputs!$A:$A,Inputs!G:G,,0)</f>
        <v>0</v>
      </c>
      <c r="H81" s="59">
        <f>_xlfn.XLOOKUP($A81,Inputs!$A:$A,Inputs!H:H,,0)</f>
        <v>0</v>
      </c>
      <c r="I81" s="59">
        <f>_xlfn.XLOOKUP($A81,Inputs!$A:$A,Inputs!I:I,,0)</f>
        <v>0</v>
      </c>
      <c r="J81" s="59">
        <f>_xlfn.XLOOKUP($A81,Inputs!$A:$A,Inputs!J:J,,0)</f>
        <v>0</v>
      </c>
      <c r="K81" s="59">
        <f>_xlfn.XLOOKUP($A81,Inputs!$A:$A,Inputs!K:K,,0)</f>
        <v>0</v>
      </c>
      <c r="L81" s="59">
        <f>_xlfn.XLOOKUP($A81,Inputs!$A:$A,Inputs!L:L,,0)</f>
        <v>0</v>
      </c>
      <c r="M81" s="59">
        <f>_xlfn.XLOOKUP($A81,Inputs!$A:$A,Inputs!M:M,,0)</f>
        <v>0</v>
      </c>
    </row>
    <row r="82" spans="1:13">
      <c r="A82" s="135" t="s">
        <v>562</v>
      </c>
      <c r="B82" s="59" t="str">
        <f>_xlfn.XLOOKUP($A82,Inputs!$A:$A,Inputs!B:B,,0)</f>
        <v>-</v>
      </c>
      <c r="C82" s="59" t="str">
        <f>_xlfn.XLOOKUP($A82,Inputs!$A:$A,Inputs!C:C,,0)</f>
        <v>10-K</v>
      </c>
      <c r="D82" s="59">
        <f>_xlfn.XLOOKUP($A82,Inputs!$A:$A,Inputs!D:D,,0)</f>
        <v>0</v>
      </c>
      <c r="E82" s="59">
        <f>_xlfn.XLOOKUP($A82,Inputs!$A:$A,Inputs!E:E,,0)</f>
        <v>0</v>
      </c>
      <c r="F82" s="59">
        <f>_xlfn.XLOOKUP($A82,Inputs!$A:$A,Inputs!F:F,,0)</f>
        <v>0</v>
      </c>
      <c r="G82" s="59">
        <f>_xlfn.XLOOKUP($A82,Inputs!$A:$A,Inputs!G:G,,0)</f>
        <v>0</v>
      </c>
      <c r="H82" s="59">
        <f>_xlfn.XLOOKUP($A82,Inputs!$A:$A,Inputs!H:H,,0)</f>
        <v>0</v>
      </c>
      <c r="I82" s="59">
        <f>_xlfn.XLOOKUP($A82,Inputs!$A:$A,Inputs!I:I,,0)</f>
        <v>0</v>
      </c>
      <c r="J82" s="59">
        <f>_xlfn.XLOOKUP($A82,Inputs!$A:$A,Inputs!J:J,,0)</f>
        <v>0</v>
      </c>
      <c r="K82" s="59">
        <f>_xlfn.XLOOKUP($A82,Inputs!$A:$A,Inputs!K:K,,0)</f>
        <v>0</v>
      </c>
      <c r="L82" s="59">
        <f>_xlfn.XLOOKUP($A82,Inputs!$A:$A,Inputs!L:L,,0)</f>
        <v>0</v>
      </c>
      <c r="M82" s="59">
        <f>_xlfn.XLOOKUP($A82,Inputs!$A:$A,Inputs!M:M,,0)</f>
        <v>0</v>
      </c>
    </row>
    <row r="83" spans="1:13">
      <c r="A83" s="135" t="s">
        <v>563</v>
      </c>
      <c r="B83" s="59" t="e">
        <f>_xlfn.XLOOKUP($A83,Inputs!$A:$A,Inputs!B:B,,0)</f>
        <v>#N/A</v>
      </c>
      <c r="C83" s="59" t="e">
        <f>_xlfn.XLOOKUP($A83,Inputs!$A:$A,Inputs!C:C,,0)</f>
        <v>#N/A</v>
      </c>
      <c r="D83" s="59" t="e">
        <f>_xlfn.XLOOKUP($A83,Inputs!$A:$A,Inputs!D:D,,0)</f>
        <v>#N/A</v>
      </c>
      <c r="E83" s="59" t="e">
        <f>_xlfn.XLOOKUP($A83,Inputs!$A:$A,Inputs!E:E,,0)</f>
        <v>#N/A</v>
      </c>
      <c r="F83" s="59" t="e">
        <f>_xlfn.XLOOKUP($A83,Inputs!$A:$A,Inputs!F:F,,0)</f>
        <v>#N/A</v>
      </c>
      <c r="G83" s="59" t="e">
        <f>_xlfn.XLOOKUP($A83,Inputs!$A:$A,Inputs!G:G,,0)</f>
        <v>#N/A</v>
      </c>
      <c r="H83" s="59" t="e">
        <f>_xlfn.XLOOKUP($A83,Inputs!$A:$A,Inputs!H:H,,0)</f>
        <v>#N/A</v>
      </c>
      <c r="I83" s="59" t="e">
        <f>_xlfn.XLOOKUP($A83,Inputs!$A:$A,Inputs!I:I,,0)</f>
        <v>#N/A</v>
      </c>
      <c r="J83" s="59" t="e">
        <f>_xlfn.XLOOKUP($A83,Inputs!$A:$A,Inputs!J:J,,0)</f>
        <v>#N/A</v>
      </c>
      <c r="K83" s="59" t="e">
        <f>_xlfn.XLOOKUP($A83,Inputs!$A:$A,Inputs!K:K,,0)</f>
        <v>#N/A</v>
      </c>
      <c r="L83" s="59" t="e">
        <f>_xlfn.XLOOKUP($A83,Inputs!$A:$A,Inputs!L:L,,0)</f>
        <v>#N/A</v>
      </c>
      <c r="M83" s="59" t="e">
        <f>_xlfn.XLOOKUP($A83,Inputs!$A:$A,Inputs!M:M,,0)</f>
        <v>#N/A</v>
      </c>
    </row>
    <row r="84" spans="1:13">
      <c r="A84" s="141" t="s">
        <v>564</v>
      </c>
      <c r="B84" s="59">
        <f>_xlfn.XLOOKUP($A84,Inputs!$A:$A,Inputs!B:B,,0)</f>
        <v>0</v>
      </c>
      <c r="C84" s="59" t="str">
        <f>_xlfn.XLOOKUP($A84,Inputs!$A:$A,Inputs!C:C,,0)</f>
        <v>Yahoo Finance</v>
      </c>
      <c r="D84" s="59">
        <f>_xlfn.XLOOKUP($A84,Inputs!$A:$A,Inputs!D:D,,0)</f>
        <v>0</v>
      </c>
      <c r="E84" s="59">
        <f>_xlfn.XLOOKUP($A84,Inputs!$A:$A,Inputs!E:E,,0)</f>
        <v>0</v>
      </c>
      <c r="F84" s="59">
        <f>_xlfn.XLOOKUP($A84,Inputs!$A:$A,Inputs!F:F,,0)</f>
        <v>0</v>
      </c>
      <c r="G84" s="59">
        <f>_xlfn.XLOOKUP($A84,Inputs!$A:$A,Inputs!G:G,,0)</f>
        <v>0</v>
      </c>
      <c r="H84" s="59">
        <f>_xlfn.XLOOKUP($A84,Inputs!$A:$A,Inputs!H:H,,0)</f>
        <v>0</v>
      </c>
      <c r="I84" s="59">
        <f>_xlfn.XLOOKUP($A84,Inputs!$A:$A,Inputs!I:I,,0)</f>
        <v>0</v>
      </c>
      <c r="J84" s="59">
        <f>_xlfn.XLOOKUP($A84,Inputs!$A:$A,Inputs!J:J,,0)</f>
        <v>0</v>
      </c>
      <c r="K84" s="59">
        <f>_xlfn.XLOOKUP($A84,Inputs!$A:$A,Inputs!K:K,,0)</f>
        <v>0</v>
      </c>
      <c r="L84" s="59">
        <f>_xlfn.XLOOKUP($A84,Inputs!$A:$A,Inputs!L:L,,0)</f>
        <v>0</v>
      </c>
      <c r="M84" s="59">
        <f>_xlfn.XLOOKUP($A84,Inputs!$A:$A,Inputs!M:M,,0)</f>
        <v>0</v>
      </c>
    </row>
    <row r="85" spans="1:13">
      <c r="B85" s="48"/>
      <c r="C85" s="48"/>
      <c r="D85" s="48"/>
      <c r="E85" s="48"/>
      <c r="F85" s="48"/>
      <c r="G85" s="48"/>
      <c r="H85" s="48"/>
      <c r="I85" s="48"/>
      <c r="J85" s="48"/>
      <c r="K85" s="48"/>
      <c r="L85" s="48"/>
      <c r="M85" s="48"/>
    </row>
    <row r="86" spans="1:13">
      <c r="B86" s="46">
        <v>2020</v>
      </c>
      <c r="C86" s="46">
        <v>2021</v>
      </c>
      <c r="D86" s="46">
        <v>2022</v>
      </c>
      <c r="G86" s="46"/>
      <c r="H86" s="48"/>
      <c r="I86" s="48"/>
      <c r="J86" s="48"/>
      <c r="K86" s="48"/>
      <c r="L86" s="48"/>
      <c r="M86" s="48"/>
    </row>
    <row r="87" spans="1:13">
      <c r="A87" s="135" t="s">
        <v>565</v>
      </c>
      <c r="B87" s="65">
        <v>0</v>
      </c>
      <c r="C87" s="65">
        <v>0</v>
      </c>
      <c r="D87" s="66">
        <v>0</v>
      </c>
      <c r="G87" s="48"/>
      <c r="H87" s="48"/>
      <c r="I87" s="48"/>
      <c r="J87" s="48"/>
      <c r="K87" s="48"/>
      <c r="L87" s="48"/>
      <c r="M87" s="48"/>
    </row>
    <row r="88" spans="1:13">
      <c r="A88" s="141" t="s">
        <v>74</v>
      </c>
      <c r="B88" s="65">
        <v>0</v>
      </c>
      <c r="C88" s="65">
        <v>0</v>
      </c>
      <c r="D88" s="66">
        <v>0</v>
      </c>
    </row>
    <row r="90" spans="1:13">
      <c r="A90" s="14" t="s">
        <v>566</v>
      </c>
      <c r="B90" s="46" t="s">
        <v>567</v>
      </c>
      <c r="C90" s="46" t="s">
        <v>568</v>
      </c>
      <c r="D90" s="46" t="s">
        <v>569</v>
      </c>
      <c r="E90" s="46" t="s">
        <v>570</v>
      </c>
      <c r="G90" s="46"/>
    </row>
    <row r="91" spans="1:13">
      <c r="B91" s="73" t="e">
        <f>VLOOKUP($A91,Inputs!$A$5:$M$98,MATCH(B$4,Inputs!$B$5:$M$5,0)+1,FALSE)</f>
        <v>#N/A</v>
      </c>
      <c r="C91" s="73" t="e">
        <f>VLOOKUP($A91,Inputs!$A$5:$M$98,MATCH(C$4,Inputs!$B$5:$M$5,0)+1,FALSE)</f>
        <v>#N/A</v>
      </c>
      <c r="D91" s="73" t="e">
        <f>VLOOKUP($A91,Inputs!$A$5:$M$98,MATCH(D$4,Inputs!$B$5:$M$5,0)+1,FALSE)</f>
        <v>#N/A</v>
      </c>
      <c r="E91" s="73" t="e">
        <f>VLOOKUP($A91,Inputs!$A$5:$M$98,MATCH(E$4,Inputs!$B$5:$M$5,0)+1,FALSE)</f>
        <v>#N/A</v>
      </c>
    </row>
    <row r="92" spans="1:13">
      <c r="B92" s="74"/>
      <c r="C92" s="74"/>
      <c r="D92" s="2"/>
      <c r="E92" s="74"/>
      <c r="F92" s="2"/>
    </row>
    <row r="93" spans="1:13">
      <c r="B93" s="74"/>
      <c r="C93" s="74"/>
      <c r="D93" s="2"/>
      <c r="E93" s="74"/>
      <c r="F93" s="2"/>
    </row>
    <row r="94" spans="1:13">
      <c r="B94" s="74"/>
      <c r="C94" s="74"/>
      <c r="D94" s="2"/>
      <c r="E94" s="74"/>
      <c r="F94" s="2"/>
    </row>
    <row r="95" spans="1:13">
      <c r="B95" s="74"/>
      <c r="C95" s="74"/>
      <c r="D95" s="2"/>
      <c r="E95" s="74"/>
      <c r="F95" s="2"/>
    </row>
    <row r="96" spans="1:13">
      <c r="B96" s="74"/>
      <c r="C96" s="74"/>
      <c r="D96" s="2"/>
      <c r="E96" s="74"/>
      <c r="F96" s="2"/>
    </row>
    <row r="97" spans="2:6">
      <c r="B97" s="74"/>
      <c r="C97" s="74"/>
      <c r="D97" s="2"/>
      <c r="E97" s="74"/>
      <c r="F97" s="2"/>
    </row>
    <row r="98" spans="2:6">
      <c r="B98" s="74"/>
      <c r="C98" s="74"/>
      <c r="D98" s="2"/>
      <c r="E98" s="74"/>
      <c r="F98" s="2"/>
    </row>
    <row r="99" spans="2:6">
      <c r="B99" s="74"/>
      <c r="C99" s="74"/>
      <c r="D99" s="2"/>
      <c r="E99" s="74"/>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A3C43-E167-4BFD-BD9D-9D0FA5A01626}">
  <sheetPr>
    <tabColor rgb="FFFFFF00"/>
  </sheetPr>
  <dimension ref="A1:IB88"/>
  <sheetViews>
    <sheetView topLeftCell="F36" workbookViewId="0">
      <selection activeCell="F36" sqref="F36"/>
    </sheetView>
  </sheetViews>
  <sheetFormatPr defaultColWidth="11.42578125" defaultRowHeight="12"/>
  <cols>
    <col min="1" max="1" width="36.140625" style="45" customWidth="1"/>
    <col min="2" max="10" width="12.28515625" style="45" customWidth="1"/>
    <col min="11" max="12" width="12.28515625" style="54" customWidth="1"/>
    <col min="13" max="13" width="12.140625" style="54" bestFit="1" customWidth="1"/>
    <col min="14" max="16384" width="11.42578125" style="44"/>
  </cols>
  <sheetData>
    <row r="1" spans="1:14" ht="15.95">
      <c r="A1" s="1131" t="e" vm="1">
        <f>Inputs!H3</f>
        <v>#VALUE!</v>
      </c>
      <c r="B1" s="1131"/>
      <c r="C1" s="1131"/>
      <c r="D1" s="1131"/>
      <c r="E1" s="1131"/>
      <c r="F1" s="1131"/>
      <c r="G1" s="1131"/>
      <c r="H1" s="1131"/>
      <c r="I1" s="1131"/>
      <c r="J1" s="1131"/>
      <c r="K1" s="1131"/>
      <c r="L1" s="1131"/>
      <c r="M1" s="1131"/>
    </row>
    <row r="2" spans="1:14" ht="12" customHeight="1">
      <c r="A2" s="1132" t="str">
        <f>Inputs!G2</f>
        <v>Figures in Millions of USD</v>
      </c>
      <c r="B2" s="1132"/>
      <c r="C2" s="1132"/>
      <c r="D2" s="1132"/>
      <c r="E2" s="1132"/>
      <c r="F2" s="1132"/>
      <c r="G2" s="1132"/>
      <c r="H2" s="1132"/>
      <c r="I2" s="1132"/>
      <c r="J2" s="1132"/>
      <c r="K2" s="1132"/>
      <c r="L2" s="1132"/>
      <c r="M2" s="1132"/>
    </row>
    <row r="3" spans="1:14" ht="20.100000000000001">
      <c r="A3" s="1130" t="s">
        <v>528</v>
      </c>
      <c r="B3" s="1130"/>
      <c r="C3" s="1130"/>
      <c r="D3" s="1130"/>
      <c r="E3" s="1130"/>
      <c r="F3" s="1130"/>
      <c r="G3" s="1130"/>
      <c r="H3" s="1130"/>
      <c r="I3" s="1130"/>
      <c r="J3" s="1130"/>
      <c r="K3" s="1130"/>
      <c r="L3" s="1130"/>
      <c r="M3" s="1130"/>
    </row>
    <row r="4" spans="1:14">
      <c r="A4" s="56"/>
      <c r="B4" s="57">
        <f>OP!J17</f>
        <v>2022</v>
      </c>
      <c r="C4" s="46">
        <f>B4-1</f>
        <v>2021</v>
      </c>
      <c r="D4" s="46">
        <f t="shared" ref="D4:M4" si="0">C4-1</f>
        <v>2020</v>
      </c>
      <c r="E4" s="46">
        <f t="shared" si="0"/>
        <v>2019</v>
      </c>
      <c r="F4" s="46">
        <f t="shared" si="0"/>
        <v>2018</v>
      </c>
      <c r="G4" s="46">
        <f t="shared" si="0"/>
        <v>2017</v>
      </c>
      <c r="H4" s="46">
        <f t="shared" si="0"/>
        <v>2016</v>
      </c>
      <c r="I4" s="46">
        <f t="shared" si="0"/>
        <v>2015</v>
      </c>
      <c r="J4" s="46">
        <f t="shared" si="0"/>
        <v>2014</v>
      </c>
      <c r="K4" s="46">
        <f t="shared" si="0"/>
        <v>2013</v>
      </c>
      <c r="L4" s="46">
        <f t="shared" si="0"/>
        <v>2012</v>
      </c>
      <c r="M4" s="46">
        <f t="shared" si="0"/>
        <v>2011</v>
      </c>
      <c r="N4" s="49"/>
    </row>
    <row r="5" spans="1:14" ht="12.95">
      <c r="A5" s="58" t="s">
        <v>124</v>
      </c>
      <c r="B5" s="59">
        <f>_xlfn.XLOOKUP($A5,Inputs!$A:$A,Inputs!B:B,,0)</f>
        <v>31877</v>
      </c>
      <c r="C5" s="59">
        <f>_xlfn.XLOOKUP($A5,Inputs!$A:$A,Inputs!C:C,,0)</f>
        <v>17455</v>
      </c>
      <c r="D5" s="59">
        <f>_xlfn.XLOOKUP($A5,Inputs!$A:$A,Inputs!D:D,,0)</f>
        <v>11139</v>
      </c>
      <c r="E5" s="59">
        <f>_xlfn.XLOOKUP($A5,Inputs!$A:$A,Inputs!E:E,,0)</f>
        <v>13000</v>
      </c>
      <c r="F5" s="59">
        <f>_xlfn.XLOOKUP($A5,Inputs!$A:$A,Inputs!F:F,,0)</f>
        <v>10433</v>
      </c>
      <c r="G5" s="59">
        <f>_xlfn.XLOOKUP($A5,Inputs!$A:$A,Inputs!G:G,,0)</f>
        <v>7932</v>
      </c>
      <c r="H5" s="59">
        <f>_xlfn.XLOOKUP($A5,Inputs!$A:$A,Inputs!H:H,,0)</f>
        <v>0</v>
      </c>
      <c r="I5" s="59">
        <f>_xlfn.XLOOKUP($A5,Inputs!$A:$A,Inputs!I:I,,0)</f>
        <v>0</v>
      </c>
      <c r="J5" s="59">
        <f>_xlfn.XLOOKUP($A5,Inputs!$A:$A,Inputs!J:J,,0)</f>
        <v>0</v>
      </c>
      <c r="K5" s="59">
        <f>_xlfn.XLOOKUP($A5,Inputs!$A:$A,Inputs!K:K,,0)</f>
        <v>0</v>
      </c>
      <c r="L5" s="59">
        <f>_xlfn.XLOOKUP($A5,Inputs!$A:$A,Inputs!L:L,,0)</f>
        <v>0</v>
      </c>
      <c r="M5" s="60">
        <f>_xlfn.XLOOKUP($A5,Inputs!$A:$A,Inputs!M:M,,0)</f>
        <v>0</v>
      </c>
      <c r="N5" s="49"/>
    </row>
    <row r="6" spans="1:14" ht="12.95">
      <c r="A6" s="61" t="s">
        <v>529</v>
      </c>
      <c r="B6" s="62">
        <f t="shared" ref="B6:M6" si="1">IFERROR(B5/C5-1,"-")</f>
        <v>0.8262389000286452</v>
      </c>
      <c r="C6" s="62">
        <f t="shared" si="1"/>
        <v>0.56701678786246523</v>
      </c>
      <c r="D6" s="62">
        <f t="shared" si="1"/>
        <v>-0.14315384615384619</v>
      </c>
      <c r="E6" s="62">
        <f t="shared" si="1"/>
        <v>0.24604619955909124</v>
      </c>
      <c r="F6" s="62">
        <f t="shared" si="1"/>
        <v>0.31530509329299039</v>
      </c>
      <c r="G6" s="62" t="str">
        <f t="shared" si="1"/>
        <v>-</v>
      </c>
      <c r="H6" s="62" t="str">
        <f t="shared" si="1"/>
        <v>-</v>
      </c>
      <c r="I6" s="62" t="str">
        <f t="shared" si="1"/>
        <v>-</v>
      </c>
      <c r="J6" s="62" t="str">
        <f t="shared" si="1"/>
        <v>-</v>
      </c>
      <c r="K6" s="62" t="str">
        <f t="shared" si="1"/>
        <v>-</v>
      </c>
      <c r="L6" s="62" t="str">
        <f t="shared" si="1"/>
        <v>-</v>
      </c>
      <c r="M6" s="63" t="str">
        <f t="shared" si="1"/>
        <v>-</v>
      </c>
      <c r="N6" s="49"/>
    </row>
    <row r="7" spans="1:14" ht="12.95">
      <c r="A7" s="58" t="s">
        <v>530</v>
      </c>
      <c r="B7" s="59">
        <f>_xlfn.XLOOKUP($A7,Inputs!$A:$A,Inputs!B:B,,0)</f>
        <v>12218</v>
      </c>
      <c r="C7" s="59">
        <f>_xlfn.XLOOKUP($A7,Inputs!$A:$A,Inputs!C:C,,0)</f>
        <v>8104</v>
      </c>
      <c r="D7" s="59">
        <f>_xlfn.XLOOKUP($A7,Inputs!$A:$A,Inputs!D:D,,0)</f>
        <v>5985</v>
      </c>
      <c r="E7" s="59">
        <f>_xlfn.XLOOKUP($A7,Inputs!$A:$A,Inputs!E:E,,0)</f>
        <v>6939</v>
      </c>
      <c r="F7" s="59">
        <f>_xlfn.XLOOKUP($A7,Inputs!$A:$A,Inputs!F:F,,0)</f>
        <v>5647</v>
      </c>
      <c r="G7" s="59">
        <f>_xlfn.XLOOKUP($A7,Inputs!$A:$A,Inputs!G:G,,0)</f>
        <v>3772</v>
      </c>
      <c r="H7" s="59">
        <f>_xlfn.XLOOKUP($A7,Inputs!$A:$A,Inputs!H:H,,0)</f>
        <v>0</v>
      </c>
      <c r="I7" s="59">
        <f>_xlfn.XLOOKUP($A7,Inputs!$A:$A,Inputs!I:I,,0)</f>
        <v>0</v>
      </c>
      <c r="J7" s="59">
        <f>_xlfn.XLOOKUP($A7,Inputs!$A:$A,Inputs!J:J,,0)</f>
        <v>0</v>
      </c>
      <c r="K7" s="59">
        <f>_xlfn.XLOOKUP($A7,Inputs!$A:$A,Inputs!K:K,,0)</f>
        <v>0</v>
      </c>
      <c r="L7" s="59">
        <f>_xlfn.XLOOKUP($A7,Inputs!$A:$A,Inputs!L:L,,0)</f>
        <v>0</v>
      </c>
      <c r="M7" s="60">
        <f>_xlfn.XLOOKUP($A7,Inputs!$A:$A,Inputs!M:M,,0)</f>
        <v>0</v>
      </c>
      <c r="N7" s="49"/>
    </row>
    <row r="8" spans="1:14" ht="12.95">
      <c r="A8" s="61" t="s">
        <v>531</v>
      </c>
      <c r="B8" s="62">
        <f>IFERROR(B7/B$5,"-")</f>
        <v>0.38328575461931802</v>
      </c>
      <c r="C8" s="62">
        <f t="shared" ref="C8:M8" si="2">IFERROR(C7/C$5,"-")</f>
        <v>0.46427957605270698</v>
      </c>
      <c r="D8" s="62">
        <f t="shared" si="2"/>
        <v>0.5373013735523835</v>
      </c>
      <c r="E8" s="62">
        <f t="shared" si="2"/>
        <v>0.53376923076923077</v>
      </c>
      <c r="F8" s="62">
        <f t="shared" si="2"/>
        <v>0.5412632991469376</v>
      </c>
      <c r="G8" s="62">
        <f t="shared" si="2"/>
        <v>0.47554210791729701</v>
      </c>
      <c r="H8" s="62" t="str">
        <f t="shared" si="2"/>
        <v>-</v>
      </c>
      <c r="I8" s="62" t="str">
        <f t="shared" si="2"/>
        <v>-</v>
      </c>
      <c r="J8" s="62" t="str">
        <f t="shared" si="2"/>
        <v>-</v>
      </c>
      <c r="K8" s="62" t="str">
        <f t="shared" si="2"/>
        <v>-</v>
      </c>
      <c r="L8" s="62" t="str">
        <f t="shared" si="2"/>
        <v>-</v>
      </c>
      <c r="M8" s="63" t="str">
        <f t="shared" si="2"/>
        <v>-</v>
      </c>
      <c r="N8" s="49"/>
    </row>
    <row r="9" spans="1:14" ht="12.95">
      <c r="A9" s="58" t="s">
        <v>532</v>
      </c>
      <c r="B9" s="59">
        <f t="shared" ref="B9:M9" si="3">B5-B11</f>
        <v>33709</v>
      </c>
      <c r="C9" s="59">
        <f t="shared" si="3"/>
        <v>21289</v>
      </c>
      <c r="D9" s="59">
        <f t="shared" si="3"/>
        <v>16002</v>
      </c>
      <c r="E9" s="59">
        <f t="shared" si="3"/>
        <v>21596</v>
      </c>
      <c r="F9" s="59">
        <f t="shared" si="3"/>
        <v>13466</v>
      </c>
      <c r="G9" s="59">
        <f t="shared" si="3"/>
        <v>12012</v>
      </c>
      <c r="H9" s="59">
        <f t="shared" si="3"/>
        <v>0</v>
      </c>
      <c r="I9" s="59">
        <f t="shared" si="3"/>
        <v>0</v>
      </c>
      <c r="J9" s="59">
        <f t="shared" si="3"/>
        <v>0</v>
      </c>
      <c r="K9" s="59">
        <f t="shared" si="3"/>
        <v>0</v>
      </c>
      <c r="L9" s="59">
        <f t="shared" si="3"/>
        <v>0</v>
      </c>
      <c r="M9" s="60">
        <f t="shared" si="3"/>
        <v>0</v>
      </c>
      <c r="N9" s="49"/>
    </row>
    <row r="10" spans="1:14" ht="12.95">
      <c r="A10" s="61" t="s">
        <v>531</v>
      </c>
      <c r="B10" s="62">
        <f>IFERROR(B9/B$5,"-")</f>
        <v>1.0574709037864292</v>
      </c>
      <c r="C10" s="62">
        <f t="shared" ref="C10:M10" si="4">IFERROR(C9/C$5,"-")</f>
        <v>1.2196505299341163</v>
      </c>
      <c r="D10" s="62">
        <f t="shared" si="4"/>
        <v>1.4365741987611096</v>
      </c>
      <c r="E10" s="62">
        <f t="shared" si="4"/>
        <v>1.6612307692307693</v>
      </c>
      <c r="F10" s="62">
        <f t="shared" si="4"/>
        <v>1.290712163327902</v>
      </c>
      <c r="G10" s="62">
        <f t="shared" si="4"/>
        <v>1.5143721633888048</v>
      </c>
      <c r="H10" s="62" t="str">
        <f t="shared" si="4"/>
        <v>-</v>
      </c>
      <c r="I10" s="62" t="str">
        <f t="shared" si="4"/>
        <v>-</v>
      </c>
      <c r="J10" s="62" t="str">
        <f t="shared" si="4"/>
        <v>-</v>
      </c>
      <c r="K10" s="62" t="str">
        <f t="shared" si="4"/>
        <v>-</v>
      </c>
      <c r="L10" s="62" t="str">
        <f t="shared" si="4"/>
        <v>-</v>
      </c>
      <c r="M10" s="63" t="str">
        <f t="shared" si="4"/>
        <v>-</v>
      </c>
      <c r="N10" s="49"/>
    </row>
    <row r="11" spans="1:14" ht="12.95">
      <c r="A11" s="58" t="s">
        <v>265</v>
      </c>
      <c r="B11" s="59">
        <f>_xlfn.XLOOKUP($A11,Inputs!$A:$A,Inputs!B:B,,0)</f>
        <v>-1832</v>
      </c>
      <c r="C11" s="59">
        <f>_xlfn.XLOOKUP($A11,Inputs!$A:$A,Inputs!C:C,,0)</f>
        <v>-3834</v>
      </c>
      <c r="D11" s="59">
        <f>_xlfn.XLOOKUP($A11,Inputs!$A:$A,Inputs!D:D,,0)</f>
        <v>-4863</v>
      </c>
      <c r="E11" s="59">
        <f>_xlfn.XLOOKUP($A11,Inputs!$A:$A,Inputs!E:E,,0)</f>
        <v>-8596</v>
      </c>
      <c r="F11" s="59">
        <f>_xlfn.XLOOKUP($A11,Inputs!$A:$A,Inputs!F:F,,0)</f>
        <v>-3033</v>
      </c>
      <c r="G11" s="59">
        <f>_xlfn.XLOOKUP($A11,Inputs!$A:$A,Inputs!G:G,,0)</f>
        <v>-4080</v>
      </c>
      <c r="H11" s="59">
        <f>_xlfn.XLOOKUP($A11,Inputs!$A:$A,Inputs!H:H,,0)</f>
        <v>0</v>
      </c>
      <c r="I11" s="59">
        <f>_xlfn.XLOOKUP($A11,Inputs!$A:$A,Inputs!I:I,,0)</f>
        <v>0</v>
      </c>
      <c r="J11" s="59">
        <f>_xlfn.XLOOKUP($A11,Inputs!$A:$A,Inputs!J:J,,0)</f>
        <v>0</v>
      </c>
      <c r="K11" s="59">
        <f>_xlfn.XLOOKUP($A11,Inputs!$A:$A,Inputs!K:K,,0)</f>
        <v>0</v>
      </c>
      <c r="L11" s="59">
        <f>_xlfn.XLOOKUP($A11,Inputs!$A:$A,Inputs!L:L,,0)</f>
        <v>0</v>
      </c>
      <c r="M11" s="60">
        <f>_xlfn.XLOOKUP($A11,Inputs!$A:$A,Inputs!M:M,,0)</f>
        <v>0</v>
      </c>
      <c r="N11" s="49"/>
    </row>
    <row r="12" spans="1:14" ht="12.95">
      <c r="A12" s="61" t="s">
        <v>531</v>
      </c>
      <c r="B12" s="62">
        <f t="shared" ref="B12:M12" si="5">IFERROR(B11/B$5,"-")</f>
        <v>-5.7470903786429085E-2</v>
      </c>
      <c r="C12" s="62">
        <f t="shared" si="5"/>
        <v>-0.2196505299341163</v>
      </c>
      <c r="D12" s="62">
        <f t="shared" si="5"/>
        <v>-0.43657419876110959</v>
      </c>
      <c r="E12" s="62">
        <f t="shared" si="5"/>
        <v>-0.66123076923076918</v>
      </c>
      <c r="F12" s="62">
        <f t="shared" si="5"/>
        <v>-0.29071216332790184</v>
      </c>
      <c r="G12" s="62">
        <f t="shared" si="5"/>
        <v>-0.51437216338880487</v>
      </c>
      <c r="H12" s="62" t="str">
        <f t="shared" si="5"/>
        <v>-</v>
      </c>
      <c r="I12" s="62" t="str">
        <f t="shared" si="5"/>
        <v>-</v>
      </c>
      <c r="J12" s="62" t="str">
        <f t="shared" si="5"/>
        <v>-</v>
      </c>
      <c r="K12" s="62" t="str">
        <f t="shared" si="5"/>
        <v>-</v>
      </c>
      <c r="L12" s="62" t="str">
        <f t="shared" si="5"/>
        <v>-</v>
      </c>
      <c r="M12" s="63" t="str">
        <f t="shared" si="5"/>
        <v>-</v>
      </c>
      <c r="N12" s="49"/>
    </row>
    <row r="13" spans="1:14" ht="12.95">
      <c r="A13" s="58" t="s">
        <v>533</v>
      </c>
      <c r="B13" s="62">
        <f t="shared" ref="B13:M13" si="6">IFERROR(B12/C12-1,"-")</f>
        <v>-0.73835299280330735</v>
      </c>
      <c r="C13" s="62">
        <f t="shared" si="6"/>
        <v>-0.49687697862715985</v>
      </c>
      <c r="D13" s="62">
        <f t="shared" si="6"/>
        <v>-0.33975516706672582</v>
      </c>
      <c r="E13" s="62">
        <f t="shared" si="6"/>
        <v>1.2745204798498566</v>
      </c>
      <c r="F13" s="62">
        <f t="shared" si="6"/>
        <v>-0.43482135305957914</v>
      </c>
      <c r="G13" s="62" t="str">
        <f t="shared" si="6"/>
        <v>-</v>
      </c>
      <c r="H13" s="62" t="str">
        <f t="shared" si="6"/>
        <v>-</v>
      </c>
      <c r="I13" s="62" t="str">
        <f t="shared" si="6"/>
        <v>-</v>
      </c>
      <c r="J13" s="62" t="str">
        <f t="shared" si="6"/>
        <v>-</v>
      </c>
      <c r="K13" s="62" t="str">
        <f t="shared" si="6"/>
        <v>-</v>
      </c>
      <c r="L13" s="62" t="str">
        <f t="shared" si="6"/>
        <v>-</v>
      </c>
      <c r="M13" s="63" t="str">
        <f t="shared" si="6"/>
        <v>-</v>
      </c>
      <c r="N13" s="49"/>
    </row>
    <row r="14" spans="1:14" ht="12.95">
      <c r="A14" s="64" t="s">
        <v>266</v>
      </c>
      <c r="B14" s="59">
        <f>_xlfn.XLOOKUP($A14,Inputs!$A:$A,Inputs!B:B,,0)</f>
        <v>-426</v>
      </c>
      <c r="C14" s="59">
        <f>_xlfn.XLOOKUP($A14,Inputs!$A:$A,Inputs!C:C,,0)</f>
        <v>-446</v>
      </c>
      <c r="D14" s="59">
        <f>_xlfn.XLOOKUP($A14,Inputs!$A:$A,Inputs!D:D,,0)</f>
        <v>-403</v>
      </c>
      <c r="E14" s="59">
        <f>_xlfn.XLOOKUP($A14,Inputs!$A:$A,Inputs!E:E,,0)</f>
        <v>-325</v>
      </c>
      <c r="F14" s="59">
        <f>_xlfn.XLOOKUP($A14,Inputs!$A:$A,Inputs!F:F,,0)</f>
        <v>-544</v>
      </c>
      <c r="G14" s="59">
        <f>_xlfn.XLOOKUP($A14,Inputs!$A:$A,Inputs!G:G,,0)</f>
        <v>-408</v>
      </c>
      <c r="H14" s="59">
        <f>_xlfn.XLOOKUP($A14,Inputs!$A:$A,Inputs!H:H,,0)</f>
        <v>0</v>
      </c>
      <c r="I14" s="59">
        <f>_xlfn.XLOOKUP($A14,Inputs!$A:$A,Inputs!I:I,,0)</f>
        <v>0</v>
      </c>
      <c r="J14" s="59">
        <f>_xlfn.XLOOKUP($A14,Inputs!$A:$A,Inputs!J:J,,0)</f>
        <v>0</v>
      </c>
      <c r="K14" s="59">
        <f>_xlfn.XLOOKUP($A14,Inputs!$A:$A,Inputs!K:K,,0)</f>
        <v>0</v>
      </c>
      <c r="L14" s="59">
        <f>_xlfn.XLOOKUP($A14,Inputs!$A:$A,Inputs!L:L,,0)</f>
        <v>0</v>
      </c>
      <c r="M14" s="60">
        <f>_xlfn.XLOOKUP($A14,Inputs!$A:$A,Inputs!M:M,,0)</f>
        <v>0</v>
      </c>
      <c r="N14" s="49"/>
    </row>
    <row r="15" spans="1:14" ht="12.95">
      <c r="A15" s="58" t="s">
        <v>534</v>
      </c>
      <c r="B15" s="59">
        <f>_xlfn.XLOOKUP($A15,Inputs!$A:$A,Inputs!B:B,,0)</f>
        <v>-7029</v>
      </c>
      <c r="C15" s="59">
        <f>_xlfn.XLOOKUP($A15,Inputs!$A:$A,Inputs!C:C,,0)</f>
        <v>3292</v>
      </c>
      <c r="D15" s="59">
        <f>_xlfn.XLOOKUP($A15,Inputs!$A:$A,Inputs!D:D,,0)</f>
        <v>-1625</v>
      </c>
      <c r="E15" s="59">
        <f>_xlfn.XLOOKUP($A15,Inputs!$A:$A,Inputs!E:E,,0)</f>
        <v>722</v>
      </c>
      <c r="F15" s="59">
        <f>_xlfn.XLOOKUP($A15,Inputs!$A:$A,Inputs!F:F,,0)</f>
        <v>4993</v>
      </c>
      <c r="G15" s="59">
        <f>_xlfn.XLOOKUP($A15,Inputs!$A:$A,Inputs!G:G,,0)</f>
        <v>-16</v>
      </c>
      <c r="H15" s="59">
        <f>_xlfn.XLOOKUP($A15,Inputs!$A:$A,Inputs!H:H,,0)</f>
        <v>0</v>
      </c>
      <c r="I15" s="59">
        <f>_xlfn.XLOOKUP($A15,Inputs!$A:$A,Inputs!I:I,,0)</f>
        <v>0</v>
      </c>
      <c r="J15" s="59">
        <f>_xlfn.XLOOKUP($A15,Inputs!$A:$A,Inputs!J:J,,0)</f>
        <v>0</v>
      </c>
      <c r="K15" s="59">
        <f>_xlfn.XLOOKUP($A15,Inputs!$A:$A,Inputs!K:K,,0)</f>
        <v>0</v>
      </c>
      <c r="L15" s="59">
        <f>_xlfn.XLOOKUP($A15,Inputs!$A:$A,Inputs!L:L,,0)</f>
        <v>0</v>
      </c>
      <c r="M15" s="60">
        <f>_xlfn.XLOOKUP($A15,Inputs!$A:$A,Inputs!M:M,,0)</f>
        <v>0</v>
      </c>
      <c r="N15" s="49"/>
    </row>
    <row r="16" spans="1:14" ht="12.95">
      <c r="A16" s="64" t="s">
        <v>65</v>
      </c>
      <c r="B16" s="59">
        <f>B11-B15</f>
        <v>5197</v>
      </c>
      <c r="C16" s="59">
        <f t="shared" ref="C16:M16" si="7">C11-C15</f>
        <v>-7126</v>
      </c>
      <c r="D16" s="59">
        <f t="shared" si="7"/>
        <v>-3238</v>
      </c>
      <c r="E16" s="59">
        <f t="shared" si="7"/>
        <v>-9318</v>
      </c>
      <c r="F16" s="59">
        <f t="shared" si="7"/>
        <v>-8026</v>
      </c>
      <c r="G16" s="59">
        <f t="shared" si="7"/>
        <v>-4064</v>
      </c>
      <c r="H16" s="59">
        <f t="shared" si="7"/>
        <v>0</v>
      </c>
      <c r="I16" s="59">
        <f t="shared" si="7"/>
        <v>0</v>
      </c>
      <c r="J16" s="59">
        <f t="shared" si="7"/>
        <v>0</v>
      </c>
      <c r="K16" s="59">
        <f t="shared" si="7"/>
        <v>0</v>
      </c>
      <c r="L16" s="59">
        <f t="shared" si="7"/>
        <v>0</v>
      </c>
      <c r="M16" s="60">
        <f t="shared" si="7"/>
        <v>0</v>
      </c>
      <c r="N16" s="49"/>
    </row>
    <row r="17" spans="1:14" ht="12.95">
      <c r="A17" s="58" t="s">
        <v>571</v>
      </c>
      <c r="B17" s="59">
        <f>'Fin. Data'!B17</f>
        <v>947</v>
      </c>
      <c r="C17" s="59">
        <f>'Fin. Data'!C17</f>
        <v>902</v>
      </c>
      <c r="D17" s="59">
        <f>'Fin. Data'!D17</f>
        <v>575</v>
      </c>
      <c r="E17" s="59">
        <f>'Fin. Data'!E17</f>
        <v>472</v>
      </c>
      <c r="F17" s="59">
        <f>'Fin. Data'!F17</f>
        <v>426</v>
      </c>
      <c r="G17" s="59">
        <f>'Fin. Data'!G17</f>
        <v>510</v>
      </c>
      <c r="H17" s="59">
        <f>'Fin. Data'!H17</f>
        <v>0</v>
      </c>
      <c r="I17" s="59">
        <f>'Fin. Data'!I17</f>
        <v>0</v>
      </c>
      <c r="J17" s="59">
        <f>'Fin. Data'!J17</f>
        <v>0</v>
      </c>
      <c r="K17" s="59">
        <f>'Fin. Data'!K17</f>
        <v>0</v>
      </c>
      <c r="L17" s="59">
        <f>'Fin. Data'!L17</f>
        <v>0</v>
      </c>
      <c r="M17" s="60">
        <f>'Fin. Data'!M17</f>
        <v>0</v>
      </c>
      <c r="N17" s="49"/>
    </row>
    <row r="18" spans="1:14" ht="12.95">
      <c r="A18" s="64" t="s">
        <v>535</v>
      </c>
      <c r="B18" s="59">
        <f>_xlfn.XLOOKUP($A18,Inputs!$A:$A,Inputs!B:B,,0)</f>
        <v>601</v>
      </c>
      <c r="C18" s="59">
        <f>_xlfn.XLOOKUP($A18,Inputs!$A:$A,Inputs!C:C,,0)</f>
        <v>-3222</v>
      </c>
      <c r="D18" s="59">
        <f>_xlfn.XLOOKUP($A18,Inputs!$A:$A,Inputs!D:D,,0)</f>
        <v>-5269</v>
      </c>
      <c r="E18" s="59">
        <f>_xlfn.XLOOKUP($A18,Inputs!$A:$A,Inputs!E:E,,0)</f>
        <v>3887</v>
      </c>
      <c r="F18" s="59">
        <f>_xlfn.XLOOKUP($A18,Inputs!$A:$A,Inputs!F:F,,0)</f>
        <v>1419</v>
      </c>
      <c r="G18" s="59">
        <f>_xlfn.XLOOKUP($A18,Inputs!$A:$A,Inputs!G:G,,0)</f>
        <v>0</v>
      </c>
      <c r="H18" s="59">
        <f>_xlfn.XLOOKUP($A18,Inputs!$A:$A,Inputs!H:H,,0)</f>
        <v>0</v>
      </c>
      <c r="I18" s="59">
        <f>_xlfn.XLOOKUP($A18,Inputs!$A:$A,Inputs!I:I,,0)</f>
        <v>0</v>
      </c>
      <c r="J18" s="59">
        <f>_xlfn.XLOOKUP($A18,Inputs!$A:$A,Inputs!J:J,,0)</f>
        <v>0</v>
      </c>
      <c r="K18" s="59">
        <f>_xlfn.XLOOKUP($A18,Inputs!$A:$A,Inputs!K:K,,0)</f>
        <v>0</v>
      </c>
      <c r="L18" s="59">
        <f>_xlfn.XLOOKUP($A18,Inputs!$A:$A,Inputs!L:L,,0)</f>
        <v>0</v>
      </c>
      <c r="M18" s="60">
        <f>_xlfn.XLOOKUP($A18,Inputs!$A:$A,Inputs!M:M,,0)</f>
        <v>0</v>
      </c>
      <c r="N18" s="49"/>
    </row>
    <row r="19" spans="1:14" ht="12.95">
      <c r="A19" s="58" t="s">
        <v>56</v>
      </c>
      <c r="B19" s="59">
        <f>B11-B15+B17</f>
        <v>6144</v>
      </c>
      <c r="C19" s="59">
        <f t="shared" ref="C19:M19" si="8">C11-C15+C17</f>
        <v>-6224</v>
      </c>
      <c r="D19" s="59">
        <f t="shared" si="8"/>
        <v>-2663</v>
      </c>
      <c r="E19" s="59">
        <f t="shared" si="8"/>
        <v>-8846</v>
      </c>
      <c r="F19" s="59">
        <f t="shared" si="8"/>
        <v>-7600</v>
      </c>
      <c r="G19" s="59">
        <f t="shared" si="8"/>
        <v>-3554</v>
      </c>
      <c r="H19" s="59">
        <f t="shared" si="8"/>
        <v>0</v>
      </c>
      <c r="I19" s="59">
        <f t="shared" si="8"/>
        <v>0</v>
      </c>
      <c r="J19" s="59">
        <f t="shared" si="8"/>
        <v>0</v>
      </c>
      <c r="K19" s="59">
        <f t="shared" si="8"/>
        <v>0</v>
      </c>
      <c r="L19" s="59">
        <f t="shared" si="8"/>
        <v>0</v>
      </c>
      <c r="M19" s="60">
        <f t="shared" si="8"/>
        <v>0</v>
      </c>
      <c r="N19" s="49"/>
    </row>
    <row r="20" spans="1:14" ht="12.95">
      <c r="A20" s="61" t="s">
        <v>531</v>
      </c>
      <c r="B20" s="62">
        <f t="shared" ref="B20:M20" si="9">IFERROR(B19/B$5,"-")</f>
        <v>0.19274084763308968</v>
      </c>
      <c r="C20" s="62">
        <f t="shared" si="9"/>
        <v>-0.35657404755084504</v>
      </c>
      <c r="D20" s="62">
        <f t="shared" si="9"/>
        <v>-0.23906993446449412</v>
      </c>
      <c r="E20" s="62">
        <f t="shared" si="9"/>
        <v>-0.68046153846153845</v>
      </c>
      <c r="F20" s="62">
        <f t="shared" si="9"/>
        <v>-0.72845777820377644</v>
      </c>
      <c r="G20" s="62">
        <f t="shared" si="9"/>
        <v>-0.4480584972264246</v>
      </c>
      <c r="H20" s="62" t="str">
        <f t="shared" si="9"/>
        <v>-</v>
      </c>
      <c r="I20" s="62" t="str">
        <f t="shared" si="9"/>
        <v>-</v>
      </c>
      <c r="J20" s="62" t="str">
        <f t="shared" si="9"/>
        <v>-</v>
      </c>
      <c r="K20" s="62" t="str">
        <f t="shared" si="9"/>
        <v>-</v>
      </c>
      <c r="L20" s="62" t="str">
        <f t="shared" si="9"/>
        <v>-</v>
      </c>
      <c r="M20" s="63" t="str">
        <f t="shared" si="9"/>
        <v>-</v>
      </c>
      <c r="N20" s="49"/>
    </row>
    <row r="21" spans="1:14" ht="12.95">
      <c r="A21" s="58" t="s">
        <v>267</v>
      </c>
      <c r="B21" s="59">
        <f>_xlfn.XLOOKUP($A21,Inputs!$A:$A,Inputs!B:B,,0)</f>
        <v>-181</v>
      </c>
      <c r="C21" s="59">
        <f>_xlfn.XLOOKUP($A21,Inputs!$A:$A,Inputs!C:C,,0)</f>
        <v>-492</v>
      </c>
      <c r="D21" s="59">
        <f>_xlfn.XLOOKUP($A21,Inputs!$A:$A,Inputs!D:D,,0)</f>
        <v>-192</v>
      </c>
      <c r="E21" s="59">
        <f>_xlfn.XLOOKUP($A21,Inputs!$A:$A,Inputs!E:E,,0)</f>
        <v>45</v>
      </c>
      <c r="F21" s="59">
        <f>_xlfn.XLOOKUP($A21,Inputs!$A:$A,Inputs!F:F,,0)</f>
        <v>283</v>
      </c>
      <c r="G21" s="59">
        <f>_xlfn.XLOOKUP($A21,Inputs!$A:$A,Inputs!G:G,,0)</f>
        <v>-542</v>
      </c>
      <c r="H21" s="59">
        <f>_xlfn.XLOOKUP($A21,Inputs!$A:$A,Inputs!H:H,,0)</f>
        <v>0</v>
      </c>
      <c r="I21" s="59">
        <f>_xlfn.XLOOKUP($A21,Inputs!$A:$A,Inputs!I:I,,0)</f>
        <v>0</v>
      </c>
      <c r="J21" s="59">
        <f>_xlfn.XLOOKUP($A21,Inputs!$A:$A,Inputs!J:J,,0)</f>
        <v>0</v>
      </c>
      <c r="K21" s="59">
        <f>_xlfn.XLOOKUP($A21,Inputs!$A:$A,Inputs!K:K,,0)</f>
        <v>0</v>
      </c>
      <c r="L21" s="59">
        <f>_xlfn.XLOOKUP($A21,Inputs!$A:$A,Inputs!L:L,,0)</f>
        <v>0</v>
      </c>
      <c r="M21" s="60">
        <f>_xlfn.XLOOKUP($A21,Inputs!$A:$A,Inputs!M:M,,0)</f>
        <v>0</v>
      </c>
      <c r="N21" s="49"/>
    </row>
    <row r="22" spans="1:14" ht="12.95">
      <c r="A22" s="61" t="s">
        <v>537</v>
      </c>
      <c r="B22" s="62">
        <f t="shared" ref="B22:M22" si="10">IFERROR(B21/B$5,"-")</f>
        <v>-5.6780751011701229E-3</v>
      </c>
      <c r="C22" s="62">
        <f t="shared" si="10"/>
        <v>-2.8186765969636207E-2</v>
      </c>
      <c r="D22" s="62">
        <f t="shared" si="10"/>
        <v>-1.723673579315917E-2</v>
      </c>
      <c r="E22" s="62">
        <f t="shared" si="10"/>
        <v>3.4615384615384616E-3</v>
      </c>
      <c r="F22" s="62">
        <f t="shared" si="10"/>
        <v>2.7125467267324836E-2</v>
      </c>
      <c r="G22" s="62">
        <f t="shared" si="10"/>
        <v>-6.833081190115986E-2</v>
      </c>
      <c r="H22" s="62" t="str">
        <f t="shared" si="10"/>
        <v>-</v>
      </c>
      <c r="I22" s="62" t="str">
        <f t="shared" si="10"/>
        <v>-</v>
      </c>
      <c r="J22" s="62" t="str">
        <f t="shared" si="10"/>
        <v>-</v>
      </c>
      <c r="K22" s="62" t="str">
        <f t="shared" si="10"/>
        <v>-</v>
      </c>
      <c r="L22" s="62" t="str">
        <f t="shared" si="10"/>
        <v>-</v>
      </c>
      <c r="M22" s="63" t="str">
        <f t="shared" si="10"/>
        <v>-</v>
      </c>
      <c r="N22" s="49"/>
    </row>
    <row r="23" spans="1:14" ht="12.95">
      <c r="A23" s="58" t="s">
        <v>389</v>
      </c>
      <c r="B23" s="59">
        <f>_xlfn.XLOOKUP($A23,Inputs!$A:$A,Inputs!B:B,,0)</f>
        <v>-9141</v>
      </c>
      <c r="C23" s="59">
        <f>_xlfn.XLOOKUP($A23,Inputs!$A:$A,Inputs!C:C,,0)</f>
        <v>-496</v>
      </c>
      <c r="D23" s="59">
        <f>_xlfn.XLOOKUP($A23,Inputs!$A:$A,Inputs!D:D,,0)</f>
        <v>-6768</v>
      </c>
      <c r="E23" s="59">
        <f>_xlfn.XLOOKUP($A23,Inputs!$A:$A,Inputs!E:E,,0)</f>
        <v>-8512</v>
      </c>
      <c r="F23" s="59">
        <f>_xlfn.XLOOKUP($A23,Inputs!$A:$A,Inputs!F:F,,0)</f>
        <v>987</v>
      </c>
      <c r="G23" s="59">
        <f>_xlfn.XLOOKUP($A23,Inputs!$A:$A,Inputs!G:G,,0)</f>
        <v>-4033</v>
      </c>
      <c r="H23" s="59">
        <f>_xlfn.XLOOKUP($A23,Inputs!$A:$A,Inputs!H:H,,0)</f>
        <v>0</v>
      </c>
      <c r="I23" s="59">
        <f>_xlfn.XLOOKUP($A23,Inputs!$A:$A,Inputs!I:I,,0)</f>
        <v>0</v>
      </c>
      <c r="J23" s="59">
        <f>_xlfn.XLOOKUP($A23,Inputs!$A:$A,Inputs!J:J,,0)</f>
        <v>0</v>
      </c>
      <c r="K23" s="59">
        <f>_xlfn.XLOOKUP($A23,Inputs!$A:$A,Inputs!K:K,,0)</f>
        <v>0</v>
      </c>
      <c r="L23" s="59">
        <f>_xlfn.XLOOKUP($A23,Inputs!$A:$A,Inputs!L:L,,0)</f>
        <v>0</v>
      </c>
      <c r="M23" s="60">
        <f>_xlfn.XLOOKUP($A23,Inputs!$A:$A,Inputs!M:M,,0)</f>
        <v>0</v>
      </c>
      <c r="N23" s="49"/>
    </row>
    <row r="24" spans="1:14" ht="12.95">
      <c r="A24" s="61" t="s">
        <v>531</v>
      </c>
      <c r="B24" s="62">
        <f t="shared" ref="B24:M24" si="11">IFERROR(B23/B$5,"-")</f>
        <v>-0.28675847789942593</v>
      </c>
      <c r="C24" s="62">
        <f t="shared" si="11"/>
        <v>-2.8415926668576338E-2</v>
      </c>
      <c r="D24" s="62">
        <f t="shared" si="11"/>
        <v>-0.60759493670886078</v>
      </c>
      <c r="E24" s="62">
        <f t="shared" si="11"/>
        <v>-0.65476923076923077</v>
      </c>
      <c r="F24" s="62">
        <f t="shared" si="11"/>
        <v>9.4603661458832547E-2</v>
      </c>
      <c r="G24" s="62">
        <f t="shared" si="11"/>
        <v>-0.50844679778113966</v>
      </c>
      <c r="H24" s="62" t="str">
        <f t="shared" si="11"/>
        <v>-</v>
      </c>
      <c r="I24" s="62" t="str">
        <f t="shared" si="11"/>
        <v>-</v>
      </c>
      <c r="J24" s="62" t="str">
        <f t="shared" si="11"/>
        <v>-</v>
      </c>
      <c r="K24" s="62" t="str">
        <f t="shared" si="11"/>
        <v>-</v>
      </c>
      <c r="L24" s="62" t="str">
        <f t="shared" si="11"/>
        <v>-</v>
      </c>
      <c r="M24" s="63" t="str">
        <f t="shared" si="11"/>
        <v>-</v>
      </c>
      <c r="N24" s="49"/>
    </row>
    <row r="25" spans="1:14" ht="12.95">
      <c r="A25" s="58" t="s">
        <v>529</v>
      </c>
      <c r="B25" s="62">
        <f t="shared" ref="B25:M25" si="12">IFERROR(B24/C24-1,"-")</f>
        <v>9.091470225271129</v>
      </c>
      <c r="C25" s="62">
        <f t="shared" si="12"/>
        <v>-0.95323212069130148</v>
      </c>
      <c r="D25" s="62">
        <f t="shared" si="12"/>
        <v>-7.2047206624155313E-2</v>
      </c>
      <c r="E25" s="62">
        <f t="shared" si="12"/>
        <v>-7.9211827605019094</v>
      </c>
      <c r="F25" s="62">
        <f t="shared" si="12"/>
        <v>-1.1860640324055194</v>
      </c>
      <c r="G25" s="62" t="str">
        <f t="shared" si="12"/>
        <v>-</v>
      </c>
      <c r="H25" s="62" t="str">
        <f t="shared" si="12"/>
        <v>-</v>
      </c>
      <c r="I25" s="62" t="str">
        <f t="shared" si="12"/>
        <v>-</v>
      </c>
      <c r="J25" s="62" t="str">
        <f t="shared" si="12"/>
        <v>-</v>
      </c>
      <c r="K25" s="62" t="str">
        <f t="shared" si="12"/>
        <v>-</v>
      </c>
      <c r="L25" s="62" t="str">
        <f t="shared" si="12"/>
        <v>-</v>
      </c>
      <c r="M25" s="63" t="str">
        <f t="shared" si="12"/>
        <v>-</v>
      </c>
      <c r="N25" s="49"/>
    </row>
    <row r="26" spans="1:14" ht="12.95">
      <c r="A26" s="61" t="s">
        <v>538</v>
      </c>
      <c r="B26" s="65">
        <f>B39-C39</f>
        <v>-87</v>
      </c>
      <c r="C26" s="65">
        <f t="shared" ref="C26:M26" si="13">C39-D39</f>
        <v>-1352</v>
      </c>
      <c r="D26" s="65">
        <f t="shared" si="13"/>
        <v>-5226</v>
      </c>
      <c r="E26" s="65">
        <f t="shared" si="13"/>
        <v>4467</v>
      </c>
      <c r="F26" s="65">
        <f t="shared" si="13"/>
        <v>1871</v>
      </c>
      <c r="G26" s="65">
        <f t="shared" si="13"/>
        <v>4535</v>
      </c>
      <c r="H26" s="65">
        <f t="shared" si="13"/>
        <v>0</v>
      </c>
      <c r="I26" s="65">
        <f t="shared" si="13"/>
        <v>0</v>
      </c>
      <c r="J26" s="65">
        <f t="shared" si="13"/>
        <v>0</v>
      </c>
      <c r="K26" s="65">
        <f t="shared" si="13"/>
        <v>0</v>
      </c>
      <c r="L26" s="65">
        <f t="shared" si="13"/>
        <v>0</v>
      </c>
      <c r="M26" s="66">
        <f t="shared" si="13"/>
        <v>0</v>
      </c>
      <c r="N26" s="49"/>
    </row>
    <row r="27" spans="1:14" ht="12.95">
      <c r="A27" s="58" t="s">
        <v>135</v>
      </c>
      <c r="B27" s="59">
        <f>_xlfn.XLOOKUP($A27,Inputs!$A:$A,Inputs!B:B,,0)</f>
        <v>0</v>
      </c>
      <c r="C27" s="59">
        <f>_xlfn.XLOOKUP($A27,Inputs!$A:$A,Inputs!C:C,,0)</f>
        <v>0</v>
      </c>
      <c r="D27" s="59">
        <f>_xlfn.XLOOKUP($A27,Inputs!$A:$A,Inputs!D:D,,0)</f>
        <v>0</v>
      </c>
      <c r="E27" s="59">
        <f>_xlfn.XLOOKUP($A27,Inputs!$A:$A,Inputs!E:E,,0)</f>
        <v>0</v>
      </c>
      <c r="F27" s="59">
        <f>_xlfn.XLOOKUP($A27,Inputs!$A:$A,Inputs!F:F,,0)</f>
        <v>0</v>
      </c>
      <c r="G27" s="59">
        <f>_xlfn.XLOOKUP($A27,Inputs!$A:$A,Inputs!G:G,,0)</f>
        <v>0</v>
      </c>
      <c r="H27" s="59">
        <f>_xlfn.XLOOKUP($A27,Inputs!$A:$A,Inputs!H:H,,0)</f>
        <v>0</v>
      </c>
      <c r="I27" s="59">
        <f>_xlfn.XLOOKUP($A27,Inputs!$A:$A,Inputs!I:I,,0)</f>
        <v>0</v>
      </c>
      <c r="J27" s="59">
        <f>_xlfn.XLOOKUP($A27,Inputs!$A:$A,Inputs!J:J,,0)</f>
        <v>0</v>
      </c>
      <c r="K27" s="59">
        <f>_xlfn.XLOOKUP($A27,Inputs!$A:$A,Inputs!K:K,,0)</f>
        <v>0</v>
      </c>
      <c r="L27" s="59">
        <f>_xlfn.XLOOKUP($A27,Inputs!$A:$A,Inputs!L:L,,0)</f>
        <v>0</v>
      </c>
      <c r="M27" s="60">
        <f>_xlfn.XLOOKUP($A27,Inputs!$A:$A,Inputs!M:M,,0)</f>
        <v>0</v>
      </c>
      <c r="N27" s="49"/>
    </row>
    <row r="28" spans="1:14" ht="12.95">
      <c r="A28" s="64" t="s">
        <v>539</v>
      </c>
      <c r="B28" s="59">
        <f>_xlfn.XLOOKUP($A28,Inputs!$A:$A,Inputs!B:B,,0)</f>
        <v>0</v>
      </c>
      <c r="C28" s="59">
        <f>_xlfn.XLOOKUP($A28,Inputs!$A:$A,Inputs!C:C,,0)</f>
        <v>0</v>
      </c>
      <c r="D28" s="59">
        <f>_xlfn.XLOOKUP($A28,Inputs!$A:$A,Inputs!D:D,,0)</f>
        <v>0</v>
      </c>
      <c r="E28" s="59">
        <f>_xlfn.XLOOKUP($A28,Inputs!$A:$A,Inputs!E:E,,0)</f>
        <v>0</v>
      </c>
      <c r="F28" s="59">
        <f>_xlfn.XLOOKUP($A28,Inputs!$A:$A,Inputs!F:F,,0)</f>
        <v>-10</v>
      </c>
      <c r="G28" s="59">
        <f>_xlfn.XLOOKUP($A28,Inputs!$A:$A,Inputs!G:G,,0)</f>
        <v>-131</v>
      </c>
      <c r="H28" s="59">
        <f>_xlfn.XLOOKUP($A28,Inputs!$A:$A,Inputs!H:H,,0)</f>
        <v>0</v>
      </c>
      <c r="I28" s="59">
        <f>_xlfn.XLOOKUP($A28,Inputs!$A:$A,Inputs!I:I,,0)</f>
        <v>0</v>
      </c>
      <c r="J28" s="59">
        <f>_xlfn.XLOOKUP($A28,Inputs!$A:$A,Inputs!J:J,,0)</f>
        <v>0</v>
      </c>
      <c r="K28" s="59">
        <f>_xlfn.XLOOKUP($A28,Inputs!$A:$A,Inputs!K:K,,0)</f>
        <v>0</v>
      </c>
      <c r="L28" s="59">
        <f>_xlfn.XLOOKUP($A28,Inputs!$A:$A,Inputs!L:L,,0)</f>
        <v>0</v>
      </c>
      <c r="M28" s="60">
        <f>_xlfn.XLOOKUP($A28,Inputs!$A:$A,Inputs!M:M,,0)</f>
        <v>0</v>
      </c>
      <c r="N28" s="49"/>
    </row>
    <row r="29" spans="1:14" ht="12.95">
      <c r="A29" s="58" t="s">
        <v>572</v>
      </c>
      <c r="B29" s="65">
        <f t="shared" ref="B29:M29" si="14">SUM(B26:B28)</f>
        <v>-87</v>
      </c>
      <c r="C29" s="65">
        <f t="shared" si="14"/>
        <v>-1352</v>
      </c>
      <c r="D29" s="65">
        <f t="shared" si="14"/>
        <v>-5226</v>
      </c>
      <c r="E29" s="65">
        <f t="shared" si="14"/>
        <v>4467</v>
      </c>
      <c r="F29" s="65">
        <f t="shared" si="14"/>
        <v>1861</v>
      </c>
      <c r="G29" s="65">
        <f t="shared" si="14"/>
        <v>4404</v>
      </c>
      <c r="H29" s="65">
        <f t="shared" si="14"/>
        <v>0</v>
      </c>
      <c r="I29" s="65">
        <f t="shared" si="14"/>
        <v>0</v>
      </c>
      <c r="J29" s="65">
        <f t="shared" si="14"/>
        <v>0</v>
      </c>
      <c r="K29" s="65">
        <f t="shared" si="14"/>
        <v>0</v>
      </c>
      <c r="L29" s="65">
        <f t="shared" si="14"/>
        <v>0</v>
      </c>
      <c r="M29" s="66">
        <f t="shared" si="14"/>
        <v>0</v>
      </c>
      <c r="N29" s="49"/>
    </row>
    <row r="30" spans="1:14" ht="12.95">
      <c r="A30" s="64" t="s">
        <v>540</v>
      </c>
      <c r="B30" s="65">
        <f t="shared" ref="B30:M30" si="15">+B29-(B58-C29)</f>
        <v>-10704</v>
      </c>
      <c r="C30" s="65">
        <f t="shared" si="15"/>
        <v>-15854</v>
      </c>
      <c r="D30" s="65">
        <f t="shared" si="15"/>
        <v>-8319</v>
      </c>
      <c r="E30" s="65">
        <f t="shared" si="15"/>
        <v>621</v>
      </c>
      <c r="F30" s="65">
        <f t="shared" si="15"/>
        <v>-604</v>
      </c>
      <c r="G30" s="65">
        <f t="shared" si="15"/>
        <v>4404</v>
      </c>
      <c r="H30" s="65">
        <f t="shared" si="15"/>
        <v>0</v>
      </c>
      <c r="I30" s="65">
        <f t="shared" si="15"/>
        <v>0</v>
      </c>
      <c r="J30" s="65">
        <f t="shared" si="15"/>
        <v>0</v>
      </c>
      <c r="K30" s="65">
        <f t="shared" si="15"/>
        <v>0</v>
      </c>
      <c r="L30" s="65">
        <f t="shared" si="15"/>
        <v>0</v>
      </c>
      <c r="M30" s="66">
        <f t="shared" si="15"/>
        <v>0</v>
      </c>
      <c r="N30" s="49"/>
    </row>
    <row r="31" spans="1:14" ht="12.95">
      <c r="A31" s="58" t="s">
        <v>541</v>
      </c>
      <c r="B31" s="65">
        <f t="shared" ref="B31:M31" si="16">+B30+B33</f>
        <v>-11843</v>
      </c>
      <c r="C31" s="65">
        <f t="shared" si="16"/>
        <v>-16472</v>
      </c>
      <c r="D31" s="65">
        <f t="shared" si="16"/>
        <v>-10450</v>
      </c>
      <c r="E31" s="65">
        <f t="shared" si="16"/>
        <v>368</v>
      </c>
      <c r="F31" s="65">
        <f t="shared" si="16"/>
        <v>-1080</v>
      </c>
      <c r="G31" s="65">
        <f t="shared" si="16"/>
        <v>4404</v>
      </c>
      <c r="H31" s="65">
        <f t="shared" si="16"/>
        <v>0</v>
      </c>
      <c r="I31" s="65">
        <f t="shared" si="16"/>
        <v>0</v>
      </c>
      <c r="J31" s="65">
        <f t="shared" si="16"/>
        <v>0</v>
      </c>
      <c r="K31" s="65">
        <f t="shared" si="16"/>
        <v>0</v>
      </c>
      <c r="L31" s="65">
        <f t="shared" si="16"/>
        <v>0</v>
      </c>
      <c r="M31" s="66">
        <f t="shared" si="16"/>
        <v>0</v>
      </c>
      <c r="N31" s="49"/>
    </row>
    <row r="32" spans="1:14" ht="12.95">
      <c r="A32" s="64" t="s">
        <v>132</v>
      </c>
      <c r="B32" s="59">
        <f>_xlfn.XLOOKUP($A32,Inputs!$A:$A,Inputs!B:B,,0)</f>
        <v>-252</v>
      </c>
      <c r="C32" s="59">
        <f>_xlfn.XLOOKUP($A32,Inputs!$A:$A,Inputs!C:C,,0)</f>
        <v>-298</v>
      </c>
      <c r="D32" s="59">
        <f>_xlfn.XLOOKUP($A32,Inputs!$A:$A,Inputs!D:D,,0)</f>
        <v>-616</v>
      </c>
      <c r="E32" s="59">
        <f>_xlfn.XLOOKUP($A32,Inputs!$A:$A,Inputs!E:E,,0)</f>
        <v>-588</v>
      </c>
      <c r="F32" s="59">
        <f>_xlfn.XLOOKUP($A32,Inputs!$A:$A,Inputs!F:F,,0)</f>
        <v>-558</v>
      </c>
      <c r="G32" s="59">
        <f>_xlfn.XLOOKUP($A32,Inputs!$A:$A,Inputs!G:G,,0)</f>
        <v>0</v>
      </c>
      <c r="H32" s="59">
        <f>_xlfn.XLOOKUP($A32,Inputs!$A:$A,Inputs!H:H,,0)</f>
        <v>0</v>
      </c>
      <c r="I32" s="59">
        <f>_xlfn.XLOOKUP($A32,Inputs!$A:$A,Inputs!I:I,,0)</f>
        <v>0</v>
      </c>
      <c r="J32" s="59">
        <f>_xlfn.XLOOKUP($A32,Inputs!$A:$A,Inputs!J:J,,0)</f>
        <v>0</v>
      </c>
      <c r="K32" s="59">
        <f>_xlfn.XLOOKUP($A32,Inputs!$A:$A,Inputs!K:K,,0)</f>
        <v>0</v>
      </c>
      <c r="L32" s="59">
        <f>_xlfn.XLOOKUP($A32,Inputs!$A:$A,Inputs!L:L,,0)</f>
        <v>0</v>
      </c>
      <c r="M32" s="60">
        <f>_xlfn.XLOOKUP($A32,Inputs!$A:$A,Inputs!M:M,,0)</f>
        <v>0</v>
      </c>
      <c r="N32" s="49"/>
    </row>
    <row r="33" spans="1:14" ht="12.95">
      <c r="A33" s="58" t="s">
        <v>133</v>
      </c>
      <c r="B33" s="59">
        <f>_xlfn.XLOOKUP($A33,Inputs!$A:$A,Inputs!B:B,,0)</f>
        <v>-1139</v>
      </c>
      <c r="C33" s="59">
        <f>_xlfn.XLOOKUP($A33,Inputs!$A:$A,Inputs!C:C,,0)</f>
        <v>-618</v>
      </c>
      <c r="D33" s="59">
        <f>_xlfn.XLOOKUP($A33,Inputs!$A:$A,Inputs!D:D,,0)</f>
        <v>-2131</v>
      </c>
      <c r="E33" s="59">
        <f>_xlfn.XLOOKUP($A33,Inputs!$A:$A,Inputs!E:E,,0)</f>
        <v>-253</v>
      </c>
      <c r="F33" s="59">
        <f>_xlfn.XLOOKUP($A33,Inputs!$A:$A,Inputs!F:F,,0)</f>
        <v>-476</v>
      </c>
      <c r="G33" s="59">
        <f>_xlfn.XLOOKUP($A33,Inputs!$A:$A,Inputs!G:G,,0)</f>
        <v>0</v>
      </c>
      <c r="H33" s="59">
        <f>_xlfn.XLOOKUP($A33,Inputs!$A:$A,Inputs!H:H,,0)</f>
        <v>0</v>
      </c>
      <c r="I33" s="59">
        <f>_xlfn.XLOOKUP($A33,Inputs!$A:$A,Inputs!I:I,,0)</f>
        <v>0</v>
      </c>
      <c r="J33" s="59">
        <f>_xlfn.XLOOKUP($A33,Inputs!$A:$A,Inputs!J:J,,0)</f>
        <v>0</v>
      </c>
      <c r="K33" s="59">
        <f>_xlfn.XLOOKUP($A33,Inputs!$A:$A,Inputs!K:K,,0)</f>
        <v>0</v>
      </c>
      <c r="L33" s="59">
        <f>_xlfn.XLOOKUP($A33,Inputs!$A:$A,Inputs!L:L,,0)</f>
        <v>0</v>
      </c>
      <c r="M33" s="60">
        <f>_xlfn.XLOOKUP($A33,Inputs!$A:$A,Inputs!M:M,,0)</f>
        <v>0</v>
      </c>
      <c r="N33" s="49"/>
    </row>
    <row r="34" spans="1:14" ht="12.95">
      <c r="A34" s="61" t="s">
        <v>128</v>
      </c>
      <c r="B34" s="65">
        <f t="shared" ref="B34:M34" si="17">+B32+B33</f>
        <v>-1391</v>
      </c>
      <c r="C34" s="65">
        <f t="shared" si="17"/>
        <v>-916</v>
      </c>
      <c r="D34" s="65">
        <f t="shared" si="17"/>
        <v>-2747</v>
      </c>
      <c r="E34" s="65">
        <f t="shared" si="17"/>
        <v>-841</v>
      </c>
      <c r="F34" s="65">
        <f t="shared" si="17"/>
        <v>-1034</v>
      </c>
      <c r="G34" s="65">
        <f t="shared" si="17"/>
        <v>0</v>
      </c>
      <c r="H34" s="65">
        <f t="shared" si="17"/>
        <v>0</v>
      </c>
      <c r="I34" s="65">
        <f t="shared" si="17"/>
        <v>0</v>
      </c>
      <c r="J34" s="65">
        <f t="shared" si="17"/>
        <v>0</v>
      </c>
      <c r="K34" s="65">
        <f t="shared" si="17"/>
        <v>0</v>
      </c>
      <c r="L34" s="65">
        <f t="shared" si="17"/>
        <v>0</v>
      </c>
      <c r="M34" s="66">
        <f t="shared" si="17"/>
        <v>0</v>
      </c>
      <c r="N34" s="49"/>
    </row>
    <row r="35" spans="1:14" ht="12.95">
      <c r="A35" s="58" t="s">
        <v>126</v>
      </c>
      <c r="B35" s="65">
        <f t="shared" ref="B35:M35" si="18">+B27+B28</f>
        <v>0</v>
      </c>
      <c r="C35" s="65">
        <f t="shared" si="18"/>
        <v>0</v>
      </c>
      <c r="D35" s="65">
        <f t="shared" si="18"/>
        <v>0</v>
      </c>
      <c r="E35" s="65">
        <f t="shared" si="18"/>
        <v>0</v>
      </c>
      <c r="F35" s="65">
        <f t="shared" si="18"/>
        <v>-10</v>
      </c>
      <c r="G35" s="65">
        <f t="shared" si="18"/>
        <v>-131</v>
      </c>
      <c r="H35" s="65">
        <f t="shared" si="18"/>
        <v>0</v>
      </c>
      <c r="I35" s="65">
        <f t="shared" si="18"/>
        <v>0</v>
      </c>
      <c r="J35" s="65">
        <f t="shared" si="18"/>
        <v>0</v>
      </c>
      <c r="K35" s="65">
        <f t="shared" si="18"/>
        <v>0</v>
      </c>
      <c r="L35" s="65">
        <f t="shared" si="18"/>
        <v>0</v>
      </c>
      <c r="M35" s="66">
        <f t="shared" si="18"/>
        <v>0</v>
      </c>
      <c r="N35" s="49"/>
    </row>
    <row r="36" spans="1:14" ht="12.95">
      <c r="A36" s="64" t="s">
        <v>542</v>
      </c>
      <c r="B36" s="62">
        <f>IFERROR(B35/B23,"-")</f>
        <v>0</v>
      </c>
      <c r="C36" s="62">
        <f t="shared" ref="C36:M36" si="19">IFERROR(C35/C23,"-")</f>
        <v>0</v>
      </c>
      <c r="D36" s="62">
        <f t="shared" si="19"/>
        <v>0</v>
      </c>
      <c r="E36" s="62">
        <f t="shared" si="19"/>
        <v>0</v>
      </c>
      <c r="F36" s="62">
        <f t="shared" si="19"/>
        <v>-1.0131712259371834E-2</v>
      </c>
      <c r="G36" s="62">
        <f t="shared" si="19"/>
        <v>3.2482023307711383E-2</v>
      </c>
      <c r="H36" s="62" t="str">
        <f t="shared" si="19"/>
        <v>-</v>
      </c>
      <c r="I36" s="62" t="str">
        <f t="shared" si="19"/>
        <v>-</v>
      </c>
      <c r="J36" s="62" t="str">
        <f t="shared" si="19"/>
        <v>-</v>
      </c>
      <c r="K36" s="62" t="str">
        <f t="shared" si="19"/>
        <v>-</v>
      </c>
      <c r="L36" s="62" t="str">
        <f t="shared" si="19"/>
        <v>-</v>
      </c>
      <c r="M36" s="63" t="str">
        <f t="shared" si="19"/>
        <v>-</v>
      </c>
      <c r="N36" s="49"/>
    </row>
    <row r="37" spans="1:14" ht="11.1">
      <c r="A37" s="49"/>
      <c r="B37" s="49"/>
      <c r="C37" s="49"/>
      <c r="D37" s="49"/>
      <c r="E37" s="49"/>
      <c r="F37" s="49"/>
      <c r="G37" s="49"/>
      <c r="H37" s="49"/>
      <c r="I37" s="49"/>
      <c r="J37" s="49"/>
      <c r="K37" s="49"/>
      <c r="L37" s="49"/>
      <c r="M37" s="49"/>
      <c r="N37" s="49"/>
    </row>
    <row r="38" spans="1:14" ht="20.100000000000001">
      <c r="A38" s="1130" t="s">
        <v>543</v>
      </c>
      <c r="B38" s="1130"/>
      <c r="C38" s="1130"/>
      <c r="D38" s="1130"/>
      <c r="E38" s="1130"/>
      <c r="F38" s="1130"/>
      <c r="G38" s="1130"/>
      <c r="H38" s="1130"/>
      <c r="I38" s="1130"/>
      <c r="J38" s="1130"/>
      <c r="K38" s="1130"/>
      <c r="L38" s="1130"/>
      <c r="M38" s="1130"/>
      <c r="N38" s="49"/>
    </row>
    <row r="39" spans="1:14" ht="12.95">
      <c r="A39" s="67" t="s">
        <v>269</v>
      </c>
      <c r="B39" s="59">
        <f>_xlfn.XLOOKUP($A39,Inputs!$A:$A,Inputs!B:B,,0)</f>
        <v>4208</v>
      </c>
      <c r="C39" s="59">
        <f>_xlfn.XLOOKUP($A39,Inputs!$A:$A,Inputs!C:C,,0)</f>
        <v>4295</v>
      </c>
      <c r="D39" s="59">
        <f>_xlfn.XLOOKUP($A39,Inputs!$A:$A,Inputs!D:D,,0)</f>
        <v>5647</v>
      </c>
      <c r="E39" s="59">
        <f>_xlfn.XLOOKUP($A39,Inputs!$A:$A,Inputs!E:E,,0)</f>
        <v>10873</v>
      </c>
      <c r="F39" s="59">
        <f>_xlfn.XLOOKUP($A39,Inputs!$A:$A,Inputs!F:F,,0)</f>
        <v>6406</v>
      </c>
      <c r="G39" s="59">
        <f>_xlfn.XLOOKUP($A39,Inputs!$A:$A,Inputs!G:G,,0)</f>
        <v>4535</v>
      </c>
      <c r="H39" s="59">
        <f>_xlfn.XLOOKUP($A39,Inputs!$A:$A,Inputs!H:H,,0)</f>
        <v>0</v>
      </c>
      <c r="I39" s="59">
        <f>_xlfn.XLOOKUP($A39,Inputs!$A:$A,Inputs!I:I,,0)</f>
        <v>0</v>
      </c>
      <c r="J39" s="59">
        <f>_xlfn.XLOOKUP($A39,Inputs!$A:$A,Inputs!J:J,,0)</f>
        <v>0</v>
      </c>
      <c r="K39" s="59">
        <f>_xlfn.XLOOKUP($A39,Inputs!$A:$A,Inputs!K:K,,0)</f>
        <v>0</v>
      </c>
      <c r="L39" s="59">
        <f>_xlfn.XLOOKUP($A39,Inputs!$A:$A,Inputs!L:L,,0)</f>
        <v>0</v>
      </c>
      <c r="M39" s="60">
        <f>_xlfn.XLOOKUP($A39,Inputs!$A:$A,Inputs!M:M,,0)</f>
        <v>0</v>
      </c>
      <c r="N39" s="49"/>
    </row>
    <row r="40" spans="1:14" ht="12.95">
      <c r="A40" s="61" t="s">
        <v>544</v>
      </c>
      <c r="B40" s="59">
        <f>_xlfn.XLOOKUP($A40,Inputs!$A:$A,Inputs!B:B,,0)</f>
        <v>2779</v>
      </c>
      <c r="C40" s="59">
        <f>_xlfn.XLOOKUP($A40,Inputs!$A:$A,Inputs!C:C,,0)</f>
        <v>2439</v>
      </c>
      <c r="D40" s="59">
        <f>_xlfn.XLOOKUP($A40,Inputs!$A:$A,Inputs!D:D,,0)</f>
        <v>1073</v>
      </c>
      <c r="E40" s="59">
        <f>_xlfn.XLOOKUP($A40,Inputs!$A:$A,Inputs!E:E,,0)</f>
        <v>1214</v>
      </c>
      <c r="F40" s="59">
        <f>_xlfn.XLOOKUP($A40,Inputs!$A:$A,Inputs!F:F,,0)</f>
        <v>919</v>
      </c>
      <c r="G40" s="59">
        <f>_xlfn.XLOOKUP($A40,Inputs!$A:$A,Inputs!G:G,,0)</f>
        <v>739</v>
      </c>
      <c r="H40" s="59">
        <f>_xlfn.XLOOKUP($A40,Inputs!$A:$A,Inputs!H:H,,0)</f>
        <v>0</v>
      </c>
      <c r="I40" s="59">
        <f>_xlfn.XLOOKUP($A40,Inputs!$A:$A,Inputs!I:I,,0)</f>
        <v>0</v>
      </c>
      <c r="J40" s="59">
        <f>_xlfn.XLOOKUP($A40,Inputs!$A:$A,Inputs!J:J,,0)</f>
        <v>0</v>
      </c>
      <c r="K40" s="59">
        <f>_xlfn.XLOOKUP($A40,Inputs!$A:$A,Inputs!K:K,,0)</f>
        <v>0</v>
      </c>
      <c r="L40" s="59">
        <f>_xlfn.XLOOKUP($A40,Inputs!$A:$A,Inputs!L:L,,0)</f>
        <v>0</v>
      </c>
      <c r="M40" s="60">
        <f>_xlfn.XLOOKUP($A40,Inputs!$A:$A,Inputs!M:M,,0)</f>
        <v>0</v>
      </c>
      <c r="N40" s="49"/>
    </row>
    <row r="41" spans="1:14" ht="12.95">
      <c r="A41" s="67" t="s">
        <v>271</v>
      </c>
      <c r="B41" s="59">
        <f>_xlfn.XLOOKUP($A41,Inputs!$A:$A,Inputs!B:B,,0)</f>
        <v>0</v>
      </c>
      <c r="C41" s="59">
        <f>_xlfn.XLOOKUP($A41,Inputs!$A:$A,Inputs!C:C,,0)</f>
        <v>0</v>
      </c>
      <c r="D41" s="59">
        <f>_xlfn.XLOOKUP($A41,Inputs!$A:$A,Inputs!D:D,,0)</f>
        <v>0</v>
      </c>
      <c r="E41" s="59">
        <f>_xlfn.XLOOKUP($A41,Inputs!$A:$A,Inputs!E:E,,0)</f>
        <v>0</v>
      </c>
      <c r="F41" s="59">
        <f>_xlfn.XLOOKUP($A41,Inputs!$A:$A,Inputs!F:F,,0)</f>
        <v>0</v>
      </c>
      <c r="G41" s="59">
        <f>_xlfn.XLOOKUP($A41,Inputs!$A:$A,Inputs!G:G,,0)</f>
        <v>0</v>
      </c>
      <c r="H41" s="59">
        <f>_xlfn.XLOOKUP($A41,Inputs!$A:$A,Inputs!H:H,,0)</f>
        <v>0</v>
      </c>
      <c r="I41" s="59">
        <f>_xlfn.XLOOKUP($A41,Inputs!$A:$A,Inputs!I:I,,0)</f>
        <v>0</v>
      </c>
      <c r="J41" s="59">
        <f>_xlfn.XLOOKUP($A41,Inputs!$A:$A,Inputs!J:J,,0)</f>
        <v>0</v>
      </c>
      <c r="K41" s="59">
        <f>_xlfn.XLOOKUP($A41,Inputs!$A:$A,Inputs!K:K,,0)</f>
        <v>0</v>
      </c>
      <c r="L41" s="59">
        <f>_xlfn.XLOOKUP($A41,Inputs!$A:$A,Inputs!L:L,,0)</f>
        <v>0</v>
      </c>
      <c r="M41" s="60">
        <f>_xlfn.XLOOKUP($A41,Inputs!$A:$A,Inputs!M:M,,0)</f>
        <v>0</v>
      </c>
      <c r="N41" s="49"/>
    </row>
    <row r="42" spans="1:14" ht="12.95">
      <c r="A42" s="61" t="s">
        <v>545</v>
      </c>
      <c r="B42" s="59">
        <f>_xlfn.XLOOKUP($A42,Inputs!$A:$A,Inputs!B:B,,0)</f>
        <v>2082</v>
      </c>
      <c r="C42" s="59">
        <f>_xlfn.XLOOKUP($A42,Inputs!$A:$A,Inputs!C:C,,0)</f>
        <v>1853</v>
      </c>
      <c r="D42" s="59">
        <f>_xlfn.XLOOKUP($A42,Inputs!$A:$A,Inputs!D:D,,0)</f>
        <v>1814</v>
      </c>
      <c r="E42" s="59">
        <f>_xlfn.XLOOKUP($A42,Inputs!$A:$A,Inputs!E:E,,0)</f>
        <v>1731</v>
      </c>
      <c r="F42" s="59">
        <f>_xlfn.XLOOKUP($A42,Inputs!$A:$A,Inputs!F:F,,0)</f>
        <v>1641</v>
      </c>
      <c r="G42" s="59">
        <f>_xlfn.XLOOKUP($A42,Inputs!$A:$A,Inputs!G:G,,0)</f>
        <v>1192</v>
      </c>
      <c r="H42" s="59">
        <f>_xlfn.XLOOKUP($A42,Inputs!$A:$A,Inputs!H:H,,0)</f>
        <v>0</v>
      </c>
      <c r="I42" s="59">
        <f>_xlfn.XLOOKUP($A42,Inputs!$A:$A,Inputs!I:I,,0)</f>
        <v>0</v>
      </c>
      <c r="J42" s="59">
        <f>_xlfn.XLOOKUP($A42,Inputs!$A:$A,Inputs!J:J,,0)</f>
        <v>0</v>
      </c>
      <c r="K42" s="59">
        <f>_xlfn.XLOOKUP($A42,Inputs!$A:$A,Inputs!K:K,,0)</f>
        <v>0</v>
      </c>
      <c r="L42" s="59">
        <f>_xlfn.XLOOKUP($A42,Inputs!$A:$A,Inputs!L:L,,0)</f>
        <v>0</v>
      </c>
      <c r="M42" s="60">
        <f>_xlfn.XLOOKUP($A42,Inputs!$A:$A,Inputs!M:M,,0)</f>
        <v>0</v>
      </c>
      <c r="N42" s="49"/>
    </row>
    <row r="43" spans="1:14" ht="12.95">
      <c r="A43" s="67" t="s">
        <v>546</v>
      </c>
      <c r="B43" s="59">
        <f>_xlfn.XLOOKUP($A43,Inputs!$A:$A,Inputs!B:B,,0)</f>
        <v>20721</v>
      </c>
      <c r="C43" s="59">
        <f>_xlfn.XLOOKUP($A43,Inputs!$A:$A,Inputs!C:C,,0)</f>
        <v>27999</v>
      </c>
      <c r="D43" s="59">
        <f>_xlfn.XLOOKUP($A43,Inputs!$A:$A,Inputs!D:D,,0)</f>
        <v>22365</v>
      </c>
      <c r="E43" s="59">
        <f>_xlfn.XLOOKUP($A43,Inputs!$A:$A,Inputs!E:E,,0)</f>
        <v>14985</v>
      </c>
      <c r="F43" s="59">
        <f>_xlfn.XLOOKUP($A43,Inputs!$A:$A,Inputs!F:F,,0)</f>
        <v>13710</v>
      </c>
      <c r="G43" s="59">
        <f>_xlfn.XLOOKUP($A43,Inputs!$A:$A,Inputs!G:G,,0)</f>
        <v>8960</v>
      </c>
      <c r="H43" s="59">
        <f>_xlfn.XLOOKUP($A43,Inputs!$A:$A,Inputs!H:H,,0)</f>
        <v>0</v>
      </c>
      <c r="I43" s="59">
        <f>_xlfn.XLOOKUP($A43,Inputs!$A:$A,Inputs!I:I,,0)</f>
        <v>0</v>
      </c>
      <c r="J43" s="59">
        <f>_xlfn.XLOOKUP($A43,Inputs!$A:$A,Inputs!J:J,,0)</f>
        <v>0</v>
      </c>
      <c r="K43" s="59">
        <f>_xlfn.XLOOKUP($A43,Inputs!$A:$A,Inputs!K:K,,0)</f>
        <v>0</v>
      </c>
      <c r="L43" s="59">
        <f>_xlfn.XLOOKUP($A43,Inputs!$A:$A,Inputs!L:L,,0)</f>
        <v>0</v>
      </c>
      <c r="M43" s="60">
        <f>_xlfn.XLOOKUP($A43,Inputs!$A:$A,Inputs!M:M,,0)</f>
        <v>0</v>
      </c>
      <c r="N43" s="49"/>
    </row>
    <row r="44" spans="1:14" ht="12.95">
      <c r="A44" s="68" t="s">
        <v>44</v>
      </c>
      <c r="B44" s="69">
        <f>_xlfn.XLOOKUP($A44,Inputs!$A:$A,Inputs!B:B,,0)</f>
        <v>32109</v>
      </c>
      <c r="C44" s="69">
        <f>_xlfn.XLOOKUP($A44,Inputs!$A:$A,Inputs!C:C,,0)</f>
        <v>38774</v>
      </c>
      <c r="D44" s="69">
        <f>_xlfn.XLOOKUP($A44,Inputs!$A:$A,Inputs!D:D,,0)</f>
        <v>33252</v>
      </c>
      <c r="E44" s="69">
        <f>_xlfn.XLOOKUP($A44,Inputs!$A:$A,Inputs!E:E,,0)</f>
        <v>31761</v>
      </c>
      <c r="F44" s="69">
        <f>_xlfn.XLOOKUP($A44,Inputs!$A:$A,Inputs!F:F,,0)</f>
        <v>23988</v>
      </c>
      <c r="G44" s="69">
        <f>_xlfn.XLOOKUP($A44,Inputs!$A:$A,Inputs!G:G,,0)</f>
        <v>15426</v>
      </c>
      <c r="H44" s="69">
        <f>_xlfn.XLOOKUP($A44,Inputs!$A:$A,Inputs!H:H,,0)</f>
        <v>0</v>
      </c>
      <c r="I44" s="69">
        <f>_xlfn.XLOOKUP($A44,Inputs!$A:$A,Inputs!I:I,,0)</f>
        <v>0</v>
      </c>
      <c r="J44" s="69">
        <f>_xlfn.XLOOKUP($A44,Inputs!$A:$A,Inputs!J:J,,0)</f>
        <v>0</v>
      </c>
      <c r="K44" s="69">
        <f>_xlfn.XLOOKUP($A44,Inputs!$A:$A,Inputs!K:K,,0)</f>
        <v>0</v>
      </c>
      <c r="L44" s="69">
        <f>_xlfn.XLOOKUP($A44,Inputs!$A:$A,Inputs!L:L,,0)</f>
        <v>0</v>
      </c>
      <c r="M44" s="69">
        <f>_xlfn.XLOOKUP($A44,Inputs!$A:$A,Inputs!M:M,,0)</f>
        <v>0</v>
      </c>
      <c r="N44" s="49"/>
    </row>
    <row r="45" spans="1:14" ht="12.95">
      <c r="B45"/>
      <c r="C45"/>
      <c r="D45"/>
      <c r="E45"/>
      <c r="F45"/>
      <c r="G45"/>
      <c r="H45"/>
      <c r="I45"/>
      <c r="J45"/>
      <c r="K45"/>
      <c r="L45"/>
      <c r="M45"/>
      <c r="N45" s="49"/>
    </row>
    <row r="46" spans="1:14" ht="12.95">
      <c r="B46"/>
      <c r="C46"/>
      <c r="D46"/>
      <c r="E46"/>
      <c r="F46"/>
      <c r="G46"/>
      <c r="H46"/>
      <c r="I46"/>
      <c r="J46"/>
      <c r="K46"/>
      <c r="L46"/>
      <c r="M46"/>
      <c r="N46" s="49"/>
    </row>
    <row r="47" spans="1:14" ht="20.100000000000001">
      <c r="A47" s="1130" t="s">
        <v>547</v>
      </c>
      <c r="B47" s="1130"/>
      <c r="C47" s="1130"/>
      <c r="D47" s="1130"/>
      <c r="E47" s="1130"/>
      <c r="F47" s="1130"/>
      <c r="G47" s="1130"/>
      <c r="H47" s="1130"/>
      <c r="I47" s="1130"/>
      <c r="J47" s="1130"/>
      <c r="K47" s="1130"/>
      <c r="L47" s="1130"/>
      <c r="M47" s="1130"/>
      <c r="N47" s="49"/>
    </row>
    <row r="48" spans="1:14" ht="12.95">
      <c r="A48" s="71" t="s">
        <v>275</v>
      </c>
      <c r="B48" s="69">
        <f>_xlfn.XLOOKUP($A48,Inputs!$A:$A,Inputs!B:B,,0)</f>
        <v>8853</v>
      </c>
      <c r="C48" s="69">
        <f>_xlfn.XLOOKUP($A48,Inputs!$A:$A,Inputs!C:C,,0)</f>
        <v>9024</v>
      </c>
      <c r="D48" s="69">
        <f>_xlfn.XLOOKUP($A48,Inputs!$A:$A,Inputs!D:D,,0)</f>
        <v>6865</v>
      </c>
      <c r="E48" s="69">
        <f>_xlfn.XLOOKUP($A48,Inputs!$A:$A,Inputs!E:E,,0)</f>
        <v>5639</v>
      </c>
      <c r="F48" s="69">
        <f>_xlfn.XLOOKUP($A48,Inputs!$A:$A,Inputs!F:F,,0)</f>
        <v>4259</v>
      </c>
      <c r="G48" s="69">
        <f>_xlfn.XLOOKUP($A48,Inputs!$A:$A,Inputs!G:G,,0)</f>
        <v>3857</v>
      </c>
      <c r="H48" s="69">
        <f>_xlfn.XLOOKUP($A48,Inputs!$A:$A,Inputs!H:H,,0)</f>
        <v>0</v>
      </c>
      <c r="I48" s="69">
        <f>_xlfn.XLOOKUP($A48,Inputs!$A:$A,Inputs!I:I,,0)</f>
        <v>0</v>
      </c>
      <c r="J48" s="69">
        <f>_xlfn.XLOOKUP($A48,Inputs!$A:$A,Inputs!J:J,,0)</f>
        <v>0</v>
      </c>
      <c r="K48" s="69">
        <f>_xlfn.XLOOKUP($A48,Inputs!$A:$A,Inputs!K:K,,0)</f>
        <v>0</v>
      </c>
      <c r="L48" s="69">
        <f>_xlfn.XLOOKUP($A48,Inputs!$A:$A,Inputs!L:L,,0)</f>
        <v>0</v>
      </c>
      <c r="M48" s="69">
        <f>_xlfn.XLOOKUP($A48,Inputs!$A:$A,Inputs!M:M,,0)</f>
        <v>0</v>
      </c>
      <c r="N48" s="49"/>
    </row>
    <row r="49" spans="1:14" ht="12.95">
      <c r="A49" s="72" t="s">
        <v>548</v>
      </c>
      <c r="B49" s="59">
        <f>_xlfn.XLOOKUP($A49,Inputs!$A:$A,Inputs!B:B,,0)</f>
        <v>0</v>
      </c>
      <c r="C49" s="59">
        <f>_xlfn.XLOOKUP($A49,Inputs!$A:$A,Inputs!C:C,,0)</f>
        <v>0</v>
      </c>
      <c r="D49" s="59">
        <f>_xlfn.XLOOKUP($A49,Inputs!$A:$A,Inputs!D:D,,0)</f>
        <v>0</v>
      </c>
      <c r="E49" s="59">
        <f>_xlfn.XLOOKUP($A49,Inputs!$A:$A,Inputs!E:E,,0)</f>
        <v>0</v>
      </c>
      <c r="F49" s="59">
        <f>_xlfn.XLOOKUP($A49,Inputs!$A:$A,Inputs!F:F,,0)</f>
        <v>0</v>
      </c>
      <c r="G49" s="59">
        <f>_xlfn.XLOOKUP($A49,Inputs!$A:$A,Inputs!G:G,,0)</f>
        <v>0</v>
      </c>
      <c r="H49" s="59">
        <f>_xlfn.XLOOKUP($A49,Inputs!$A:$A,Inputs!H:H,,0)</f>
        <v>0</v>
      </c>
      <c r="I49" s="59">
        <f>_xlfn.XLOOKUP($A49,Inputs!$A:$A,Inputs!I:I,,0)</f>
        <v>0</v>
      </c>
      <c r="J49" s="59">
        <f>_xlfn.XLOOKUP($A49,Inputs!$A:$A,Inputs!J:J,,0)</f>
        <v>0</v>
      </c>
      <c r="K49" s="59">
        <f>_xlfn.XLOOKUP($A49,Inputs!$A:$A,Inputs!K:K,,0)</f>
        <v>0</v>
      </c>
      <c r="L49" s="59">
        <f>_xlfn.XLOOKUP($A49,Inputs!$A:$A,Inputs!L:L,,0)</f>
        <v>0</v>
      </c>
      <c r="M49" s="59">
        <f>_xlfn.XLOOKUP($A49,Inputs!$A:$A,Inputs!M:M,,0)</f>
        <v>0</v>
      </c>
      <c r="N49" s="49"/>
    </row>
    <row r="50" spans="1:14" ht="12.95">
      <c r="A50" s="58" t="s">
        <v>549</v>
      </c>
      <c r="B50" s="59">
        <f>_xlfn.XLOOKUP($A50,Inputs!$A:$A,Inputs!B:B,,0)</f>
        <v>201</v>
      </c>
      <c r="C50" s="59">
        <f>_xlfn.XLOOKUP($A50,Inputs!$A:$A,Inputs!C:C,,0)</f>
        <v>185</v>
      </c>
      <c r="D50" s="59">
        <f>_xlfn.XLOOKUP($A50,Inputs!$A:$A,Inputs!D:D,,0)</f>
        <v>175</v>
      </c>
      <c r="E50" s="59">
        <f>_xlfn.XLOOKUP($A50,Inputs!$A:$A,Inputs!E:E,,0)</f>
        <v>196</v>
      </c>
      <c r="F50" s="59">
        <f>_xlfn.XLOOKUP($A50,Inputs!$A:$A,Inputs!F:F,,0)</f>
        <v>0</v>
      </c>
      <c r="G50" s="59">
        <f>_xlfn.XLOOKUP($A50,Inputs!$A:$A,Inputs!G:G,,0)</f>
        <v>0</v>
      </c>
      <c r="H50" s="59">
        <f>_xlfn.XLOOKUP($A50,Inputs!$A:$A,Inputs!H:H,,0)</f>
        <v>0</v>
      </c>
      <c r="I50" s="59">
        <f>_xlfn.XLOOKUP($A50,Inputs!$A:$A,Inputs!I:I,,0)</f>
        <v>0</v>
      </c>
      <c r="J50" s="59">
        <f>_xlfn.XLOOKUP($A50,Inputs!$A:$A,Inputs!J:J,,0)</f>
        <v>0</v>
      </c>
      <c r="K50" s="59">
        <f>_xlfn.XLOOKUP($A50,Inputs!$A:$A,Inputs!K:K,,0)</f>
        <v>0</v>
      </c>
      <c r="L50" s="59">
        <f>_xlfn.XLOOKUP($A50,Inputs!$A:$A,Inputs!L:L,,0)</f>
        <v>0</v>
      </c>
      <c r="M50" s="59">
        <f>_xlfn.XLOOKUP($A50,Inputs!$A:$A,Inputs!M:M,,0)</f>
        <v>0</v>
      </c>
      <c r="N50" s="49"/>
    </row>
    <row r="51" spans="1:14" ht="12.95">
      <c r="A51" s="61" t="s">
        <v>550</v>
      </c>
      <c r="B51" s="59">
        <f>_xlfn.XLOOKUP($A51,Inputs!$A:$A,Inputs!B:B,,0)</f>
        <v>7924</v>
      </c>
      <c r="C51" s="59">
        <f>_xlfn.XLOOKUP($A51,Inputs!$A:$A,Inputs!C:C,,0)</f>
        <v>7979</v>
      </c>
      <c r="D51" s="59">
        <f>_xlfn.XLOOKUP($A51,Inputs!$A:$A,Inputs!D:D,,0)</f>
        <v>6455</v>
      </c>
      <c r="E51" s="59">
        <f>_xlfn.XLOOKUP($A51,Inputs!$A:$A,Inputs!E:E,,0)</f>
        <v>5171</v>
      </c>
      <c r="F51" s="59">
        <f>_xlfn.XLOOKUP($A51,Inputs!$A:$A,Inputs!F:F,,0)</f>
        <v>4109</v>
      </c>
      <c r="G51" s="59">
        <f>_xlfn.XLOOKUP($A51,Inputs!$A:$A,Inputs!G:G,,0)</f>
        <v>3857</v>
      </c>
      <c r="H51" s="59">
        <f>_xlfn.XLOOKUP($A51,Inputs!$A:$A,Inputs!H:H,,0)</f>
        <v>0</v>
      </c>
      <c r="I51" s="59">
        <f>_xlfn.XLOOKUP($A51,Inputs!$A:$A,Inputs!I:I,,0)</f>
        <v>0</v>
      </c>
      <c r="J51" s="59">
        <f>_xlfn.XLOOKUP($A51,Inputs!$A:$A,Inputs!J:J,,0)</f>
        <v>0</v>
      </c>
      <c r="K51" s="59">
        <f>_xlfn.XLOOKUP($A51,Inputs!$A:$A,Inputs!K:K,,0)</f>
        <v>0</v>
      </c>
      <c r="L51" s="59">
        <f>_xlfn.XLOOKUP($A51,Inputs!$A:$A,Inputs!L:L,,0)</f>
        <v>0</v>
      </c>
      <c r="M51" s="59">
        <f>_xlfn.XLOOKUP($A51,Inputs!$A:$A,Inputs!M:M,,0)</f>
        <v>0</v>
      </c>
      <c r="N51" s="49"/>
    </row>
    <row r="52" spans="1:14" ht="12.95">
      <c r="A52" s="71" t="s">
        <v>551</v>
      </c>
      <c r="B52" s="69">
        <f>_xlfn.XLOOKUP($A52,Inputs!$A:$A,Inputs!B:B,,0)</f>
        <v>14752</v>
      </c>
      <c r="C52" s="69">
        <f>_xlfn.XLOOKUP($A52,Inputs!$A:$A,Inputs!C:C,,0)</f>
        <v>14401</v>
      </c>
      <c r="D52" s="69">
        <f>_xlfn.XLOOKUP($A52,Inputs!$A:$A,Inputs!D:D,,0)</f>
        <v>12633</v>
      </c>
      <c r="E52" s="69">
        <f>_xlfn.XLOOKUP($A52,Inputs!$A:$A,Inputs!E:E,,0)</f>
        <v>10939</v>
      </c>
      <c r="F52" s="69">
        <f>_xlfn.XLOOKUP($A52,Inputs!$A:$A,Inputs!F:F,,0)</f>
        <v>12937</v>
      </c>
      <c r="G52" s="69">
        <f>_xlfn.XLOOKUP($A52,Inputs!$A:$A,Inputs!G:G,,0)</f>
        <v>-3857</v>
      </c>
      <c r="H52" s="69">
        <f>_xlfn.XLOOKUP($A52,Inputs!$A:$A,Inputs!H:H,,0)</f>
        <v>0</v>
      </c>
      <c r="I52" s="69">
        <f>_xlfn.XLOOKUP($A52,Inputs!$A:$A,Inputs!I:I,,0)</f>
        <v>0</v>
      </c>
      <c r="J52" s="69">
        <f>_xlfn.XLOOKUP($A52,Inputs!$A:$A,Inputs!J:J,,0)</f>
        <v>0</v>
      </c>
      <c r="K52" s="69">
        <f>_xlfn.XLOOKUP($A52,Inputs!$A:$A,Inputs!K:K,,0)</f>
        <v>0</v>
      </c>
      <c r="L52" s="69">
        <f>_xlfn.XLOOKUP($A52,Inputs!$A:$A,Inputs!L:L,,0)</f>
        <v>0</v>
      </c>
      <c r="M52" s="69">
        <f>_xlfn.XLOOKUP($A52,Inputs!$A:$A,Inputs!M:M,,0)</f>
        <v>0</v>
      </c>
      <c r="N52" s="49"/>
    </row>
    <row r="53" spans="1:14" ht="12.95">
      <c r="A53" s="72" t="s">
        <v>552</v>
      </c>
      <c r="B53" s="59">
        <f>_xlfn.XLOOKUP($A53,Inputs!$A:$A,Inputs!B:B,,0)</f>
        <v>9265</v>
      </c>
      <c r="C53" s="59">
        <f>_xlfn.XLOOKUP($A53,Inputs!$A:$A,Inputs!C:C,,0)</f>
        <v>9276</v>
      </c>
      <c r="D53" s="59">
        <f>_xlfn.XLOOKUP($A53,Inputs!$A:$A,Inputs!D:D,,0)</f>
        <v>7560</v>
      </c>
      <c r="E53" s="59">
        <f>_xlfn.XLOOKUP($A53,Inputs!$A:$A,Inputs!E:E,,0)</f>
        <v>5707</v>
      </c>
      <c r="F53" s="59">
        <f>_xlfn.XLOOKUP($A53,Inputs!$A:$A,Inputs!F:F,,0)</f>
        <v>6869</v>
      </c>
      <c r="G53" s="59">
        <f>_xlfn.XLOOKUP($A53,Inputs!$A:$A,Inputs!G:G,,0)</f>
        <v>0</v>
      </c>
      <c r="H53" s="59">
        <f>_xlfn.XLOOKUP($A53,Inputs!$A:$A,Inputs!H:H,,0)</f>
        <v>0</v>
      </c>
      <c r="I53" s="59">
        <f>_xlfn.XLOOKUP($A53,Inputs!$A:$A,Inputs!I:I,,0)</f>
        <v>0</v>
      </c>
      <c r="J53" s="59">
        <f>_xlfn.XLOOKUP($A53,Inputs!$A:$A,Inputs!J:J,,0)</f>
        <v>0</v>
      </c>
      <c r="K53" s="59">
        <f>_xlfn.XLOOKUP($A53,Inputs!$A:$A,Inputs!K:K,,0)</f>
        <v>0</v>
      </c>
      <c r="L53" s="59">
        <f>_xlfn.XLOOKUP($A53,Inputs!$A:$A,Inputs!L:L,,0)</f>
        <v>0</v>
      </c>
      <c r="M53" s="59">
        <f>_xlfn.XLOOKUP($A53,Inputs!$A:$A,Inputs!M:M,,0)</f>
        <v>0</v>
      </c>
      <c r="N53" s="49"/>
    </row>
    <row r="54" spans="1:14" ht="12.95">
      <c r="A54" s="58" t="s">
        <v>553</v>
      </c>
      <c r="B54" s="59">
        <f>_xlfn.XLOOKUP($A54,Inputs!$A:$A,Inputs!B:B,,0)</f>
        <v>1673</v>
      </c>
      <c r="C54" s="59">
        <f>_xlfn.XLOOKUP($A54,Inputs!$A:$A,Inputs!C:C,,0)</f>
        <v>1644</v>
      </c>
      <c r="D54" s="59">
        <f>_xlfn.XLOOKUP($A54,Inputs!$A:$A,Inputs!D:D,,0)</f>
        <v>1544</v>
      </c>
      <c r="E54" s="59">
        <f>_xlfn.XLOOKUP($A54,Inputs!$A:$A,Inputs!E:E,,0)</f>
        <v>1523</v>
      </c>
      <c r="F54" s="59">
        <f>_xlfn.XLOOKUP($A54,Inputs!$A:$A,Inputs!F:F,,0)</f>
        <v>0</v>
      </c>
      <c r="G54" s="59">
        <f>_xlfn.XLOOKUP($A54,Inputs!$A:$A,Inputs!G:G,,0)</f>
        <v>0</v>
      </c>
      <c r="H54" s="59">
        <f>_xlfn.XLOOKUP($A54,Inputs!$A:$A,Inputs!H:H,,0)</f>
        <v>0</v>
      </c>
      <c r="I54" s="59">
        <f>_xlfn.XLOOKUP($A54,Inputs!$A:$A,Inputs!I:I,,0)</f>
        <v>0</v>
      </c>
      <c r="J54" s="59">
        <f>_xlfn.XLOOKUP($A54,Inputs!$A:$A,Inputs!J:J,,0)</f>
        <v>0</v>
      </c>
      <c r="K54" s="59">
        <f>_xlfn.XLOOKUP($A54,Inputs!$A:$A,Inputs!K:K,,0)</f>
        <v>0</v>
      </c>
      <c r="L54" s="59">
        <f>_xlfn.XLOOKUP($A54,Inputs!$A:$A,Inputs!L:L,,0)</f>
        <v>0</v>
      </c>
      <c r="M54" s="59">
        <f>_xlfn.XLOOKUP($A54,Inputs!$A:$A,Inputs!M:M,,0)</f>
        <v>0</v>
      </c>
      <c r="N54" s="49"/>
    </row>
    <row r="55" spans="1:14" ht="12.95">
      <c r="A55" s="61" t="s">
        <v>554</v>
      </c>
      <c r="B55" s="59">
        <f>_xlfn.XLOOKUP($A55,Inputs!$A:$A,Inputs!B:B,,0)</f>
        <v>3814</v>
      </c>
      <c r="C55" s="59">
        <f>_xlfn.XLOOKUP($A55,Inputs!$A:$A,Inputs!C:C,,0)</f>
        <v>3481</v>
      </c>
      <c r="D55" s="59">
        <f>_xlfn.XLOOKUP($A55,Inputs!$A:$A,Inputs!D:D,,0)</f>
        <v>3529</v>
      </c>
      <c r="E55" s="59">
        <f>_xlfn.XLOOKUP($A55,Inputs!$A:$A,Inputs!E:E,,0)</f>
        <v>3709</v>
      </c>
      <c r="F55" s="59">
        <f>_xlfn.XLOOKUP($A55,Inputs!$A:$A,Inputs!F:F,,0)</f>
        <v>6068</v>
      </c>
      <c r="G55" s="59">
        <f>_xlfn.XLOOKUP($A55,Inputs!$A:$A,Inputs!G:G,,0)</f>
        <v>-3857</v>
      </c>
      <c r="H55" s="59">
        <f>_xlfn.XLOOKUP($A55,Inputs!$A:$A,Inputs!H:H,,0)</f>
        <v>0</v>
      </c>
      <c r="I55" s="59">
        <f>_xlfn.XLOOKUP($A55,Inputs!$A:$A,Inputs!I:I,,0)</f>
        <v>0</v>
      </c>
      <c r="J55" s="59">
        <f>_xlfn.XLOOKUP($A55,Inputs!$A:$A,Inputs!J:J,,0)</f>
        <v>0</v>
      </c>
      <c r="K55" s="59">
        <f>_xlfn.XLOOKUP($A55,Inputs!$A:$A,Inputs!K:K,,0)</f>
        <v>0</v>
      </c>
      <c r="L55" s="59">
        <f>_xlfn.XLOOKUP($A55,Inputs!$A:$A,Inputs!L:L,,0)</f>
        <v>0</v>
      </c>
      <c r="M55" s="59">
        <f>_xlfn.XLOOKUP($A55,Inputs!$A:$A,Inputs!M:M,,0)</f>
        <v>0</v>
      </c>
      <c r="N55" s="49"/>
    </row>
    <row r="56" spans="1:14" ht="12.95">
      <c r="A56" s="71" t="s">
        <v>50</v>
      </c>
      <c r="B56" s="69">
        <f>_xlfn.XLOOKUP($A56,Inputs!$A:$A,Inputs!B:B,,0)</f>
        <v>23605</v>
      </c>
      <c r="C56" s="69">
        <f>_xlfn.XLOOKUP($A56,Inputs!$A:$A,Inputs!C:C,,0)</f>
        <v>23425</v>
      </c>
      <c r="D56" s="69">
        <f>_xlfn.XLOOKUP($A56,Inputs!$A:$A,Inputs!D:D,,0)</f>
        <v>19498</v>
      </c>
      <c r="E56" s="69">
        <f>_xlfn.XLOOKUP($A56,Inputs!$A:$A,Inputs!E:E,,0)</f>
        <v>16578</v>
      </c>
      <c r="F56" s="69">
        <f>_xlfn.XLOOKUP($A56,Inputs!$A:$A,Inputs!F:F,,0)</f>
        <v>17196</v>
      </c>
      <c r="G56" s="69">
        <f>_xlfn.XLOOKUP($A56,Inputs!$A:$A,Inputs!G:G,,0)</f>
        <v>0</v>
      </c>
      <c r="H56" s="69">
        <f>_xlfn.XLOOKUP($A56,Inputs!$A:$A,Inputs!H:H,,0)</f>
        <v>0</v>
      </c>
      <c r="I56" s="69">
        <f>_xlfn.XLOOKUP($A56,Inputs!$A:$A,Inputs!I:I,,0)</f>
        <v>0</v>
      </c>
      <c r="J56" s="69">
        <f>_xlfn.XLOOKUP($A56,Inputs!$A:$A,Inputs!J:J,,0)</f>
        <v>0</v>
      </c>
      <c r="K56" s="69">
        <f>_xlfn.XLOOKUP($A56,Inputs!$A:$A,Inputs!K:K,,0)</f>
        <v>0</v>
      </c>
      <c r="L56" s="69">
        <f>_xlfn.XLOOKUP($A56,Inputs!$A:$A,Inputs!L:L,,0)</f>
        <v>0</v>
      </c>
      <c r="M56" s="69">
        <f>_xlfn.XLOOKUP($A56,Inputs!$A:$A,Inputs!M:M,,0)</f>
        <v>0</v>
      </c>
      <c r="N56" s="49"/>
    </row>
    <row r="57" spans="1:14" ht="12.95">
      <c r="B57"/>
      <c r="C57"/>
      <c r="D57"/>
      <c r="E57"/>
      <c r="F57"/>
      <c r="G57"/>
      <c r="H57"/>
      <c r="I57"/>
      <c r="J57"/>
      <c r="K57"/>
      <c r="L57"/>
      <c r="M57"/>
      <c r="N57" s="49"/>
    </row>
    <row r="58" spans="1:14" ht="12.95">
      <c r="A58" s="71" t="s">
        <v>573</v>
      </c>
      <c r="B58" s="69">
        <f t="shared" ref="B58:M58" si="20">B49+B53</f>
        <v>9265</v>
      </c>
      <c r="C58" s="69">
        <f t="shared" si="20"/>
        <v>9276</v>
      </c>
      <c r="D58" s="69">
        <f t="shared" si="20"/>
        <v>7560</v>
      </c>
      <c r="E58" s="69">
        <f t="shared" si="20"/>
        <v>5707</v>
      </c>
      <c r="F58" s="69">
        <f t="shared" si="20"/>
        <v>6869</v>
      </c>
      <c r="G58" s="69">
        <f t="shared" si="20"/>
        <v>0</v>
      </c>
      <c r="H58" s="69">
        <f t="shared" si="20"/>
        <v>0</v>
      </c>
      <c r="I58" s="69">
        <f t="shared" si="20"/>
        <v>0</v>
      </c>
      <c r="J58" s="69">
        <f t="shared" si="20"/>
        <v>0</v>
      </c>
      <c r="K58" s="69">
        <f t="shared" si="20"/>
        <v>0</v>
      </c>
      <c r="L58" s="69">
        <f t="shared" si="20"/>
        <v>0</v>
      </c>
      <c r="M58" s="70">
        <f t="shared" si="20"/>
        <v>0</v>
      </c>
      <c r="N58" s="49"/>
    </row>
    <row r="59" spans="1:14" ht="12.95">
      <c r="A59" s="72" t="s">
        <v>72</v>
      </c>
      <c r="B59" s="62">
        <f>IFERROR(B58/B44,"-")</f>
        <v>0.28854838207356193</v>
      </c>
      <c r="C59" s="62">
        <f t="shared" ref="C59:M59" si="21">IFERROR(C58/C44,"-")</f>
        <v>0.23923247537009337</v>
      </c>
      <c r="D59" s="62">
        <f t="shared" si="21"/>
        <v>0.22735474557921329</v>
      </c>
      <c r="E59" s="62">
        <f t="shared" si="21"/>
        <v>0.17968577815559963</v>
      </c>
      <c r="F59" s="62">
        <f t="shared" si="21"/>
        <v>0.28635150908787727</v>
      </c>
      <c r="G59" s="62">
        <f t="shared" si="21"/>
        <v>0</v>
      </c>
      <c r="H59" s="62" t="str">
        <f t="shared" si="21"/>
        <v>-</v>
      </c>
      <c r="I59" s="62" t="str">
        <f t="shared" si="21"/>
        <v>-</v>
      </c>
      <c r="J59" s="62" t="str">
        <f t="shared" si="21"/>
        <v>-</v>
      </c>
      <c r="K59" s="62" t="str">
        <f t="shared" si="21"/>
        <v>-</v>
      </c>
      <c r="L59" s="62" t="str">
        <f t="shared" si="21"/>
        <v>-</v>
      </c>
      <c r="M59" s="62" t="str">
        <f t="shared" si="21"/>
        <v>-</v>
      </c>
      <c r="N59" s="49"/>
    </row>
    <row r="60" spans="1:14" ht="12.95">
      <c r="B60"/>
      <c r="C60"/>
      <c r="D60"/>
      <c r="E60"/>
      <c r="F60"/>
      <c r="G60"/>
      <c r="H60"/>
      <c r="I60"/>
      <c r="J60"/>
      <c r="K60"/>
      <c r="L60"/>
      <c r="M60"/>
      <c r="N60" s="49"/>
    </row>
    <row r="61" spans="1:14" s="50" customFormat="1" ht="12.95">
      <c r="A61" s="71" t="s">
        <v>556</v>
      </c>
      <c r="B61" s="69">
        <f>_xlfn.XLOOKUP($A61,Inputs!$A:$A,Inputs!B:B,,0)</f>
        <v>430</v>
      </c>
      <c r="C61" s="69">
        <f>_xlfn.XLOOKUP($A61,Inputs!$A:$A,Inputs!C:C,,0)</f>
        <v>204</v>
      </c>
      <c r="D61" s="69">
        <f>_xlfn.XLOOKUP($A61,Inputs!$A:$A,Inputs!D:D,,0)</f>
        <v>787</v>
      </c>
      <c r="E61" s="69">
        <f>_xlfn.XLOOKUP($A61,Inputs!$A:$A,Inputs!E:E,,0)</f>
        <v>311</v>
      </c>
      <c r="F61" s="69">
        <f>_xlfn.XLOOKUP($A61,Inputs!$A:$A,Inputs!F:F,,0)</f>
        <v>0</v>
      </c>
      <c r="G61" s="69">
        <f>_xlfn.XLOOKUP($A61,Inputs!$A:$A,Inputs!G:G,,0)</f>
        <v>0</v>
      </c>
      <c r="H61" s="69">
        <f>_xlfn.XLOOKUP($A61,Inputs!$A:$A,Inputs!H:H,,0)</f>
        <v>0</v>
      </c>
      <c r="I61" s="69">
        <f>_xlfn.XLOOKUP($A61,Inputs!$A:$A,Inputs!I:I,,0)</f>
        <v>0</v>
      </c>
      <c r="J61" s="69">
        <f>_xlfn.XLOOKUP($A61,Inputs!$A:$A,Inputs!J:J,,0)</f>
        <v>0</v>
      </c>
      <c r="K61" s="69">
        <f>_xlfn.XLOOKUP($A61,Inputs!$A:$A,Inputs!K:K,,0)</f>
        <v>0</v>
      </c>
      <c r="L61" s="69">
        <f>_xlfn.XLOOKUP($A61,Inputs!$A:$A,Inputs!L:L,,0)</f>
        <v>0</v>
      </c>
      <c r="M61" s="69">
        <f>_xlfn.XLOOKUP($A61,Inputs!$A:$A,Inputs!M:M,,0)</f>
        <v>0</v>
      </c>
      <c r="N61" s="51"/>
    </row>
    <row r="62" spans="1:14" ht="12.95">
      <c r="B62"/>
      <c r="C62"/>
      <c r="D62"/>
      <c r="E62"/>
      <c r="F62"/>
      <c r="G62"/>
      <c r="H62"/>
      <c r="I62"/>
      <c r="J62"/>
      <c r="K62"/>
      <c r="L62"/>
      <c r="M62"/>
      <c r="N62" s="49"/>
    </row>
    <row r="63" spans="1:14" ht="12.95">
      <c r="A63" s="71" t="s">
        <v>557</v>
      </c>
      <c r="B63" s="69">
        <f>_xlfn.XLOOKUP($A63,Inputs!$A:$A,Inputs!B:B,,0)</f>
        <v>8074</v>
      </c>
      <c r="C63" s="69">
        <f>_xlfn.XLOOKUP($A63,Inputs!$A:$A,Inputs!C:C,,0)</f>
        <v>15145</v>
      </c>
      <c r="D63" s="69">
        <f>_xlfn.XLOOKUP($A63,Inputs!$A:$A,Inputs!D:D,,0)</f>
        <v>12967</v>
      </c>
      <c r="E63" s="69">
        <f>_xlfn.XLOOKUP($A63,Inputs!$A:$A,Inputs!E:E,,0)</f>
        <v>14872</v>
      </c>
      <c r="F63" s="69">
        <f>_xlfn.XLOOKUP($A63,Inputs!$A:$A,Inputs!F:F,,0)</f>
        <v>6792</v>
      </c>
      <c r="G63" s="69">
        <f>_xlfn.XLOOKUP($A63,Inputs!$A:$A,Inputs!G:G,,0)</f>
        <v>15426</v>
      </c>
      <c r="H63" s="69">
        <f>_xlfn.XLOOKUP($A63,Inputs!$A:$A,Inputs!H:H,,0)</f>
        <v>0</v>
      </c>
      <c r="I63" s="69">
        <f>_xlfn.XLOOKUP($A63,Inputs!$A:$A,Inputs!I:I,,0)</f>
        <v>0</v>
      </c>
      <c r="J63" s="69">
        <f>_xlfn.XLOOKUP($A63,Inputs!$A:$A,Inputs!J:J,,0)</f>
        <v>0</v>
      </c>
      <c r="K63" s="69">
        <f>_xlfn.XLOOKUP($A63,Inputs!$A:$A,Inputs!K:K,,0)</f>
        <v>0</v>
      </c>
      <c r="L63" s="69">
        <f>_xlfn.XLOOKUP($A63,Inputs!$A:$A,Inputs!L:L,,0)</f>
        <v>0</v>
      </c>
      <c r="M63" s="69">
        <f>_xlfn.XLOOKUP($A63,Inputs!$A:$A,Inputs!M:M,,0)</f>
        <v>0</v>
      </c>
      <c r="N63" s="49"/>
    </row>
    <row r="64" spans="1:14" ht="12" customHeight="1">
      <c r="K64" s="45"/>
      <c r="L64" s="45"/>
      <c r="M64" s="45"/>
      <c r="N64" s="49"/>
    </row>
    <row r="65" spans="1:236" ht="12" customHeight="1">
      <c r="K65" s="45"/>
      <c r="L65" s="45"/>
      <c r="M65" s="45"/>
      <c r="N65" s="49"/>
    </row>
    <row r="66" spans="1:236" ht="20.100000000000001">
      <c r="A66" s="1130" t="s">
        <v>559</v>
      </c>
      <c r="B66" s="1130"/>
      <c r="C66" s="1130"/>
      <c r="D66" s="1130"/>
      <c r="E66" s="1130"/>
      <c r="F66" s="1130"/>
      <c r="G66" s="1130"/>
      <c r="H66" s="1130"/>
      <c r="I66" s="1130"/>
      <c r="J66" s="1130"/>
      <c r="K66" s="1130"/>
      <c r="L66" s="1130"/>
      <c r="M66" s="1130"/>
    </row>
    <row r="67" spans="1:236" ht="12.95">
      <c r="A67" s="58" t="s">
        <v>560</v>
      </c>
      <c r="B67" s="59" t="e">
        <f>_xlfn.XLOOKUP($A67,Inputs!$A:$A,Inputs!B:B,,0)</f>
        <v>#N/A</v>
      </c>
      <c r="C67" s="59" t="e">
        <f>_xlfn.XLOOKUP($A67,Inputs!$A:$A,Inputs!C:C,,0)</f>
        <v>#N/A</v>
      </c>
      <c r="D67" s="59" t="e">
        <f>_xlfn.XLOOKUP($A67,Inputs!$A:$A,Inputs!D:D,,0)</f>
        <v>#N/A</v>
      </c>
      <c r="E67" s="59" t="e">
        <f>_xlfn.XLOOKUP($A67,Inputs!$A:$A,Inputs!E:E,,0)</f>
        <v>#N/A</v>
      </c>
      <c r="F67" s="59" t="e">
        <f>_xlfn.XLOOKUP($A67,Inputs!$A:$A,Inputs!F:F,,0)</f>
        <v>#N/A</v>
      </c>
      <c r="G67" s="59" t="e">
        <f>_xlfn.XLOOKUP($A67,Inputs!$A:$A,Inputs!G:G,,0)</f>
        <v>#N/A</v>
      </c>
      <c r="H67" s="59" t="e">
        <f>_xlfn.XLOOKUP($A67,Inputs!$A:$A,Inputs!H:H,,0)</f>
        <v>#N/A</v>
      </c>
      <c r="I67" s="59" t="e">
        <f>_xlfn.XLOOKUP($A67,Inputs!$A:$A,Inputs!I:I,,0)</f>
        <v>#N/A</v>
      </c>
      <c r="J67" s="59" t="e">
        <f>_xlfn.XLOOKUP($A67,Inputs!$A:$A,Inputs!J:J,,0)</f>
        <v>#N/A</v>
      </c>
      <c r="K67" s="59" t="e">
        <f>_xlfn.XLOOKUP($A67,Inputs!$A:$A,Inputs!K:K,,0)</f>
        <v>#N/A</v>
      </c>
      <c r="L67" s="59" t="e">
        <f>_xlfn.XLOOKUP($A67,Inputs!$A:$A,Inputs!L:L,,0)</f>
        <v>#N/A</v>
      </c>
      <c r="M67" s="59" t="e">
        <f>_xlfn.XLOOKUP($A67,Inputs!$A:$A,Inputs!M:M,,0)</f>
        <v>#N/A</v>
      </c>
    </row>
    <row r="68" spans="1:236" ht="12.95">
      <c r="A68" s="72" t="s">
        <v>561</v>
      </c>
      <c r="B68" s="59" t="e">
        <f>_xlfn.XLOOKUP($A68,Inputs!$A:$A,Inputs!B:B,,0)</f>
        <v>#N/A</v>
      </c>
      <c r="C68" s="59" t="e">
        <f>_xlfn.XLOOKUP($A68,Inputs!$A:$A,Inputs!C:C,,0)</f>
        <v>#N/A</v>
      </c>
      <c r="D68" s="59" t="e">
        <f>_xlfn.XLOOKUP($A68,Inputs!$A:$A,Inputs!D:D,,0)</f>
        <v>#N/A</v>
      </c>
      <c r="E68" s="59" t="e">
        <f>_xlfn.XLOOKUP($A68,Inputs!$A:$A,Inputs!E:E,,0)</f>
        <v>#N/A</v>
      </c>
      <c r="F68" s="59" t="e">
        <f>_xlfn.XLOOKUP($A68,Inputs!$A:$A,Inputs!F:F,,0)</f>
        <v>#N/A</v>
      </c>
      <c r="G68" s="59" t="e">
        <f>_xlfn.XLOOKUP($A68,Inputs!$A:$A,Inputs!G:G,,0)</f>
        <v>#N/A</v>
      </c>
      <c r="H68" s="59" t="e">
        <f>_xlfn.XLOOKUP($A68,Inputs!$A:$A,Inputs!H:H,,0)</f>
        <v>#N/A</v>
      </c>
      <c r="I68" s="59" t="e">
        <f>_xlfn.XLOOKUP($A68,Inputs!$A:$A,Inputs!I:I,,0)</f>
        <v>#N/A</v>
      </c>
      <c r="J68" s="59" t="e">
        <f>_xlfn.XLOOKUP($A68,Inputs!$A:$A,Inputs!J:J,,0)</f>
        <v>#N/A</v>
      </c>
      <c r="K68" s="59" t="e">
        <f>_xlfn.XLOOKUP($A68,Inputs!$A:$A,Inputs!K:K,,0)</f>
        <v>#N/A</v>
      </c>
      <c r="L68" s="59" t="e">
        <f>_xlfn.XLOOKUP($A68,Inputs!$A:$A,Inputs!L:L,,0)</f>
        <v>#N/A</v>
      </c>
      <c r="M68" s="59" t="e">
        <f>_xlfn.XLOOKUP($A68,Inputs!$A:$A,Inputs!M:M,,0)</f>
        <v>#N/A</v>
      </c>
    </row>
    <row r="69" spans="1:236" ht="12.95">
      <c r="A69" s="58" t="s">
        <v>48</v>
      </c>
      <c r="B69" s="59">
        <f>_xlfn.XLOOKUP($A69,Inputs!$A:$A,Inputs!B:B,,0)</f>
        <v>0.99829999999999997</v>
      </c>
      <c r="C69" s="59" t="str">
        <f>_xlfn.XLOOKUP($A69,Inputs!$A:$A,Inputs!C:C,,0)</f>
        <v>Yahoo finance</v>
      </c>
      <c r="D69" s="59">
        <f>_xlfn.XLOOKUP($A69,Inputs!$A:$A,Inputs!D:D,,0)</f>
        <v>0</v>
      </c>
      <c r="E69" s="59">
        <f>_xlfn.XLOOKUP($A69,Inputs!$A:$A,Inputs!E:E,,0)</f>
        <v>0</v>
      </c>
      <c r="F69" s="59">
        <f>_xlfn.XLOOKUP($A69,Inputs!$A:$A,Inputs!F:F,,0)</f>
        <v>0</v>
      </c>
      <c r="G69" s="59">
        <f>_xlfn.XLOOKUP($A69,Inputs!$A:$A,Inputs!G:G,,0)</f>
        <v>0</v>
      </c>
      <c r="H69" s="59">
        <f>_xlfn.XLOOKUP($A69,Inputs!$A:$A,Inputs!H:H,,0)</f>
        <v>0</v>
      </c>
      <c r="I69" s="59">
        <f>_xlfn.XLOOKUP($A69,Inputs!$A:$A,Inputs!I:I,,0)</f>
        <v>0</v>
      </c>
      <c r="J69" s="59">
        <f>_xlfn.XLOOKUP($A69,Inputs!$A:$A,Inputs!J:J,,0)</f>
        <v>0</v>
      </c>
      <c r="K69" s="59">
        <f>_xlfn.XLOOKUP($A69,Inputs!$A:$A,Inputs!K:K,,0)</f>
        <v>0</v>
      </c>
      <c r="L69" s="59">
        <f>_xlfn.XLOOKUP($A69,Inputs!$A:$A,Inputs!L:L,,0)</f>
        <v>0</v>
      </c>
      <c r="M69" s="59">
        <f>_xlfn.XLOOKUP($A69,Inputs!$A:$A,Inputs!M:M,,0)</f>
        <v>0</v>
      </c>
    </row>
    <row r="70" spans="1:236" ht="12.95">
      <c r="A70" s="72" t="s">
        <v>53</v>
      </c>
      <c r="B70" s="59">
        <f>_xlfn.XLOOKUP($A70,Inputs!$A:$A,Inputs!B:B,,0)</f>
        <v>1.6999999999999999E-3</v>
      </c>
      <c r="C70" s="59" t="str">
        <f>_xlfn.XLOOKUP($A70,Inputs!$A:$A,Inputs!C:C,,0)</f>
        <v>Yahoo finance</v>
      </c>
      <c r="D70" s="59">
        <f>_xlfn.XLOOKUP($A70,Inputs!$A:$A,Inputs!D:D,,0)</f>
        <v>0</v>
      </c>
      <c r="E70" s="59">
        <f>_xlfn.XLOOKUP($A70,Inputs!$A:$A,Inputs!E:E,,0)</f>
        <v>0</v>
      </c>
      <c r="F70" s="59">
        <f>_xlfn.XLOOKUP($A70,Inputs!$A:$A,Inputs!F:F,,0)</f>
        <v>0</v>
      </c>
      <c r="G70" s="59">
        <f>_xlfn.XLOOKUP($A70,Inputs!$A:$A,Inputs!G:G,,0)</f>
        <v>0</v>
      </c>
      <c r="H70" s="59">
        <f>_xlfn.XLOOKUP($A70,Inputs!$A:$A,Inputs!H:H,,0)</f>
        <v>0</v>
      </c>
      <c r="I70" s="59">
        <f>_xlfn.XLOOKUP($A70,Inputs!$A:$A,Inputs!I:I,,0)</f>
        <v>0</v>
      </c>
      <c r="J70" s="59">
        <f>_xlfn.XLOOKUP($A70,Inputs!$A:$A,Inputs!J:J,,0)</f>
        <v>0</v>
      </c>
      <c r="K70" s="59">
        <f>_xlfn.XLOOKUP($A70,Inputs!$A:$A,Inputs!K:K,,0)</f>
        <v>0</v>
      </c>
      <c r="L70" s="59">
        <f>_xlfn.XLOOKUP($A70,Inputs!$A:$A,Inputs!L:L,,0)</f>
        <v>0</v>
      </c>
      <c r="M70" s="59">
        <f>_xlfn.XLOOKUP($A70,Inputs!$A:$A,Inputs!M:M,,0)</f>
        <v>0</v>
      </c>
    </row>
    <row r="71" spans="1:236" ht="12.95">
      <c r="A71" s="58" t="s">
        <v>562</v>
      </c>
      <c r="B71" s="59" t="str">
        <f>_xlfn.XLOOKUP($A71,Inputs!$A:$A,Inputs!B:B,,0)</f>
        <v>-</v>
      </c>
      <c r="C71" s="59" t="str">
        <f>_xlfn.XLOOKUP($A71,Inputs!$A:$A,Inputs!C:C,,0)</f>
        <v>10-K</v>
      </c>
      <c r="D71" s="59">
        <f>_xlfn.XLOOKUP($A71,Inputs!$A:$A,Inputs!D:D,,0)</f>
        <v>0</v>
      </c>
      <c r="E71" s="59">
        <f>_xlfn.XLOOKUP($A71,Inputs!$A:$A,Inputs!E:E,,0)</f>
        <v>0</v>
      </c>
      <c r="F71" s="59">
        <f>_xlfn.XLOOKUP($A71,Inputs!$A:$A,Inputs!F:F,,0)</f>
        <v>0</v>
      </c>
      <c r="G71" s="59">
        <f>_xlfn.XLOOKUP($A71,Inputs!$A:$A,Inputs!G:G,,0)</f>
        <v>0</v>
      </c>
      <c r="H71" s="59">
        <f>_xlfn.XLOOKUP($A71,Inputs!$A:$A,Inputs!H:H,,0)</f>
        <v>0</v>
      </c>
      <c r="I71" s="59">
        <f>_xlfn.XLOOKUP($A71,Inputs!$A:$A,Inputs!I:I,,0)</f>
        <v>0</v>
      </c>
      <c r="J71" s="59">
        <f>_xlfn.XLOOKUP($A71,Inputs!$A:$A,Inputs!J:J,,0)</f>
        <v>0</v>
      </c>
      <c r="K71" s="59">
        <f>_xlfn.XLOOKUP($A71,Inputs!$A:$A,Inputs!K:K,,0)</f>
        <v>0</v>
      </c>
      <c r="L71" s="59">
        <f>_xlfn.XLOOKUP($A71,Inputs!$A:$A,Inputs!L:L,,0)</f>
        <v>0</v>
      </c>
      <c r="M71" s="59">
        <f>_xlfn.XLOOKUP($A71,Inputs!$A:$A,Inputs!M:M,,0)</f>
        <v>0</v>
      </c>
    </row>
    <row r="72" spans="1:236" ht="12.95">
      <c r="A72" s="58" t="s">
        <v>563</v>
      </c>
      <c r="B72" s="59" t="e">
        <f>_xlfn.XLOOKUP($A72,Inputs!$A:$A,Inputs!B:B,,0)</f>
        <v>#N/A</v>
      </c>
      <c r="C72" s="59" t="e">
        <f>_xlfn.XLOOKUP($A72,Inputs!$A:$A,Inputs!C:C,,0)</f>
        <v>#N/A</v>
      </c>
      <c r="D72" s="59" t="e">
        <f>_xlfn.XLOOKUP($A72,Inputs!$A:$A,Inputs!D:D,,0)</f>
        <v>#N/A</v>
      </c>
      <c r="E72" s="59" t="e">
        <f>_xlfn.XLOOKUP($A72,Inputs!$A:$A,Inputs!E:E,,0)</f>
        <v>#N/A</v>
      </c>
      <c r="F72" s="59" t="e">
        <f>_xlfn.XLOOKUP($A72,Inputs!$A:$A,Inputs!F:F,,0)</f>
        <v>#N/A</v>
      </c>
      <c r="G72" s="59" t="e">
        <f>_xlfn.XLOOKUP($A72,Inputs!$A:$A,Inputs!G:G,,0)</f>
        <v>#N/A</v>
      </c>
      <c r="H72" s="59" t="e">
        <f>_xlfn.XLOOKUP($A72,Inputs!$A:$A,Inputs!H:H,,0)</f>
        <v>#N/A</v>
      </c>
      <c r="I72" s="59" t="e">
        <f>_xlfn.XLOOKUP($A72,Inputs!$A:$A,Inputs!I:I,,0)</f>
        <v>#N/A</v>
      </c>
      <c r="J72" s="59" t="e">
        <f>_xlfn.XLOOKUP($A72,Inputs!$A:$A,Inputs!J:J,,0)</f>
        <v>#N/A</v>
      </c>
      <c r="K72" s="59" t="e">
        <f>_xlfn.XLOOKUP($A72,Inputs!$A:$A,Inputs!K:K,,0)</f>
        <v>#N/A</v>
      </c>
      <c r="L72" s="59" t="e">
        <f>_xlfn.XLOOKUP($A72,Inputs!$A:$A,Inputs!L:L,,0)</f>
        <v>#N/A</v>
      </c>
      <c r="M72" s="59" t="e">
        <f>_xlfn.XLOOKUP($A72,Inputs!$A:$A,Inputs!M:M,,0)</f>
        <v>#N/A</v>
      </c>
    </row>
    <row r="73" spans="1:236" ht="12.95">
      <c r="A73" s="72" t="s">
        <v>564</v>
      </c>
      <c r="B73" s="59">
        <f>_xlfn.XLOOKUP($A73,Inputs!$A:$A,Inputs!B:B,,0)</f>
        <v>0</v>
      </c>
      <c r="C73" s="59" t="str">
        <f>_xlfn.XLOOKUP($A73,Inputs!$A:$A,Inputs!C:C,,0)</f>
        <v>Yahoo Finance</v>
      </c>
      <c r="D73" s="59">
        <f>_xlfn.XLOOKUP($A73,Inputs!$A:$A,Inputs!D:D,,0)</f>
        <v>0</v>
      </c>
      <c r="E73" s="59">
        <f>_xlfn.XLOOKUP($A73,Inputs!$A:$A,Inputs!E:E,,0)</f>
        <v>0</v>
      </c>
      <c r="F73" s="59">
        <f>_xlfn.XLOOKUP($A73,Inputs!$A:$A,Inputs!F:F,,0)</f>
        <v>0</v>
      </c>
      <c r="G73" s="59">
        <f>_xlfn.XLOOKUP($A73,Inputs!$A:$A,Inputs!G:G,,0)</f>
        <v>0</v>
      </c>
      <c r="H73" s="59">
        <f>_xlfn.XLOOKUP($A73,Inputs!$A:$A,Inputs!H:H,,0)</f>
        <v>0</v>
      </c>
      <c r="I73" s="59">
        <f>_xlfn.XLOOKUP($A73,Inputs!$A:$A,Inputs!I:I,,0)</f>
        <v>0</v>
      </c>
      <c r="J73" s="59">
        <f>_xlfn.XLOOKUP($A73,Inputs!$A:$A,Inputs!J:J,,0)</f>
        <v>0</v>
      </c>
      <c r="K73" s="59">
        <f>_xlfn.XLOOKUP($A73,Inputs!$A:$A,Inputs!K:K,,0)</f>
        <v>0</v>
      </c>
      <c r="L73" s="59">
        <f>_xlfn.XLOOKUP($A73,Inputs!$A:$A,Inputs!L:L,,0)</f>
        <v>0</v>
      </c>
      <c r="M73" s="59">
        <f>_xlfn.XLOOKUP($A73,Inputs!$A:$A,Inputs!M:M,,0)</f>
        <v>0</v>
      </c>
      <c r="IB73" s="45"/>
    </row>
    <row r="74" spans="1:236" ht="12" customHeight="1">
      <c r="B74" s="48"/>
      <c r="C74" s="48"/>
      <c r="D74" s="48"/>
      <c r="E74" s="48"/>
      <c r="F74" s="48"/>
      <c r="G74" s="48"/>
      <c r="H74" s="48"/>
      <c r="I74" s="48"/>
      <c r="J74" s="48"/>
      <c r="K74" s="48"/>
      <c r="L74" s="48"/>
      <c r="M74" s="48"/>
      <c r="IB74" s="45"/>
    </row>
    <row r="75" spans="1:236" ht="12" customHeight="1">
      <c r="B75" s="46">
        <v>2020</v>
      </c>
      <c r="C75" s="46">
        <v>2021</v>
      </c>
      <c r="D75" s="46">
        <v>2022</v>
      </c>
      <c r="G75" s="46"/>
      <c r="H75" s="48"/>
      <c r="I75" s="48"/>
      <c r="J75" s="48"/>
      <c r="K75" s="48"/>
      <c r="L75" s="48"/>
      <c r="M75" s="48"/>
      <c r="IB75" s="45"/>
    </row>
    <row r="76" spans="1:236" ht="12.95">
      <c r="A76" s="58" t="s">
        <v>565</v>
      </c>
      <c r="B76" s="65">
        <v>0</v>
      </c>
      <c r="C76" s="65">
        <v>0</v>
      </c>
      <c r="D76" s="66">
        <v>0</v>
      </c>
      <c r="G76" s="48"/>
      <c r="H76" s="48"/>
      <c r="I76" s="48"/>
      <c r="J76" s="48"/>
      <c r="K76" s="48"/>
      <c r="L76" s="48"/>
      <c r="M76" s="48"/>
      <c r="IB76" s="45"/>
    </row>
    <row r="77" spans="1:236" ht="12.95">
      <c r="A77" s="72" t="s">
        <v>74</v>
      </c>
      <c r="B77" s="65">
        <v>0</v>
      </c>
      <c r="C77" s="65">
        <v>0</v>
      </c>
      <c r="D77" s="66">
        <v>0</v>
      </c>
    </row>
    <row r="78" spans="1:236" ht="12" customHeight="1"/>
    <row r="79" spans="1:236">
      <c r="A79" s="47" t="s">
        <v>566</v>
      </c>
      <c r="B79" s="46" t="s">
        <v>567</v>
      </c>
      <c r="C79" s="46" t="s">
        <v>568</v>
      </c>
      <c r="D79" s="46" t="s">
        <v>569</v>
      </c>
      <c r="E79" s="46" t="s">
        <v>570</v>
      </c>
      <c r="G79" s="46"/>
    </row>
    <row r="80" spans="1:236" ht="12.95">
      <c r="B80" s="73" t="e">
        <f>VLOOKUP($A80,Inputs!$A$5:$M$98,MATCH(B$4,Inputs!$B$5:$M$5,0)+1,FALSE)</f>
        <v>#N/A</v>
      </c>
      <c r="C80" s="73" t="e">
        <f>VLOOKUP($A80,Inputs!$A$5:$M$98,MATCH(C$4,Inputs!$B$5:$M$5,0)+1,FALSE)</f>
        <v>#N/A</v>
      </c>
      <c r="D80" s="73" t="e">
        <f>VLOOKUP($A80,Inputs!$A$5:$M$98,MATCH(D$4,Inputs!$B$5:$M$5,0)+1,FALSE)</f>
        <v>#N/A</v>
      </c>
      <c r="E80" s="73" t="e">
        <f>VLOOKUP($A80,Inputs!$A$5:$M$98,MATCH(E$4,Inputs!$B$5:$M$5,0)+1,FALSE)</f>
        <v>#N/A</v>
      </c>
    </row>
    <row r="81" spans="2:6" ht="12.95">
      <c r="B81" s="74"/>
      <c r="C81" s="74"/>
      <c r="D81" s="2"/>
      <c r="E81" s="74"/>
      <c r="F81" s="2"/>
    </row>
    <row r="82" spans="2:6" ht="12.95">
      <c r="B82" s="74"/>
      <c r="C82" s="74"/>
      <c r="D82" s="2"/>
      <c r="E82" s="74"/>
      <c r="F82" s="2"/>
    </row>
    <row r="83" spans="2:6" ht="12.95">
      <c r="B83" s="74"/>
      <c r="C83" s="74"/>
      <c r="D83" s="2"/>
      <c r="E83" s="74"/>
      <c r="F83" s="2"/>
    </row>
    <row r="84" spans="2:6" ht="12.95">
      <c r="B84" s="74"/>
      <c r="C84" s="74"/>
      <c r="D84" s="2"/>
      <c r="E84" s="74"/>
      <c r="F84" s="2"/>
    </row>
    <row r="85" spans="2:6" ht="12.95">
      <c r="B85" s="74"/>
      <c r="C85" s="74"/>
      <c r="D85" s="2"/>
      <c r="E85" s="74"/>
      <c r="F85" s="2"/>
    </row>
    <row r="86" spans="2:6" ht="12.95">
      <c r="B86" s="74"/>
      <c r="C86" s="74"/>
      <c r="D86" s="2"/>
      <c r="E86" s="74"/>
      <c r="F86" s="2"/>
    </row>
    <row r="87" spans="2:6" ht="12.95">
      <c r="B87" s="74"/>
      <c r="C87" s="74"/>
      <c r="D87" s="2"/>
      <c r="E87" s="74"/>
      <c r="F87" s="2"/>
    </row>
    <row r="88" spans="2:6" ht="12.95">
      <c r="B88" s="74"/>
      <c r="C88" s="74"/>
      <c r="D88" s="2"/>
      <c r="E88" s="74"/>
      <c r="F88" s="2"/>
    </row>
  </sheetData>
  <mergeCells count="6">
    <mergeCell ref="A66:M66"/>
    <mergeCell ref="A1:M1"/>
    <mergeCell ref="A2:M2"/>
    <mergeCell ref="A3:M3"/>
    <mergeCell ref="A38:M38"/>
    <mergeCell ref="A47:M47"/>
  </mergeCells>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tabSelected="1" zoomScale="130" zoomScaleNormal="130" workbookViewId="0">
      <selection activeCell="E8" sqref="E8"/>
    </sheetView>
  </sheetViews>
  <sheetFormatPr defaultColWidth="10.28515625" defaultRowHeight="14.1"/>
  <cols>
    <col min="1" max="1" width="40.140625" style="23" bestFit="1" customWidth="1"/>
    <col min="2" max="5" width="13.42578125" style="23" customWidth="1"/>
    <col min="6" max="6" width="13" style="23" customWidth="1"/>
    <col min="7" max="9" width="13.85546875" style="23" customWidth="1"/>
    <col min="10" max="10" width="14.140625" style="23" customWidth="1"/>
    <col min="11" max="11" width="15.140625" style="25" customWidth="1"/>
    <col min="12" max="12" width="17" style="25" customWidth="1"/>
    <col min="13" max="13" width="14.140625" style="23" customWidth="1"/>
    <col min="14" max="14" width="21.42578125" style="23" bestFit="1" customWidth="1"/>
    <col min="15" max="15" width="32.140625" style="23" customWidth="1"/>
    <col min="16" max="16" width="11.42578125" style="23" customWidth="1"/>
    <col min="17" max="23" width="0" style="23" hidden="1" customWidth="1"/>
    <col min="24" max="24" width="15.28515625" style="23" bestFit="1" customWidth="1"/>
    <col min="25" max="25" width="17.28515625" style="23" bestFit="1" customWidth="1"/>
    <col min="26" max="33" width="0" style="23" hidden="1" customWidth="1"/>
    <col min="34" max="16384" width="10.28515625" style="23"/>
  </cols>
  <sheetData>
    <row r="1" spans="1:33">
      <c r="B1" s="53"/>
      <c r="C1" s="53"/>
      <c r="D1" s="53"/>
      <c r="E1" s="53"/>
      <c r="F1" s="53"/>
      <c r="G1" s="53"/>
      <c r="H1" s="53"/>
      <c r="I1" s="53"/>
      <c r="J1" s="53"/>
      <c r="K1" s="53"/>
      <c r="L1" s="53"/>
      <c r="M1" s="53"/>
      <c r="N1"/>
      <c r="O1"/>
    </row>
    <row r="2" spans="1:33">
      <c r="G2" s="1133" t="s">
        <v>574</v>
      </c>
      <c r="H2" s="1133"/>
      <c r="I2" s="1133"/>
      <c r="J2" s="1133"/>
      <c r="K2" s="26"/>
      <c r="L2" s="26"/>
      <c r="M2" s="26"/>
      <c r="N2" s="26"/>
      <c r="O2" s="26"/>
    </row>
    <row r="3" spans="1:33" ht="15">
      <c r="G3" s="23" t="s">
        <v>575</v>
      </c>
      <c r="H3" s="660" t="e" vm="1">
        <v>#VALUE!</v>
      </c>
      <c r="M3"/>
      <c r="N3"/>
      <c r="O3"/>
    </row>
    <row r="4" spans="1:33">
      <c r="A4" s="598"/>
      <c r="B4" s="598"/>
      <c r="C4" s="598"/>
      <c r="D4" s="1134" t="s">
        <v>576</v>
      </c>
      <c r="E4" s="1134"/>
      <c r="F4" s="1134"/>
      <c r="G4" s="1134"/>
      <c r="H4" s="1134"/>
      <c r="I4" s="1134"/>
      <c r="J4" s="1134"/>
      <c r="K4" s="1134"/>
      <c r="L4" s="1134"/>
      <c r="M4" s="1134"/>
      <c r="N4"/>
      <c r="O4"/>
    </row>
    <row r="5" spans="1:33">
      <c r="A5" s="599" t="s">
        <v>577</v>
      </c>
      <c r="B5" s="600">
        <f>OP!J17</f>
        <v>2022</v>
      </c>
      <c r="C5" s="600">
        <f>B5-1</f>
        <v>2021</v>
      </c>
      <c r="D5" s="600">
        <f t="shared" ref="D5:M5" si="0">C5-1</f>
        <v>2020</v>
      </c>
      <c r="E5" s="600">
        <f t="shared" si="0"/>
        <v>2019</v>
      </c>
      <c r="F5" s="600">
        <f t="shared" si="0"/>
        <v>2018</v>
      </c>
      <c r="G5" s="600">
        <f t="shared" si="0"/>
        <v>2017</v>
      </c>
      <c r="H5" s="600">
        <f t="shared" si="0"/>
        <v>2016</v>
      </c>
      <c r="I5" s="600">
        <f t="shared" si="0"/>
        <v>2015</v>
      </c>
      <c r="J5" s="600">
        <f t="shared" si="0"/>
        <v>2014</v>
      </c>
      <c r="K5" s="600">
        <f t="shared" si="0"/>
        <v>2013</v>
      </c>
      <c r="L5" s="600">
        <f t="shared" si="0"/>
        <v>2012</v>
      </c>
      <c r="M5" s="600">
        <f t="shared" si="0"/>
        <v>2011</v>
      </c>
      <c r="N5"/>
      <c r="O5"/>
      <c r="Q5" s="10" t="s">
        <v>578</v>
      </c>
      <c r="R5" s="1135" t="s">
        <v>579</v>
      </c>
      <c r="S5" s="1135"/>
      <c r="T5" s="23" t="s">
        <v>580</v>
      </c>
      <c r="Z5" s="53">
        <v>2016</v>
      </c>
      <c r="AA5" s="53">
        <v>2015</v>
      </c>
      <c r="AB5" s="53">
        <v>2014</v>
      </c>
      <c r="AC5" s="53">
        <v>2013</v>
      </c>
      <c r="AD5" s="53">
        <v>2012</v>
      </c>
      <c r="AE5" s="53">
        <v>2011</v>
      </c>
      <c r="AF5" s="53">
        <v>2010</v>
      </c>
      <c r="AG5" s="53">
        <v>2009</v>
      </c>
    </row>
    <row r="6" spans="1:33">
      <c r="A6" s="601" t="s">
        <v>124</v>
      </c>
      <c r="B6" s="602">
        <v>31877</v>
      </c>
      <c r="C6" s="602">
        <v>17455</v>
      </c>
      <c r="D6" s="602">
        <v>11139</v>
      </c>
      <c r="E6" s="602">
        <v>13000</v>
      </c>
      <c r="F6" s="602">
        <v>10433</v>
      </c>
      <c r="G6" s="602">
        <v>7932</v>
      </c>
      <c r="H6" s="603"/>
      <c r="I6" s="602"/>
      <c r="J6" s="602"/>
      <c r="K6" s="602"/>
      <c r="L6" s="602"/>
      <c r="M6" s="602"/>
      <c r="N6" s="29" t="s">
        <v>581</v>
      </c>
      <c r="O6" t="s">
        <v>582</v>
      </c>
      <c r="P6"/>
      <c r="Q6" s="23" t="s">
        <v>583</v>
      </c>
      <c r="R6" s="23" t="s">
        <v>583</v>
      </c>
      <c r="X6" s="30"/>
      <c r="Y6" s="30"/>
      <c r="Z6" s="28">
        <v>38537</v>
      </c>
      <c r="AA6" s="28">
        <v>47011</v>
      </c>
      <c r="AB6" s="28">
        <v>55184</v>
      </c>
      <c r="AC6" s="28">
        <v>55656</v>
      </c>
      <c r="AD6" s="28">
        <v>65875</v>
      </c>
      <c r="AE6" s="28">
        <v>60138</v>
      </c>
      <c r="AF6" s="28">
        <v>42588</v>
      </c>
      <c r="AG6" s="28">
        <v>32396</v>
      </c>
    </row>
    <row r="7" spans="1:33">
      <c r="A7" s="601" t="s">
        <v>530</v>
      </c>
      <c r="B7" s="602">
        <v>12218</v>
      </c>
      <c r="C7" s="602">
        <v>8104</v>
      </c>
      <c r="D7" s="602">
        <v>5985</v>
      </c>
      <c r="E7" s="602">
        <v>6939</v>
      </c>
      <c r="F7" s="602">
        <v>5647</v>
      </c>
      <c r="G7" s="602">
        <v>3772</v>
      </c>
      <c r="H7" s="604"/>
      <c r="I7" s="605"/>
      <c r="J7" s="602"/>
      <c r="K7" s="602"/>
      <c r="L7" s="602"/>
      <c r="M7" s="602"/>
      <c r="N7" s="29" t="s">
        <v>581</v>
      </c>
      <c r="O7" t="str">
        <f>+A7</f>
        <v>Gross Profit</v>
      </c>
      <c r="P7"/>
      <c r="Q7" s="23" t="s">
        <v>583</v>
      </c>
      <c r="R7" s="23" t="s">
        <v>584</v>
      </c>
      <c r="Z7" s="32">
        <f>Z6-28044</f>
        <v>10493</v>
      </c>
      <c r="AA7" s="32">
        <f>AA6-33546</f>
        <v>13465</v>
      </c>
      <c r="AB7" s="32">
        <f>AB6-40718</f>
        <v>14466</v>
      </c>
      <c r="AC7" s="32">
        <f>AC6-40727</f>
        <v>14929</v>
      </c>
      <c r="AD7" s="33">
        <f>+AD6-47055</f>
        <v>18820</v>
      </c>
      <c r="AE7" s="33">
        <f>+AE6-43578</f>
        <v>16560</v>
      </c>
      <c r="AF7" s="33">
        <f>+AF6-30367</f>
        <v>12221</v>
      </c>
      <c r="AG7" s="33">
        <f>+AG6-23886</f>
        <v>8510</v>
      </c>
    </row>
    <row r="8" spans="1:33">
      <c r="A8" s="601" t="s">
        <v>265</v>
      </c>
      <c r="B8" s="602">
        <v>-1832</v>
      </c>
      <c r="C8" s="602">
        <v>-3834</v>
      </c>
      <c r="D8" s="602">
        <v>-4863</v>
      </c>
      <c r="E8" s="602">
        <v>-8596</v>
      </c>
      <c r="F8" s="602">
        <v>-3033</v>
      </c>
      <c r="G8" s="602">
        <v>-4080</v>
      </c>
      <c r="H8" s="604"/>
      <c r="I8" s="605"/>
      <c r="J8" s="605"/>
      <c r="K8" s="605"/>
      <c r="L8" s="605"/>
      <c r="M8" s="605"/>
      <c r="N8" s="29" t="s">
        <v>581</v>
      </c>
      <c r="O8" t="s">
        <v>265</v>
      </c>
      <c r="P8"/>
      <c r="Q8" s="23" t="s">
        <v>583</v>
      </c>
      <c r="R8" s="34" t="s">
        <v>585</v>
      </c>
      <c r="Z8" s="32">
        <f>Z7-4383</f>
        <v>6110</v>
      </c>
      <c r="AA8" s="32">
        <f>AA7-4951</f>
        <v>8514</v>
      </c>
      <c r="AB8" s="32">
        <f>AB7-6529</f>
        <v>7937</v>
      </c>
      <c r="AC8" s="32">
        <f>AC7-5547</f>
        <v>9382</v>
      </c>
      <c r="AD8" s="33">
        <f>AD7-5919-2466-797-580-485</f>
        <v>8573</v>
      </c>
      <c r="AE8" s="33">
        <f>+AE7-5203-2297-826-1081</f>
        <v>7153</v>
      </c>
      <c r="AF8" s="33">
        <f>+AF7-4248-1905-914-1191</f>
        <v>3963</v>
      </c>
      <c r="AG8" s="33">
        <f>+AG7-3645-1421-1045-1822</f>
        <v>577</v>
      </c>
    </row>
    <row r="9" spans="1:33">
      <c r="A9" s="601" t="s">
        <v>534</v>
      </c>
      <c r="B9" s="602">
        <v>-7029</v>
      </c>
      <c r="C9" s="602">
        <v>3292</v>
      </c>
      <c r="D9" s="602">
        <v>-1625</v>
      </c>
      <c r="E9" s="602">
        <v>722</v>
      </c>
      <c r="F9" s="602">
        <v>4993</v>
      </c>
      <c r="G9" s="602">
        <v>-16</v>
      </c>
      <c r="H9" s="602"/>
      <c r="I9" s="602"/>
      <c r="J9" s="602"/>
      <c r="K9" s="602"/>
      <c r="L9" s="602"/>
      <c r="M9" s="602"/>
      <c r="N9" s="29" t="s">
        <v>581</v>
      </c>
      <c r="O9" t="s">
        <v>586</v>
      </c>
      <c r="P9"/>
      <c r="Q9" s="23" t="s">
        <v>583</v>
      </c>
      <c r="R9" s="23" t="s">
        <v>587</v>
      </c>
      <c r="S9" s="23" t="s">
        <v>588</v>
      </c>
      <c r="T9" s="23" t="s">
        <v>589</v>
      </c>
      <c r="U9" s="23" t="s">
        <v>590</v>
      </c>
      <c r="V9" s="23" t="s">
        <v>591</v>
      </c>
      <c r="Z9" s="32">
        <f>1853+596+595+1904+6+8</f>
        <v>4962</v>
      </c>
      <c r="AA9" s="32">
        <f>2119+587+2023+11</f>
        <v>4740</v>
      </c>
      <c r="AB9" s="32">
        <f>2380+624+1619-8+16</f>
        <v>4631</v>
      </c>
      <c r="AC9" s="32">
        <f>2046+727+981+6+14</f>
        <v>3774</v>
      </c>
      <c r="AD9" s="33">
        <f>-14+41</f>
        <v>27</v>
      </c>
      <c r="AE9" s="32">
        <v>53</v>
      </c>
      <c r="AF9" s="32">
        <f>58+24</f>
        <v>82</v>
      </c>
      <c r="AG9" s="32">
        <f>12-68</f>
        <v>-56</v>
      </c>
    </row>
    <row r="10" spans="1:33">
      <c r="A10" s="601" t="s">
        <v>266</v>
      </c>
      <c r="B10" s="602">
        <v>-426</v>
      </c>
      <c r="C10" s="602">
        <v>-446</v>
      </c>
      <c r="D10" s="602">
        <v>-403</v>
      </c>
      <c r="E10" s="602">
        <v>-325</v>
      </c>
      <c r="F10" s="602">
        <v>-544</v>
      </c>
      <c r="G10" s="602">
        <v>-408</v>
      </c>
      <c r="H10" s="604"/>
      <c r="I10" s="605"/>
      <c r="J10" s="602"/>
      <c r="K10" s="602"/>
      <c r="L10" s="602"/>
      <c r="M10" s="602"/>
      <c r="N10" s="29" t="s">
        <v>581</v>
      </c>
      <c r="O10" t="s">
        <v>592</v>
      </c>
      <c r="P10"/>
      <c r="Q10" s="23" t="s">
        <v>583</v>
      </c>
      <c r="R10" s="23" t="s">
        <v>593</v>
      </c>
      <c r="Z10" s="32">
        <f>505+518</f>
        <v>1023</v>
      </c>
      <c r="AA10" s="32">
        <f>507-161</f>
        <v>346</v>
      </c>
      <c r="AB10" s="32">
        <f>484-322</f>
        <v>162</v>
      </c>
      <c r="AC10" s="32">
        <f>465+35</f>
        <v>500</v>
      </c>
      <c r="AD10" s="33">
        <f>467-130</f>
        <v>337</v>
      </c>
      <c r="AE10" s="32">
        <f>396+32</f>
        <v>428</v>
      </c>
      <c r="AF10" s="32">
        <f>343-130</f>
        <v>213</v>
      </c>
      <c r="AG10" s="32">
        <f>389-381</f>
        <v>8</v>
      </c>
    </row>
    <row r="11" spans="1:33">
      <c r="A11" s="601" t="s">
        <v>267</v>
      </c>
      <c r="B11" s="602">
        <v>-181</v>
      </c>
      <c r="C11" s="602">
        <v>-492</v>
      </c>
      <c r="D11" s="602">
        <v>-192</v>
      </c>
      <c r="E11" s="602">
        <v>45</v>
      </c>
      <c r="F11" s="602">
        <v>283</v>
      </c>
      <c r="G11" s="602">
        <v>-542</v>
      </c>
      <c r="H11" s="604"/>
      <c r="I11" s="605"/>
      <c r="J11" s="602"/>
      <c r="K11" s="602"/>
      <c r="L11" s="602"/>
      <c r="M11" s="602"/>
      <c r="N11" s="29" t="s">
        <v>581</v>
      </c>
      <c r="O11" t="s">
        <v>267</v>
      </c>
      <c r="P11"/>
      <c r="Q11" s="23" t="s">
        <v>583</v>
      </c>
      <c r="R11" s="23" t="s">
        <v>594</v>
      </c>
      <c r="Z11" s="28">
        <v>192</v>
      </c>
      <c r="AA11" s="28">
        <v>916</v>
      </c>
      <c r="AB11" s="28">
        <v>692</v>
      </c>
      <c r="AC11" s="28">
        <v>1319</v>
      </c>
      <c r="AD11" s="31">
        <f>2528</f>
        <v>2528</v>
      </c>
      <c r="AE11" s="28">
        <f>1720</f>
        <v>1720</v>
      </c>
      <c r="AF11" s="28">
        <f>968</f>
        <v>968</v>
      </c>
      <c r="AG11" s="28">
        <f>-270</f>
        <v>-270</v>
      </c>
    </row>
    <row r="12" spans="1:33">
      <c r="A12" s="601" t="s">
        <v>69</v>
      </c>
      <c r="B12" s="602">
        <v>-9141</v>
      </c>
      <c r="C12" s="602">
        <v>-496</v>
      </c>
      <c r="D12" s="602">
        <v>-6768</v>
      </c>
      <c r="E12" s="602">
        <v>-8512</v>
      </c>
      <c r="F12" s="602">
        <v>987</v>
      </c>
      <c r="G12" s="602">
        <v>-4033</v>
      </c>
      <c r="H12" s="603"/>
      <c r="I12" s="602"/>
      <c r="J12" s="602"/>
      <c r="K12" s="602"/>
      <c r="L12" s="602"/>
      <c r="M12" s="602"/>
      <c r="N12" s="29" t="s">
        <v>581</v>
      </c>
      <c r="O12" t="s">
        <v>69</v>
      </c>
      <c r="P12"/>
      <c r="Q12" s="23" t="s">
        <v>595</v>
      </c>
      <c r="R12" s="23" t="s">
        <v>596</v>
      </c>
      <c r="Z12" s="28">
        <v>-67</v>
      </c>
      <c r="AA12" s="28">
        <v>2512</v>
      </c>
      <c r="AB12" s="28">
        <v>2452</v>
      </c>
      <c r="AC12" s="28">
        <v>3789</v>
      </c>
      <c r="AD12" s="28">
        <v>5681</v>
      </c>
      <c r="AE12" s="28">
        <f>4928+24</f>
        <v>4952</v>
      </c>
      <c r="AF12" s="28">
        <v>2700</v>
      </c>
      <c r="AG12" s="28">
        <v>895</v>
      </c>
    </row>
    <row r="13" spans="1:33">
      <c r="A13" s="598"/>
      <c r="B13" s="606">
        <f>SUM(B8:B11)</f>
        <v>-9468</v>
      </c>
      <c r="C13" s="606">
        <f t="shared" ref="C13:G13" si="1">SUM(C8:C11)</f>
        <v>-1480</v>
      </c>
      <c r="D13" s="606">
        <f t="shared" si="1"/>
        <v>-7083</v>
      </c>
      <c r="E13" s="606">
        <f t="shared" si="1"/>
        <v>-8154</v>
      </c>
      <c r="F13" s="606">
        <f t="shared" si="1"/>
        <v>1699</v>
      </c>
      <c r="G13" s="606">
        <f t="shared" si="1"/>
        <v>-5046</v>
      </c>
      <c r="H13" s="606"/>
      <c r="I13" s="606"/>
      <c r="J13" s="606"/>
      <c r="K13" s="606"/>
      <c r="L13" s="606"/>
      <c r="M13" s="606"/>
      <c r="N13"/>
      <c r="O13"/>
      <c r="P13"/>
      <c r="Z13" s="25">
        <f t="shared" ref="Z13:AG13" si="2">Z8-Z10-Z9-Z11</f>
        <v>-67</v>
      </c>
      <c r="AA13" s="25">
        <f t="shared" si="2"/>
        <v>2512</v>
      </c>
      <c r="AB13" s="25">
        <f t="shared" si="2"/>
        <v>2452</v>
      </c>
      <c r="AC13" s="25">
        <f t="shared" si="2"/>
        <v>3789</v>
      </c>
      <c r="AD13" s="25">
        <f t="shared" si="2"/>
        <v>5681</v>
      </c>
      <c r="AE13" s="25">
        <f t="shared" si="2"/>
        <v>4952</v>
      </c>
      <c r="AF13" s="25">
        <f t="shared" si="2"/>
        <v>2700</v>
      </c>
      <c r="AG13" s="25">
        <f t="shared" si="2"/>
        <v>895</v>
      </c>
    </row>
    <row r="14" spans="1:33">
      <c r="A14" s="599" t="s">
        <v>597</v>
      </c>
      <c r="B14" s="600">
        <f>B12-B13</f>
        <v>327</v>
      </c>
      <c r="C14" s="600">
        <f t="shared" ref="C14:G14" si="3">C12-C13</f>
        <v>984</v>
      </c>
      <c r="D14" s="600">
        <f t="shared" si="3"/>
        <v>315</v>
      </c>
      <c r="E14" s="600">
        <f t="shared" si="3"/>
        <v>-358</v>
      </c>
      <c r="F14" s="600">
        <f t="shared" si="3"/>
        <v>-712</v>
      </c>
      <c r="G14" s="600">
        <f t="shared" si="3"/>
        <v>1013</v>
      </c>
      <c r="H14" s="600"/>
      <c r="I14" s="600"/>
      <c r="J14" s="600"/>
      <c r="K14" s="600"/>
      <c r="L14" s="600"/>
      <c r="M14" s="600"/>
      <c r="N14"/>
      <c r="O14"/>
      <c r="P14"/>
      <c r="Z14" s="36">
        <f t="shared" ref="Z14:AG14" si="4">Z12-Z13</f>
        <v>0</v>
      </c>
      <c r="AA14" s="36">
        <f t="shared" si="4"/>
        <v>0</v>
      </c>
      <c r="AB14" s="36">
        <f t="shared" si="4"/>
        <v>0</v>
      </c>
      <c r="AC14" s="36">
        <f t="shared" si="4"/>
        <v>0</v>
      </c>
      <c r="AD14" s="36">
        <f t="shared" si="4"/>
        <v>0</v>
      </c>
      <c r="AE14" s="36">
        <f t="shared" si="4"/>
        <v>0</v>
      </c>
      <c r="AF14" s="36">
        <f t="shared" si="4"/>
        <v>0</v>
      </c>
      <c r="AG14" s="36">
        <f t="shared" si="4"/>
        <v>0</v>
      </c>
    </row>
    <row r="15" spans="1:33">
      <c r="A15" s="607"/>
      <c r="B15" s="683">
        <f>+B6/C6-1</f>
        <v>0.8262389000286452</v>
      </c>
      <c r="C15" s="683">
        <f t="shared" ref="C15:G15" si="5">+C6/D6-1</f>
        <v>0.56701678786246523</v>
      </c>
      <c r="D15" s="683">
        <f t="shared" si="5"/>
        <v>-0.14315384615384619</v>
      </c>
      <c r="E15" s="683">
        <f t="shared" si="5"/>
        <v>0.24604619955909124</v>
      </c>
      <c r="F15" s="683">
        <f t="shared" si="5"/>
        <v>0.31530509329299039</v>
      </c>
      <c r="G15" s="683" t="e">
        <f t="shared" si="5"/>
        <v>#DIV/0!</v>
      </c>
      <c r="H15" s="608"/>
      <c r="I15" s="608"/>
      <c r="J15" s="608"/>
      <c r="K15" s="608"/>
      <c r="L15" s="608"/>
      <c r="M15" s="608"/>
      <c r="N15"/>
      <c r="O15"/>
      <c r="P15"/>
      <c r="Z15" s="28"/>
      <c r="AA15" s="28"/>
      <c r="AB15" s="28"/>
      <c r="AC15" s="28"/>
      <c r="AD15" s="28"/>
      <c r="AE15" s="28"/>
      <c r="AF15" s="28"/>
      <c r="AG15" s="28"/>
    </row>
    <row r="16" spans="1:33">
      <c r="A16" s="27" t="s">
        <v>598</v>
      </c>
      <c r="B16" s="435">
        <v>1972131</v>
      </c>
      <c r="C16" s="435">
        <v>1892546</v>
      </c>
      <c r="D16" s="435">
        <v>1752960</v>
      </c>
      <c r="E16" s="435">
        <v>1248353</v>
      </c>
      <c r="F16" s="435">
        <v>443368</v>
      </c>
      <c r="G16" s="435">
        <v>426360</v>
      </c>
      <c r="H16" s="436"/>
      <c r="I16" s="435"/>
      <c r="J16" s="435"/>
      <c r="K16" s="435"/>
      <c r="L16" s="435"/>
      <c r="M16" s="435"/>
      <c r="N16" s="29"/>
      <c r="O16"/>
      <c r="P16"/>
      <c r="Z16" s="28"/>
      <c r="AA16" s="28"/>
      <c r="AB16" s="28"/>
      <c r="AC16" s="28"/>
      <c r="AD16" s="28"/>
      <c r="AE16" s="28"/>
      <c r="AF16" s="28"/>
      <c r="AG16" s="28"/>
    </row>
    <row r="17" spans="1:152">
      <c r="A17" s="27" t="s">
        <v>599</v>
      </c>
      <c r="B17" s="435">
        <v>1974928</v>
      </c>
      <c r="C17" s="435">
        <v>1895519</v>
      </c>
      <c r="D17" s="435">
        <v>1752960</v>
      </c>
      <c r="E17" s="435">
        <v>1248353</v>
      </c>
      <c r="F17" s="435">
        <v>478999</v>
      </c>
      <c r="G17" s="435">
        <v>426360</v>
      </c>
      <c r="H17" s="436"/>
      <c r="I17" s="435"/>
      <c r="J17" s="435"/>
      <c r="K17" s="435"/>
      <c r="L17" s="435"/>
      <c r="M17" s="435"/>
      <c r="N17" s="29"/>
      <c r="O17"/>
      <c r="P17"/>
      <c r="Z17" s="28"/>
      <c r="AA17" s="28"/>
      <c r="AB17" s="28"/>
      <c r="AC17" s="28"/>
      <c r="AD17" s="28"/>
      <c r="AE17" s="28"/>
      <c r="AF17" s="28"/>
      <c r="AG17" s="28"/>
    </row>
    <row r="18" spans="1:152" customFormat="1" ht="12.95">
      <c r="B18" s="438"/>
      <c r="C18" s="438"/>
      <c r="D18" s="438"/>
      <c r="E18" s="438"/>
      <c r="F18" s="438"/>
      <c r="G18" s="438"/>
      <c r="H18" s="438"/>
      <c r="I18" s="438"/>
      <c r="J18" s="438"/>
      <c r="K18" s="438"/>
      <c r="L18" s="438"/>
      <c r="M18" s="438"/>
    </row>
    <row r="19" spans="1:152">
      <c r="A19" s="27" t="s">
        <v>600</v>
      </c>
      <c r="B19" s="335">
        <v>-147</v>
      </c>
      <c r="C19" s="335">
        <v>-67</v>
      </c>
      <c r="D19" s="335">
        <v>-128</v>
      </c>
      <c r="E19" s="335">
        <v>-40</v>
      </c>
      <c r="F19" s="335">
        <v>-45</v>
      </c>
      <c r="G19" s="335">
        <v>42</v>
      </c>
      <c r="H19" s="433"/>
      <c r="I19" s="335"/>
      <c r="J19" s="335"/>
      <c r="K19" s="335"/>
      <c r="L19" s="335"/>
      <c r="M19" s="335"/>
      <c r="N19" s="29"/>
      <c r="O19"/>
      <c r="P19"/>
      <c r="Z19" s="28"/>
      <c r="AA19" s="28"/>
      <c r="AB19" s="28"/>
      <c r="AC19" s="28"/>
      <c r="AD19" s="28"/>
      <c r="AE19" s="28"/>
      <c r="AF19" s="28"/>
      <c r="AG19" s="28"/>
    </row>
    <row r="20" spans="1:152">
      <c r="A20" s="10" t="s">
        <v>601</v>
      </c>
      <c r="B20" s="335">
        <v>-9060</v>
      </c>
      <c r="C20" s="335">
        <v>-485</v>
      </c>
      <c r="D20" s="335">
        <v>-7116</v>
      </c>
      <c r="E20" s="335">
        <v>-8505</v>
      </c>
      <c r="F20" s="335">
        <v>812</v>
      </c>
      <c r="G20" s="335">
        <v>-4037</v>
      </c>
      <c r="H20" s="433"/>
      <c r="I20" s="335"/>
      <c r="J20" s="335"/>
      <c r="K20" s="335"/>
      <c r="L20" s="335"/>
      <c r="M20" s="335"/>
      <c r="N20" s="29"/>
      <c r="O20"/>
      <c r="P20"/>
      <c r="Z20" s="28"/>
      <c r="AA20" s="28"/>
      <c r="AB20" s="28"/>
      <c r="AC20" s="28"/>
      <c r="AD20" s="28"/>
      <c r="AE20" s="28"/>
      <c r="AF20" s="28"/>
      <c r="AG20" s="28"/>
    </row>
    <row r="21" spans="1:152" customFormat="1" ht="12.95">
      <c r="B21" s="438"/>
      <c r="C21" s="438"/>
      <c r="D21" s="438"/>
      <c r="E21" s="438"/>
      <c r="F21" s="438"/>
      <c r="G21" s="438"/>
      <c r="H21" s="438"/>
      <c r="I21" s="438"/>
      <c r="J21" s="438"/>
      <c r="K21" s="438"/>
      <c r="L21" s="438"/>
      <c r="M21" s="438"/>
    </row>
    <row r="22" spans="1:152">
      <c r="A22" s="23" t="s">
        <v>535</v>
      </c>
      <c r="B22" s="434">
        <f>B23-C23</f>
        <v>601</v>
      </c>
      <c r="C22" s="434">
        <f>C23-D23</f>
        <v>-3222</v>
      </c>
      <c r="D22" s="434">
        <f>D23-E23</f>
        <v>-5269</v>
      </c>
      <c r="E22" s="434">
        <f t="shared" ref="E22" si="6">E23-F23</f>
        <v>3887</v>
      </c>
      <c r="F22" s="434">
        <f>F23-G23</f>
        <v>1419</v>
      </c>
      <c r="G22" s="434"/>
      <c r="H22" s="434"/>
      <c r="I22" s="434"/>
      <c r="J22" s="434"/>
      <c r="K22" s="434"/>
      <c r="L22" s="434"/>
      <c r="M22" s="434"/>
      <c r="N22" s="35" t="s">
        <v>602</v>
      </c>
      <c r="O22" t="s">
        <v>603</v>
      </c>
      <c r="P22"/>
      <c r="Q22" s="23" t="s">
        <v>595</v>
      </c>
      <c r="Z22" s="28"/>
      <c r="AA22" s="28"/>
      <c r="AB22" s="28"/>
      <c r="AC22" s="28"/>
      <c r="AD22" s="31"/>
      <c r="AE22" s="28"/>
      <c r="AF22" s="28"/>
      <c r="AG22" s="28"/>
    </row>
    <row r="23" spans="1:152">
      <c r="A23" s="27" t="s">
        <v>604</v>
      </c>
      <c r="B23" s="335">
        <f>B27-B42</f>
        <v>396</v>
      </c>
      <c r="C23" s="335">
        <f t="shared" ref="C23:G23" si="7">C27-C42</f>
        <v>-205</v>
      </c>
      <c r="D23" s="335">
        <f>D27-D42</f>
        <v>3017</v>
      </c>
      <c r="E23" s="335">
        <f t="shared" si="7"/>
        <v>8286</v>
      </c>
      <c r="F23" s="335">
        <f t="shared" si="7"/>
        <v>4399</v>
      </c>
      <c r="G23" s="335">
        <f t="shared" si="7"/>
        <v>2980</v>
      </c>
      <c r="H23" s="335"/>
      <c r="I23" s="335"/>
      <c r="J23" s="335"/>
      <c r="K23" s="335"/>
      <c r="L23" s="335"/>
      <c r="M23" s="335"/>
      <c r="N23" s="35"/>
      <c r="O23"/>
      <c r="P23"/>
      <c r="Z23" s="28"/>
      <c r="AA23" s="28"/>
      <c r="AB23" s="28"/>
      <c r="AC23" s="28"/>
      <c r="AD23" s="31"/>
      <c r="AE23" s="28"/>
      <c r="AF23" s="28"/>
      <c r="AG23" s="28"/>
    </row>
    <row r="24" spans="1:152">
      <c r="A24" s="7">
        <v>2625</v>
      </c>
      <c r="B24" s="439">
        <v>2625</v>
      </c>
      <c r="C24" s="439">
        <v>2625</v>
      </c>
      <c r="D24" s="439">
        <v>2625</v>
      </c>
      <c r="E24" s="439">
        <v>2625</v>
      </c>
      <c r="F24" s="439">
        <v>2625</v>
      </c>
      <c r="G24" s="439">
        <v>2625</v>
      </c>
      <c r="H24" s="439"/>
      <c r="I24" s="439"/>
      <c r="J24" s="439"/>
      <c r="K24" s="439"/>
      <c r="L24" s="439"/>
      <c r="M24" s="439"/>
      <c r="N24" s="7">
        <v>2625</v>
      </c>
      <c r="O24"/>
      <c r="P24"/>
      <c r="Q24" s="23" t="s">
        <v>595</v>
      </c>
      <c r="R24" s="23" t="s">
        <v>605</v>
      </c>
      <c r="T24" s="23" t="s">
        <v>606</v>
      </c>
      <c r="Z24" s="28">
        <v>1799</v>
      </c>
      <c r="AA24" s="28">
        <v>1757</v>
      </c>
      <c r="AB24" s="28">
        <v>1620</v>
      </c>
      <c r="AC24" s="28">
        <v>1111</v>
      </c>
      <c r="AD24" s="28">
        <v>1617</v>
      </c>
      <c r="AE24" s="28">
        <v>1159</v>
      </c>
      <c r="AF24" s="28">
        <v>1084</v>
      </c>
      <c r="AG24" s="28">
        <v>1029</v>
      </c>
    </row>
    <row r="25" spans="1:152">
      <c r="A25" s="53" t="s">
        <v>410</v>
      </c>
      <c r="B25" s="439">
        <v>2625</v>
      </c>
      <c r="C25" s="439">
        <v>2625</v>
      </c>
      <c r="D25" s="439">
        <v>2625</v>
      </c>
      <c r="E25" s="439">
        <v>2625</v>
      </c>
      <c r="F25" s="439">
        <v>2625</v>
      </c>
      <c r="G25" s="439">
        <v>2625</v>
      </c>
      <c r="H25" s="439"/>
      <c r="I25" s="439"/>
      <c r="J25" s="439"/>
      <c r="K25" s="439"/>
      <c r="L25" s="439"/>
      <c r="M25" s="439"/>
      <c r="N25" s="7">
        <v>2625</v>
      </c>
      <c r="O25"/>
      <c r="P25"/>
      <c r="Q25" s="23" t="s">
        <v>595</v>
      </c>
      <c r="R25" s="23" t="s">
        <v>607</v>
      </c>
      <c r="S25" s="23" t="s">
        <v>608</v>
      </c>
      <c r="T25" s="23" t="s">
        <v>609</v>
      </c>
      <c r="Z25" s="28">
        <v>23</v>
      </c>
      <c r="AA25" s="28">
        <f>-33+2025</f>
        <v>1992</v>
      </c>
      <c r="AB25" s="28">
        <v>3817</v>
      </c>
      <c r="AC25" s="28">
        <v>1776</v>
      </c>
      <c r="AD25" s="28">
        <v>-244</v>
      </c>
      <c r="AE25" s="28">
        <v>-312</v>
      </c>
      <c r="AF25" s="28">
        <v>-449</v>
      </c>
      <c r="AG25" s="28">
        <v>-110</v>
      </c>
    </row>
    <row r="26" spans="1:152">
      <c r="A26" s="123" t="s">
        <v>610</v>
      </c>
      <c r="B26" s="518"/>
      <c r="C26" s="518"/>
      <c r="D26" s="518"/>
      <c r="E26" s="518"/>
      <c r="F26" s="518"/>
      <c r="G26" s="518"/>
      <c r="H26" s="518"/>
      <c r="I26" s="518"/>
      <c r="J26" s="518"/>
      <c r="K26" s="518"/>
      <c r="L26" s="518"/>
      <c r="M26" s="518"/>
      <c r="N26" s="7">
        <v>1922</v>
      </c>
      <c r="O26" s="7">
        <v>2625</v>
      </c>
      <c r="P26"/>
      <c r="Z26" s="28"/>
      <c r="AA26" s="28"/>
      <c r="AB26" s="28"/>
      <c r="AC26" s="28"/>
      <c r="AD26" s="28"/>
      <c r="AE26" s="28"/>
      <c r="AF26" s="28"/>
      <c r="AG26" s="28"/>
    </row>
    <row r="27" spans="1:152">
      <c r="A27" s="10" t="s">
        <v>611</v>
      </c>
      <c r="B27" s="334">
        <v>9249</v>
      </c>
      <c r="C27" s="334">
        <v>8819</v>
      </c>
      <c r="D27" s="334">
        <v>9882</v>
      </c>
      <c r="E27" s="334">
        <v>13925</v>
      </c>
      <c r="F27" s="334">
        <v>8658</v>
      </c>
      <c r="G27" s="334">
        <v>6837</v>
      </c>
      <c r="H27" s="334"/>
      <c r="I27" s="334"/>
      <c r="J27" s="334"/>
      <c r="K27" s="334"/>
      <c r="L27" s="334"/>
      <c r="M27" s="334"/>
      <c r="N27" s="7"/>
      <c r="O27" s="7"/>
      <c r="P27"/>
      <c r="Z27" s="28"/>
      <c r="AA27" s="28"/>
      <c r="AB27" s="28"/>
      <c r="AC27" s="28"/>
      <c r="AD27" s="28"/>
      <c r="AE27" s="28"/>
      <c r="AF27" s="28"/>
      <c r="AG27" s="28"/>
    </row>
    <row r="28" spans="1:152">
      <c r="A28" s="120" t="s">
        <v>269</v>
      </c>
      <c r="B28" s="335">
        <v>4208</v>
      </c>
      <c r="C28" s="335">
        <v>4295</v>
      </c>
      <c r="D28" s="335">
        <v>5647</v>
      </c>
      <c r="E28" s="335">
        <v>10873</v>
      </c>
      <c r="F28" s="335">
        <v>6406</v>
      </c>
      <c r="G28" s="335">
        <v>4535</v>
      </c>
      <c r="H28" s="335"/>
      <c r="I28" s="335"/>
      <c r="J28" s="335"/>
      <c r="K28" s="335"/>
      <c r="L28" s="335"/>
      <c r="M28" s="335"/>
      <c r="N28" s="38" t="s">
        <v>612</v>
      </c>
      <c r="O28" t="s">
        <v>269</v>
      </c>
      <c r="P28"/>
      <c r="Z28" s="37"/>
      <c r="AA28" s="37"/>
      <c r="AB28" s="37"/>
      <c r="AC28" s="37"/>
      <c r="AD28" s="37"/>
      <c r="AE28" s="36"/>
      <c r="AF28" s="36"/>
      <c r="AG28" s="36"/>
    </row>
    <row r="29" spans="1:152">
      <c r="A29" s="121" t="s">
        <v>544</v>
      </c>
      <c r="B29" s="335">
        <v>2779</v>
      </c>
      <c r="C29" s="335">
        <v>2439</v>
      </c>
      <c r="D29" s="335">
        <v>1073</v>
      </c>
      <c r="E29" s="335">
        <v>1214</v>
      </c>
      <c r="F29" s="335">
        <v>919</v>
      </c>
      <c r="G29" s="335">
        <v>739</v>
      </c>
      <c r="H29" s="335"/>
      <c r="I29" s="335"/>
      <c r="J29" s="335"/>
      <c r="K29" s="335"/>
      <c r="L29" s="335"/>
      <c r="M29" s="335"/>
      <c r="N29" s="38" t="s">
        <v>612</v>
      </c>
      <c r="O29" t="s">
        <v>544</v>
      </c>
      <c r="P29"/>
      <c r="Z29" s="37"/>
      <c r="AA29" s="37"/>
      <c r="AB29" s="37"/>
      <c r="AC29" s="37"/>
      <c r="AD29" s="37"/>
      <c r="AE29" s="36"/>
      <c r="AF29" s="36"/>
      <c r="AG29" s="36"/>
    </row>
    <row r="30" spans="1:152">
      <c r="A30" s="120" t="s">
        <v>271</v>
      </c>
      <c r="B30" s="335">
        <v>0</v>
      </c>
      <c r="C30" s="335">
        <v>0</v>
      </c>
      <c r="D30" s="335">
        <v>0</v>
      </c>
      <c r="E30" s="335">
        <v>0</v>
      </c>
      <c r="F30" s="335">
        <v>0</v>
      </c>
      <c r="G30" s="335">
        <v>0</v>
      </c>
      <c r="H30" s="335"/>
      <c r="I30" s="335"/>
      <c r="J30" s="335"/>
      <c r="K30" s="335"/>
      <c r="L30" s="335"/>
      <c r="M30" s="335"/>
      <c r="N30" s="38" t="s">
        <v>612</v>
      </c>
      <c r="O30" t="s">
        <v>271</v>
      </c>
      <c r="P30"/>
      <c r="Q30" s="23" t="s">
        <v>613</v>
      </c>
      <c r="R30" s="23" t="s">
        <v>614</v>
      </c>
      <c r="Z30" s="28">
        <v>7168</v>
      </c>
      <c r="AA30" s="28">
        <v>6460</v>
      </c>
      <c r="AB30" s="28">
        <v>7341</v>
      </c>
      <c r="AC30" s="28">
        <v>6081</v>
      </c>
      <c r="AD30" s="28">
        <v>5490</v>
      </c>
      <c r="AE30" s="28">
        <v>3057</v>
      </c>
      <c r="AF30" s="28">
        <v>3592</v>
      </c>
      <c r="AG30" s="28">
        <v>4867</v>
      </c>
    </row>
    <row r="31" spans="1:152" s="24" customFormat="1">
      <c r="A31" s="120" t="s">
        <v>615</v>
      </c>
      <c r="B31" s="335">
        <f>B27-SUM(B28:B30)</f>
        <v>2262</v>
      </c>
      <c r="C31" s="335">
        <f t="shared" ref="C31:G31" si="8">C27-SUM(C28:C30)</f>
        <v>2085</v>
      </c>
      <c r="D31" s="335">
        <f t="shared" si="8"/>
        <v>3162</v>
      </c>
      <c r="E31" s="335">
        <f t="shared" si="8"/>
        <v>1838</v>
      </c>
      <c r="F31" s="335">
        <f t="shared" si="8"/>
        <v>1333</v>
      </c>
      <c r="G31" s="335">
        <f t="shared" si="8"/>
        <v>1563</v>
      </c>
      <c r="H31" s="335"/>
      <c r="I31" s="335"/>
      <c r="J31" s="335"/>
      <c r="K31" s="335"/>
      <c r="L31" s="335"/>
      <c r="M31" s="335"/>
      <c r="N31" s="38" t="s">
        <v>612</v>
      </c>
      <c r="O31" t="s">
        <v>271</v>
      </c>
      <c r="P31"/>
      <c r="Q31" s="23" t="s">
        <v>613</v>
      </c>
      <c r="R31" s="23" t="s">
        <v>616</v>
      </c>
      <c r="S31" s="23" t="s">
        <v>617</v>
      </c>
      <c r="T31" s="23" t="s">
        <v>618</v>
      </c>
      <c r="U31" s="23"/>
      <c r="V31" s="23"/>
      <c r="W31" s="23"/>
      <c r="X31" s="23"/>
      <c r="Y31" s="23"/>
      <c r="Z31" s="32">
        <f>5981+8522+1029+13556</f>
        <v>29088</v>
      </c>
      <c r="AA31" s="32">
        <f>6695+8991+1170+13651</f>
        <v>30507</v>
      </c>
      <c r="AB31" s="32">
        <f>7737+9027+1364+14644</f>
        <v>32772</v>
      </c>
      <c r="AC31" s="32">
        <v>33499</v>
      </c>
      <c r="AD31" s="32">
        <v>33911</v>
      </c>
      <c r="AE31" s="32">
        <v>31031</v>
      </c>
      <c r="AF31" s="32">
        <v>28849</v>
      </c>
      <c r="AG31" s="32">
        <v>27162</v>
      </c>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row>
    <row r="32" spans="1:152" s="24" customFormat="1">
      <c r="A32" s="10" t="s">
        <v>619</v>
      </c>
      <c r="B32" s="334">
        <f>B38-B27</f>
        <v>22860</v>
      </c>
      <c r="C32" s="334">
        <f>C38-C27</f>
        <v>29955</v>
      </c>
      <c r="D32" s="334">
        <f t="shared" ref="D32:G32" si="9">D38-D27</f>
        <v>23370</v>
      </c>
      <c r="E32" s="334">
        <f t="shared" si="9"/>
        <v>17836</v>
      </c>
      <c r="F32" s="334">
        <f t="shared" si="9"/>
        <v>15330</v>
      </c>
      <c r="G32" s="334">
        <f t="shared" si="9"/>
        <v>8589</v>
      </c>
      <c r="H32" s="334"/>
      <c r="I32" s="334"/>
      <c r="J32" s="334"/>
      <c r="K32" s="334"/>
      <c r="L32" s="334"/>
      <c r="M32" s="334"/>
      <c r="N32" s="38"/>
      <c r="O32"/>
      <c r="P32"/>
      <c r="Q32" s="23"/>
      <c r="R32" s="23"/>
      <c r="S32" s="23"/>
      <c r="T32" s="23"/>
      <c r="U32" s="23"/>
      <c r="V32" s="23"/>
      <c r="W32" s="23"/>
      <c r="X32" s="23"/>
      <c r="Y32" s="23"/>
      <c r="Z32" s="32"/>
      <c r="AA32" s="32"/>
      <c r="AB32" s="32"/>
      <c r="AC32" s="32"/>
      <c r="AD32" s="32"/>
      <c r="AE32" s="32"/>
      <c r="AF32" s="32"/>
      <c r="AG32" s="32"/>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row>
    <row r="33" spans="1:33">
      <c r="A33" s="122" t="s">
        <v>545</v>
      </c>
      <c r="B33" s="335">
        <v>2082</v>
      </c>
      <c r="C33" s="335">
        <v>1853</v>
      </c>
      <c r="D33" s="335">
        <v>1814</v>
      </c>
      <c r="E33" s="335">
        <v>1731</v>
      </c>
      <c r="F33" s="335">
        <v>1641</v>
      </c>
      <c r="G33" s="335">
        <v>1192</v>
      </c>
      <c r="H33" s="335"/>
      <c r="I33" s="335"/>
      <c r="J33" s="335"/>
      <c r="K33" s="335"/>
      <c r="L33" s="335"/>
      <c r="M33" s="335"/>
      <c r="N33" s="38"/>
      <c r="O33"/>
      <c r="P33"/>
      <c r="Q33" s="23" t="s">
        <v>613</v>
      </c>
      <c r="R33" s="23" t="s">
        <v>620</v>
      </c>
      <c r="Z33" s="28">
        <v>8614</v>
      </c>
      <c r="AA33" s="28">
        <v>9700</v>
      </c>
      <c r="AB33" s="28">
        <v>12205</v>
      </c>
      <c r="AC33" s="28">
        <v>12625</v>
      </c>
      <c r="AD33" s="28">
        <v>15547</v>
      </c>
      <c r="AE33" s="28">
        <v>14544</v>
      </c>
      <c r="AF33" s="28">
        <v>9587</v>
      </c>
      <c r="AG33" s="28">
        <v>6360</v>
      </c>
    </row>
    <row r="34" spans="1:33">
      <c r="A34" s="122" t="s">
        <v>621</v>
      </c>
      <c r="B34" s="335">
        <v>1449</v>
      </c>
      <c r="C34" s="335">
        <v>1388</v>
      </c>
      <c r="D34" s="335">
        <v>1274</v>
      </c>
      <c r="E34" s="335">
        <v>1594</v>
      </c>
      <c r="F34" s="335">
        <v>0</v>
      </c>
      <c r="G34" s="335"/>
      <c r="H34" s="335"/>
      <c r="I34" s="335"/>
      <c r="J34" s="335"/>
      <c r="K34" s="335"/>
      <c r="L34" s="335"/>
      <c r="M34" s="335"/>
      <c r="N34" s="38"/>
      <c r="O34"/>
      <c r="P34"/>
      <c r="Z34" s="28"/>
      <c r="AA34" s="28"/>
      <c r="AB34" s="28"/>
      <c r="AC34" s="28"/>
      <c r="AD34" s="28"/>
      <c r="AE34" s="28"/>
      <c r="AF34" s="28"/>
      <c r="AG34" s="28"/>
    </row>
    <row r="35" spans="1:33">
      <c r="A35" s="122" t="s">
        <v>622</v>
      </c>
      <c r="B35" s="335">
        <v>870</v>
      </c>
      <c r="C35" s="335">
        <v>800</v>
      </c>
      <c r="D35" s="335">
        <v>1079</v>
      </c>
      <c r="E35" s="335">
        <v>1364</v>
      </c>
      <c r="F35" s="335">
        <v>1312</v>
      </c>
      <c r="G35" s="335"/>
      <c r="H35" s="335"/>
      <c r="I35" s="335"/>
      <c r="J35" s="335"/>
      <c r="K35" s="335"/>
      <c r="L35" s="335"/>
      <c r="M35" s="335"/>
      <c r="N35" s="38"/>
      <c r="O35"/>
      <c r="P35"/>
      <c r="Z35" s="28"/>
      <c r="AA35" s="28"/>
      <c r="AB35" s="28"/>
      <c r="AC35" s="28"/>
      <c r="AD35" s="28"/>
      <c r="AE35" s="28"/>
      <c r="AF35" s="28"/>
      <c r="AG35" s="28"/>
    </row>
    <row r="36" spans="1:33">
      <c r="A36" s="122" t="s">
        <v>623</v>
      </c>
      <c r="B36" s="335">
        <f>B32-SUM(B33:B35)</f>
        <v>18459</v>
      </c>
      <c r="C36" s="335">
        <f t="shared" ref="C36" si="10">C32-SUM(C33:C35)</f>
        <v>25914</v>
      </c>
      <c r="D36" s="335">
        <f t="shared" ref="D36" si="11">D32-SUM(D33:D35)</f>
        <v>19203</v>
      </c>
      <c r="E36" s="335">
        <f>E32-SUM(E33:E35)</f>
        <v>13147</v>
      </c>
      <c r="F36" s="335">
        <f t="shared" ref="F36" si="12">F32-SUM(F33:F35)</f>
        <v>12377</v>
      </c>
      <c r="G36" s="335">
        <f t="shared" ref="G36" si="13">G32-SUM(G33:G35)</f>
        <v>7397</v>
      </c>
      <c r="H36" s="335"/>
      <c r="I36" s="335"/>
      <c r="J36" s="335"/>
      <c r="K36" s="335"/>
      <c r="L36" s="335"/>
      <c r="M36" s="335"/>
      <c r="N36" s="38" t="s">
        <v>612</v>
      </c>
      <c r="O36" t="s">
        <v>545</v>
      </c>
      <c r="P36"/>
      <c r="Z36" s="28"/>
      <c r="AA36" s="28"/>
      <c r="AB36" s="28"/>
      <c r="AC36" s="28"/>
      <c r="AD36" s="28"/>
      <c r="AE36" s="28"/>
      <c r="AF36" s="28"/>
      <c r="AG36" s="28"/>
    </row>
    <row r="37" spans="1:33">
      <c r="A37" s="23" t="s">
        <v>546</v>
      </c>
      <c r="B37" s="434">
        <f>B31+B36</f>
        <v>20721</v>
      </c>
      <c r="C37" s="434">
        <f>C31+C36</f>
        <v>27999</v>
      </c>
      <c r="D37" s="434">
        <f t="shared" ref="D37:G37" si="14">D31+D36</f>
        <v>22365</v>
      </c>
      <c r="E37" s="434">
        <f t="shared" si="14"/>
        <v>14985</v>
      </c>
      <c r="F37" s="434">
        <f t="shared" si="14"/>
        <v>13710</v>
      </c>
      <c r="G37" s="434">
        <f t="shared" si="14"/>
        <v>8960</v>
      </c>
      <c r="H37" s="434"/>
      <c r="I37" s="434"/>
      <c r="J37" s="434"/>
      <c r="K37" s="434"/>
      <c r="L37" s="434"/>
      <c r="M37" s="434"/>
      <c r="N37" s="38" t="s">
        <v>612</v>
      </c>
      <c r="O37"/>
      <c r="P37"/>
      <c r="Z37" s="28"/>
      <c r="AA37" s="28"/>
      <c r="AB37" s="28"/>
      <c r="AC37" s="28"/>
      <c r="AD37" s="28"/>
      <c r="AE37" s="28"/>
      <c r="AF37" s="28"/>
      <c r="AG37" s="28"/>
    </row>
    <row r="38" spans="1:33">
      <c r="A38" s="10" t="s">
        <v>44</v>
      </c>
      <c r="B38" s="334">
        <v>32109</v>
      </c>
      <c r="C38" s="334">
        <v>38774</v>
      </c>
      <c r="D38" s="334">
        <v>33252</v>
      </c>
      <c r="E38" s="334">
        <v>31761</v>
      </c>
      <c r="F38" s="334">
        <v>23988</v>
      </c>
      <c r="G38" s="334">
        <v>15426</v>
      </c>
      <c r="H38" s="334"/>
      <c r="I38" s="334"/>
      <c r="J38" s="334"/>
      <c r="K38" s="334"/>
      <c r="L38" s="334"/>
      <c r="M38" s="334"/>
      <c r="N38" s="38" t="s">
        <v>612</v>
      </c>
      <c r="O38" t="s">
        <v>44</v>
      </c>
      <c r="P38"/>
      <c r="Q38" s="23" t="s">
        <v>613</v>
      </c>
      <c r="R38" s="23" t="s">
        <v>624</v>
      </c>
      <c r="Z38" s="28">
        <v>15322</v>
      </c>
      <c r="AA38" s="28">
        <v>16090</v>
      </c>
      <c r="AB38" s="28">
        <f>16577</f>
        <v>16577</v>
      </c>
      <c r="AC38" s="28">
        <v>17075</v>
      </c>
      <c r="AD38" s="28">
        <v>16461</v>
      </c>
      <c r="AE38" s="28">
        <v>14395</v>
      </c>
      <c r="AF38" s="28">
        <v>12539</v>
      </c>
      <c r="AG38" s="28">
        <v>12386</v>
      </c>
    </row>
    <row r="39" spans="1:33">
      <c r="B39" s="434"/>
      <c r="C39" s="434"/>
      <c r="D39" s="434"/>
      <c r="E39" s="434"/>
      <c r="F39" s="434"/>
      <c r="G39" s="434"/>
      <c r="H39" s="434"/>
      <c r="I39" s="434"/>
      <c r="J39" s="434"/>
      <c r="K39" s="434"/>
      <c r="L39" s="434"/>
      <c r="M39" s="434"/>
      <c r="N39" s="38" t="s">
        <v>612</v>
      </c>
      <c r="O39"/>
      <c r="P39"/>
      <c r="Z39" s="25">
        <f t="shared" ref="Z39:AG39" si="15">Z40-SUM(Z30:Z38)</f>
        <v>14512</v>
      </c>
      <c r="AA39" s="25">
        <f t="shared" si="15"/>
        <v>15585</v>
      </c>
      <c r="AB39" s="25">
        <f t="shared" si="15"/>
        <v>15786</v>
      </c>
      <c r="AC39" s="25">
        <f t="shared" si="15"/>
        <v>15616</v>
      </c>
      <c r="AD39" s="25">
        <f t="shared" si="15"/>
        <v>17947</v>
      </c>
      <c r="AE39" s="25">
        <f t="shared" si="15"/>
        <v>18419</v>
      </c>
      <c r="AF39" s="25">
        <f t="shared" si="15"/>
        <v>9453</v>
      </c>
      <c r="AG39" s="25">
        <f t="shared" si="15"/>
        <v>9263</v>
      </c>
    </row>
    <row r="40" spans="1:33">
      <c r="B40" s="519"/>
      <c r="C40" s="434"/>
      <c r="D40" s="434"/>
      <c r="E40" s="434"/>
      <c r="F40" s="434"/>
      <c r="G40" s="434"/>
      <c r="H40" s="434"/>
      <c r="I40" s="434"/>
      <c r="J40" s="434"/>
      <c r="K40" s="434"/>
      <c r="L40" s="434"/>
      <c r="M40" s="434"/>
      <c r="N40" s="38" t="s">
        <v>612</v>
      </c>
      <c r="O40"/>
      <c r="P40"/>
      <c r="Q40" s="23" t="s">
        <v>613</v>
      </c>
      <c r="R40" s="23" t="s">
        <v>625</v>
      </c>
      <c r="Z40" s="39">
        <v>74704</v>
      </c>
      <c r="AA40" s="39">
        <v>78342</v>
      </c>
      <c r="AB40" s="39">
        <v>84681</v>
      </c>
      <c r="AC40" s="39">
        <v>84896</v>
      </c>
      <c r="AD40" s="39">
        <v>89356</v>
      </c>
      <c r="AE40" s="39">
        <v>81446</v>
      </c>
      <c r="AF40" s="39">
        <v>64020</v>
      </c>
      <c r="AG40" s="39">
        <v>60038</v>
      </c>
    </row>
    <row r="41" spans="1:33">
      <c r="A41" s="123" t="s">
        <v>626</v>
      </c>
      <c r="B41" s="334"/>
      <c r="C41" s="334"/>
      <c r="D41" s="334"/>
      <c r="E41" s="334"/>
      <c r="F41" s="334"/>
      <c r="G41" s="334"/>
      <c r="H41" s="334"/>
      <c r="I41" s="334"/>
      <c r="J41" s="334"/>
      <c r="K41" s="334"/>
      <c r="L41" s="334"/>
      <c r="M41" s="334"/>
      <c r="N41" s="38" t="s">
        <v>612</v>
      </c>
      <c r="O41"/>
      <c r="P41"/>
      <c r="Z41" s="30"/>
      <c r="AA41" s="30"/>
      <c r="AB41" s="30"/>
      <c r="AC41" s="30"/>
      <c r="AD41" s="30"/>
      <c r="AE41" s="30"/>
      <c r="AF41" s="30"/>
      <c r="AG41" s="30"/>
    </row>
    <row r="42" spans="1:33">
      <c r="A42" s="10" t="s">
        <v>275</v>
      </c>
      <c r="B42" s="334">
        <v>8853</v>
      </c>
      <c r="C42" s="334">
        <v>9024</v>
      </c>
      <c r="D42" s="334">
        <v>6865</v>
      </c>
      <c r="E42" s="334">
        <v>5639</v>
      </c>
      <c r="F42" s="334">
        <v>4259</v>
      </c>
      <c r="G42" s="334">
        <v>3857</v>
      </c>
      <c r="H42" s="334"/>
      <c r="I42" s="334"/>
      <c r="J42" s="334"/>
      <c r="K42" s="334"/>
      <c r="L42" s="334"/>
      <c r="M42" s="334"/>
      <c r="N42" s="38" t="s">
        <v>612</v>
      </c>
      <c r="O42" t="s">
        <v>275</v>
      </c>
      <c r="P42"/>
      <c r="Z42" s="30"/>
      <c r="AA42" s="30"/>
      <c r="AB42" s="30"/>
      <c r="AC42" s="30"/>
      <c r="AD42" s="30"/>
      <c r="AE42" s="30"/>
      <c r="AF42" s="30"/>
      <c r="AG42" s="30"/>
    </row>
    <row r="43" spans="1:33">
      <c r="A43" s="120" t="s">
        <v>627</v>
      </c>
      <c r="B43" s="335">
        <v>728</v>
      </c>
      <c r="C43" s="335">
        <v>860</v>
      </c>
      <c r="D43" s="335">
        <v>235</v>
      </c>
      <c r="E43" s="335">
        <v>272</v>
      </c>
      <c r="F43" s="335">
        <v>150</v>
      </c>
      <c r="G43" s="335"/>
      <c r="H43" s="335"/>
      <c r="I43" s="335"/>
      <c r="J43" s="335"/>
      <c r="K43" s="335"/>
      <c r="L43" s="335"/>
      <c r="M43" s="335"/>
      <c r="N43" s="38"/>
      <c r="O43"/>
      <c r="P43"/>
      <c r="Z43" s="37"/>
      <c r="AA43" s="37"/>
      <c r="AB43" s="37"/>
      <c r="AC43" s="37"/>
      <c r="AD43" s="37"/>
      <c r="AE43" s="36"/>
      <c r="AF43" s="36"/>
      <c r="AG43" s="36"/>
    </row>
    <row r="44" spans="1:33" s="10" customFormat="1">
      <c r="A44" s="27" t="s">
        <v>548</v>
      </c>
      <c r="B44" s="335">
        <v>0</v>
      </c>
      <c r="C44" s="335">
        <v>0</v>
      </c>
      <c r="D44" s="335">
        <v>0</v>
      </c>
      <c r="E44" s="335">
        <v>0</v>
      </c>
      <c r="F44" s="335">
        <v>0</v>
      </c>
      <c r="G44" s="335"/>
      <c r="H44" s="335"/>
      <c r="I44" s="335"/>
      <c r="J44" s="335"/>
      <c r="K44" s="335"/>
      <c r="L44" s="335"/>
      <c r="M44" s="335"/>
      <c r="N44" s="38" t="s">
        <v>612</v>
      </c>
      <c r="O44" t="s">
        <v>628</v>
      </c>
      <c r="P44"/>
      <c r="Q44" s="23" t="s">
        <v>613</v>
      </c>
      <c r="R44" s="10" t="s">
        <v>629</v>
      </c>
      <c r="Z44" s="39">
        <v>26132</v>
      </c>
      <c r="AA44" s="39">
        <v>26242</v>
      </c>
      <c r="AB44" s="39">
        <v>27877</v>
      </c>
      <c r="AC44" s="39">
        <v>27297</v>
      </c>
      <c r="AD44" s="39">
        <v>29415</v>
      </c>
      <c r="AE44" s="39">
        <f>93+3895+8161+3386+2410+2691+298+1967+558+5102</f>
        <v>28561</v>
      </c>
      <c r="AF44" s="39">
        <f>204+3852+5856+2880+1670+1831+281+1521+495+3430</f>
        <v>22020</v>
      </c>
      <c r="AG44" s="39">
        <f>433+3650+2993+3351+797+1217+262+888+302+5399</f>
        <v>19292</v>
      </c>
    </row>
    <row r="45" spans="1:33" s="10" customFormat="1">
      <c r="A45" s="27" t="s">
        <v>549</v>
      </c>
      <c r="B45" s="335">
        <v>201</v>
      </c>
      <c r="C45" s="335">
        <v>185</v>
      </c>
      <c r="D45" s="335">
        <v>175</v>
      </c>
      <c r="E45" s="335">
        <v>196</v>
      </c>
      <c r="F45" s="335">
        <v>0</v>
      </c>
      <c r="G45" s="335"/>
      <c r="H45" s="335"/>
      <c r="I45" s="335"/>
      <c r="J45" s="335"/>
      <c r="K45" s="335"/>
      <c r="L45" s="335"/>
      <c r="M45" s="335"/>
      <c r="N45" s="38"/>
      <c r="O45"/>
      <c r="P45"/>
      <c r="Q45" s="23"/>
      <c r="Z45" s="39"/>
      <c r="AA45" s="39"/>
      <c r="AB45" s="39"/>
      <c r="AC45" s="39"/>
      <c r="AD45" s="39"/>
      <c r="AE45" s="39"/>
      <c r="AF45" s="39"/>
      <c r="AG45" s="39"/>
    </row>
    <row r="46" spans="1:33">
      <c r="A46" s="120" t="s">
        <v>550</v>
      </c>
      <c r="B46" s="335">
        <f>B42-SUM(B43:B45)</f>
        <v>7924</v>
      </c>
      <c r="C46" s="335">
        <f t="shared" ref="C46:G46" si="16">C42-SUM(C43:C45)</f>
        <v>7979</v>
      </c>
      <c r="D46" s="335">
        <f t="shared" si="16"/>
        <v>6455</v>
      </c>
      <c r="E46" s="335">
        <f t="shared" si="16"/>
        <v>5171</v>
      </c>
      <c r="F46" s="335">
        <f>F42-SUM(F43:F45)</f>
        <v>4109</v>
      </c>
      <c r="G46" s="335">
        <f t="shared" si="16"/>
        <v>3857</v>
      </c>
      <c r="H46" s="335"/>
      <c r="I46" s="335"/>
      <c r="J46" s="335"/>
      <c r="K46" s="335"/>
      <c r="L46" s="335"/>
      <c r="M46" s="335"/>
      <c r="N46" s="38" t="s">
        <v>612</v>
      </c>
      <c r="O46"/>
      <c r="P46"/>
      <c r="R46" s="23" t="s">
        <v>630</v>
      </c>
      <c r="Z46" s="32">
        <v>7303</v>
      </c>
      <c r="AA46" s="32">
        <v>6967</v>
      </c>
      <c r="AB46" s="32">
        <v>4708</v>
      </c>
      <c r="AC46" s="32">
        <v>3679</v>
      </c>
      <c r="AD46" s="32">
        <v>5287</v>
      </c>
      <c r="AE46" s="32">
        <v>5660</v>
      </c>
      <c r="AF46" s="32">
        <v>3925</v>
      </c>
      <c r="AG46" s="32">
        <v>5701</v>
      </c>
    </row>
    <row r="47" spans="1:33">
      <c r="A47" s="10" t="s">
        <v>551</v>
      </c>
      <c r="B47" s="334">
        <f>B51-B42</f>
        <v>14752</v>
      </c>
      <c r="C47" s="334">
        <f>C51-C42</f>
        <v>14401</v>
      </c>
      <c r="D47" s="434">
        <f>D51-D42</f>
        <v>12633</v>
      </c>
      <c r="E47" s="434">
        <f t="shared" ref="E47:G47" si="17">E51-E42</f>
        <v>10939</v>
      </c>
      <c r="F47" s="434">
        <f t="shared" si="17"/>
        <v>12937</v>
      </c>
      <c r="G47" s="434">
        <f t="shared" si="17"/>
        <v>-3857</v>
      </c>
      <c r="H47" s="434"/>
      <c r="I47" s="434"/>
      <c r="J47" s="434"/>
      <c r="K47" s="434"/>
      <c r="L47" s="434"/>
      <c r="M47" s="434"/>
      <c r="N47" s="38" t="s">
        <v>612</v>
      </c>
      <c r="O47" t="s">
        <v>631</v>
      </c>
      <c r="P47"/>
      <c r="Z47" s="32"/>
      <c r="AA47" s="32"/>
      <c r="AB47" s="32"/>
      <c r="AC47" s="32"/>
      <c r="AD47" s="32"/>
      <c r="AE47" s="32"/>
      <c r="AF47" s="32"/>
      <c r="AG47" s="32"/>
    </row>
    <row r="48" spans="1:33">
      <c r="A48" s="27" t="s">
        <v>552</v>
      </c>
      <c r="B48" s="335">
        <v>9265</v>
      </c>
      <c r="C48" s="335">
        <v>9276</v>
      </c>
      <c r="D48" s="335">
        <v>7560</v>
      </c>
      <c r="E48" s="335">
        <v>5707</v>
      </c>
      <c r="F48" s="335">
        <v>6869</v>
      </c>
      <c r="G48" s="335"/>
      <c r="H48" s="335"/>
      <c r="I48" s="335"/>
      <c r="J48" s="335"/>
      <c r="K48" s="335"/>
      <c r="L48" s="335"/>
      <c r="M48" s="335"/>
      <c r="N48" s="38" t="s">
        <v>612</v>
      </c>
      <c r="O48" t="s">
        <v>632</v>
      </c>
      <c r="P48"/>
      <c r="Z48" s="25">
        <f t="shared" ref="Z48:AG48" si="18">Z44-Z46</f>
        <v>18829</v>
      </c>
      <c r="AA48" s="25">
        <f t="shared" si="18"/>
        <v>19275</v>
      </c>
      <c r="AB48" s="25">
        <f t="shared" si="18"/>
        <v>23169</v>
      </c>
      <c r="AC48" s="25">
        <f t="shared" si="18"/>
        <v>23618</v>
      </c>
      <c r="AD48" s="25">
        <f t="shared" si="18"/>
        <v>24128</v>
      </c>
      <c r="AE48" s="25">
        <f t="shared" si="18"/>
        <v>22901</v>
      </c>
      <c r="AF48" s="25">
        <f t="shared" si="18"/>
        <v>18095</v>
      </c>
      <c r="AG48" s="25">
        <f t="shared" si="18"/>
        <v>13591</v>
      </c>
    </row>
    <row r="49" spans="1:33" s="10" customFormat="1">
      <c r="A49" s="27" t="s">
        <v>553</v>
      </c>
      <c r="B49" s="335">
        <v>1673</v>
      </c>
      <c r="C49" s="335">
        <v>1644</v>
      </c>
      <c r="D49" s="335">
        <v>1544</v>
      </c>
      <c r="E49" s="335">
        <v>1523</v>
      </c>
      <c r="F49" s="335">
        <v>0</v>
      </c>
      <c r="G49" s="335"/>
      <c r="H49" s="335"/>
      <c r="I49" s="335"/>
      <c r="J49" s="335"/>
      <c r="K49" s="335"/>
      <c r="L49" s="335"/>
      <c r="M49" s="335"/>
      <c r="N49" s="38"/>
      <c r="O49"/>
      <c r="P49"/>
      <c r="Q49" s="23" t="s">
        <v>613</v>
      </c>
      <c r="R49" s="10" t="s">
        <v>633</v>
      </c>
      <c r="Z49" s="39">
        <f>61491-Z44</f>
        <v>35359</v>
      </c>
      <c r="AA49" s="39">
        <f>63457-AA44</f>
        <v>37215</v>
      </c>
      <c r="AB49" s="39">
        <f>67855-AB44</f>
        <v>39978</v>
      </c>
      <c r="AC49" s="39">
        <v>36721</v>
      </c>
      <c r="AD49" s="39">
        <v>41973</v>
      </c>
      <c r="AE49" s="39">
        <f>8415+16529+10956+3583</f>
        <v>39483</v>
      </c>
      <c r="AF49" s="39">
        <f>4505+15932+7584+2654</f>
        <v>30675</v>
      </c>
      <c r="AG49" s="39">
        <f>5652+16195+7420+2179</f>
        <v>31446</v>
      </c>
    </row>
    <row r="50" spans="1:33">
      <c r="A50" s="120" t="s">
        <v>554</v>
      </c>
      <c r="B50" s="335">
        <f>B47-SUM(B48:B49)</f>
        <v>3814</v>
      </c>
      <c r="C50" s="335">
        <f t="shared" ref="C50:G50" si="19">C47-SUM(C48:C49)</f>
        <v>3481</v>
      </c>
      <c r="D50" s="335">
        <f t="shared" si="19"/>
        <v>3529</v>
      </c>
      <c r="E50" s="335">
        <f t="shared" si="19"/>
        <v>3709</v>
      </c>
      <c r="F50" s="335">
        <f t="shared" si="19"/>
        <v>6068</v>
      </c>
      <c r="G50" s="335">
        <f t="shared" si="19"/>
        <v>-3857</v>
      </c>
      <c r="H50" s="335"/>
      <c r="I50" s="335"/>
      <c r="J50" s="335"/>
      <c r="K50" s="335"/>
      <c r="L50" s="335"/>
      <c r="M50" s="335"/>
      <c r="N50" s="38" t="s">
        <v>612</v>
      </c>
      <c r="O50" t="s">
        <v>634</v>
      </c>
      <c r="P50"/>
      <c r="R50" s="23" t="s">
        <v>635</v>
      </c>
      <c r="Z50" s="28">
        <v>22818</v>
      </c>
      <c r="AA50" s="28">
        <v>25169</v>
      </c>
      <c r="AB50" s="28">
        <v>27784</v>
      </c>
      <c r="AC50" s="28">
        <v>26719</v>
      </c>
      <c r="AD50" s="28">
        <v>27752</v>
      </c>
      <c r="AE50" s="28">
        <v>24944</v>
      </c>
      <c r="AF50" s="28">
        <v>20437</v>
      </c>
      <c r="AG50" s="28">
        <v>21847</v>
      </c>
    </row>
    <row r="51" spans="1:33">
      <c r="A51" s="10" t="s">
        <v>50</v>
      </c>
      <c r="B51" s="334">
        <v>23605</v>
      </c>
      <c r="C51" s="334">
        <v>23425</v>
      </c>
      <c r="D51" s="334">
        <v>19498</v>
      </c>
      <c r="E51" s="334">
        <v>16578</v>
      </c>
      <c r="F51" s="334">
        <v>17196</v>
      </c>
      <c r="G51" s="334"/>
      <c r="H51" s="334"/>
      <c r="I51" s="334"/>
      <c r="J51" s="334"/>
      <c r="K51" s="334"/>
      <c r="L51" s="334"/>
      <c r="M51" s="334"/>
      <c r="N51" s="38" t="s">
        <v>612</v>
      </c>
      <c r="O51" t="s">
        <v>50</v>
      </c>
      <c r="P51"/>
      <c r="Z51" s="28"/>
      <c r="AA51" s="28"/>
      <c r="AB51" s="28"/>
      <c r="AC51" s="28"/>
      <c r="AD51" s="28"/>
      <c r="AE51" s="28"/>
      <c r="AF51" s="28"/>
      <c r="AG51" s="28"/>
    </row>
    <row r="52" spans="1:33">
      <c r="B52" s="434"/>
      <c r="C52" s="434"/>
      <c r="D52" s="434"/>
      <c r="E52" s="434"/>
      <c r="F52" s="434"/>
      <c r="G52" s="434"/>
      <c r="H52" s="434"/>
      <c r="I52" s="434"/>
      <c r="J52" s="434"/>
      <c r="K52" s="434"/>
      <c r="L52" s="434"/>
      <c r="M52" s="434"/>
      <c r="N52" s="38" t="s">
        <v>612</v>
      </c>
      <c r="O52"/>
      <c r="P52"/>
      <c r="Z52" s="25">
        <f t="shared" ref="Z52:AG52" si="20">Z49-Z50</f>
        <v>12541</v>
      </c>
      <c r="AA52" s="25">
        <f t="shared" si="20"/>
        <v>12046</v>
      </c>
      <c r="AB52" s="25">
        <f t="shared" si="20"/>
        <v>12194</v>
      </c>
      <c r="AC52" s="25">
        <f t="shared" si="20"/>
        <v>10002</v>
      </c>
      <c r="AD52" s="25">
        <f t="shared" si="20"/>
        <v>14221</v>
      </c>
      <c r="AE52" s="25">
        <f t="shared" si="20"/>
        <v>14539</v>
      </c>
      <c r="AF52" s="25">
        <f t="shared" si="20"/>
        <v>10238</v>
      </c>
      <c r="AG52" s="25">
        <f t="shared" si="20"/>
        <v>9599</v>
      </c>
    </row>
    <row r="53" spans="1:33" s="10" customFormat="1">
      <c r="A53" s="23"/>
      <c r="B53" s="434"/>
      <c r="C53" s="434"/>
      <c r="D53" s="434"/>
      <c r="E53" s="434"/>
      <c r="F53" s="434"/>
      <c r="G53" s="434"/>
      <c r="H53" s="434"/>
      <c r="I53" s="434"/>
      <c r="J53" s="434"/>
      <c r="K53" s="434"/>
      <c r="L53" s="434"/>
      <c r="M53" s="434"/>
      <c r="N53" s="38" t="s">
        <v>612</v>
      </c>
      <c r="O53"/>
      <c r="P53"/>
      <c r="Z53" s="36">
        <f>+Z49+Z44</f>
        <v>61491</v>
      </c>
      <c r="AA53" s="36">
        <f>+AA49+AA44</f>
        <v>63457</v>
      </c>
      <c r="AB53" s="36">
        <f>+AB49+AB44</f>
        <v>67855</v>
      </c>
      <c r="AC53" s="36">
        <f>AC44+AC49</f>
        <v>64018</v>
      </c>
      <c r="AD53" s="36">
        <f>AD49+AD44</f>
        <v>71388</v>
      </c>
      <c r="AE53" s="36">
        <f>AE49+AE44</f>
        <v>68044</v>
      </c>
      <c r="AF53" s="36">
        <f>AF49+AF44</f>
        <v>52695</v>
      </c>
      <c r="AG53" s="36">
        <f>AG49+AG44</f>
        <v>50738</v>
      </c>
    </row>
    <row r="54" spans="1:33">
      <c r="A54" s="40" t="s">
        <v>556</v>
      </c>
      <c r="B54" s="437">
        <v>430</v>
      </c>
      <c r="C54" s="437">
        <v>204</v>
      </c>
      <c r="D54" s="437">
        <v>787</v>
      </c>
      <c r="E54" s="437">
        <v>311</v>
      </c>
      <c r="F54" s="437"/>
      <c r="G54" s="437"/>
      <c r="H54" s="437"/>
      <c r="I54" s="437"/>
      <c r="J54" s="437"/>
      <c r="K54" s="437"/>
      <c r="L54" s="437"/>
      <c r="M54" s="437"/>
      <c r="N54" s="38" t="s">
        <v>612</v>
      </c>
      <c r="O54" t="s">
        <v>556</v>
      </c>
      <c r="P54"/>
    </row>
    <row r="55" spans="1:33">
      <c r="B55" s="434"/>
      <c r="C55" s="434"/>
      <c r="D55" s="434"/>
      <c r="E55" s="434"/>
      <c r="F55" s="434"/>
      <c r="G55" s="434"/>
      <c r="H55" s="434"/>
      <c r="I55" s="434"/>
      <c r="J55" s="434"/>
      <c r="K55" s="434"/>
      <c r="L55" s="434"/>
      <c r="M55" s="434"/>
      <c r="N55" s="38" t="s">
        <v>612</v>
      </c>
      <c r="O55"/>
      <c r="P55"/>
    </row>
    <row r="56" spans="1:33" s="10" customFormat="1">
      <c r="A56" s="10" t="s">
        <v>557</v>
      </c>
      <c r="B56" s="334">
        <f>B38-B51-B54</f>
        <v>8074</v>
      </c>
      <c r="C56" s="334">
        <f>C38-C51-C54</f>
        <v>15145</v>
      </c>
      <c r="D56" s="334">
        <f>D38-D51-D54</f>
        <v>12967</v>
      </c>
      <c r="E56" s="334">
        <f>E38-E51-E54</f>
        <v>14872</v>
      </c>
      <c r="F56" s="334">
        <f t="shared" ref="F56:G56" si="21">F38-F51-F54</f>
        <v>6792</v>
      </c>
      <c r="G56" s="334">
        <f t="shared" si="21"/>
        <v>15426</v>
      </c>
      <c r="H56" s="334"/>
      <c r="I56" s="334"/>
      <c r="J56" s="334"/>
      <c r="K56" s="334"/>
      <c r="L56" s="334"/>
      <c r="M56" s="334"/>
      <c r="N56" s="38" t="s">
        <v>612</v>
      </c>
      <c r="O56"/>
      <c r="P56"/>
      <c r="Q56" s="23" t="s">
        <v>613</v>
      </c>
      <c r="R56" s="10" t="s">
        <v>636</v>
      </c>
    </row>
    <row r="57" spans="1:33">
      <c r="A57" s="10"/>
      <c r="B57" s="334"/>
      <c r="C57" s="334"/>
      <c r="D57" s="334"/>
      <c r="E57" s="334"/>
      <c r="F57" s="334"/>
      <c r="G57" s="334"/>
      <c r="H57" s="334"/>
      <c r="I57" s="334"/>
      <c r="J57" s="334"/>
      <c r="K57" s="334"/>
      <c r="L57" s="334"/>
      <c r="M57" s="334"/>
      <c r="N57" s="38"/>
      <c r="O57"/>
      <c r="P57"/>
    </row>
    <row r="58" spans="1:33">
      <c r="A58" s="53" t="s">
        <v>637</v>
      </c>
      <c r="B58" s="334"/>
      <c r="C58" s="334"/>
      <c r="D58" s="334"/>
      <c r="E58" s="334"/>
      <c r="F58" s="334"/>
      <c r="G58" s="334"/>
      <c r="H58" s="334"/>
      <c r="I58" s="334"/>
      <c r="J58" s="334"/>
      <c r="K58" s="334"/>
      <c r="L58" s="334"/>
      <c r="M58" s="334"/>
      <c r="N58" s="38"/>
      <c r="O58"/>
      <c r="P58"/>
    </row>
    <row r="59" spans="1:33">
      <c r="A59" s="10" t="s">
        <v>130</v>
      </c>
      <c r="B59" s="334">
        <v>642</v>
      </c>
      <c r="C59" s="334">
        <v>-445</v>
      </c>
      <c r="D59" s="334">
        <v>-2745</v>
      </c>
      <c r="E59" s="334">
        <v>-4321</v>
      </c>
      <c r="F59" s="334">
        <v>-1541</v>
      </c>
      <c r="G59" s="334">
        <v>-1418</v>
      </c>
      <c r="H59" s="334"/>
      <c r="I59" s="334"/>
      <c r="J59" s="334"/>
      <c r="K59" s="334"/>
      <c r="L59" s="334"/>
      <c r="M59" s="334"/>
      <c r="N59" s="38"/>
      <c r="O59"/>
      <c r="P59"/>
    </row>
    <row r="60" spans="1:33">
      <c r="A60" s="27" t="s">
        <v>69</v>
      </c>
      <c r="B60" s="335">
        <f>B$12</f>
        <v>-9141</v>
      </c>
      <c r="C60" s="335">
        <f t="shared" ref="C60:G60" si="22">C$12</f>
        <v>-496</v>
      </c>
      <c r="D60" s="335">
        <f t="shared" si="22"/>
        <v>-6768</v>
      </c>
      <c r="E60" s="335">
        <f t="shared" si="22"/>
        <v>-8512</v>
      </c>
      <c r="F60" s="335">
        <f t="shared" si="22"/>
        <v>987</v>
      </c>
      <c r="G60" s="335">
        <f t="shared" si="22"/>
        <v>-4033</v>
      </c>
      <c r="H60" s="335"/>
      <c r="I60" s="335"/>
      <c r="J60" s="335"/>
      <c r="K60" s="335"/>
      <c r="L60" s="335"/>
      <c r="M60" s="335"/>
      <c r="N60" s="38"/>
      <c r="O60"/>
      <c r="P60"/>
    </row>
    <row r="61" spans="1:33">
      <c r="A61" s="120" t="s">
        <v>60</v>
      </c>
      <c r="B61" s="335">
        <v>947</v>
      </c>
      <c r="C61" s="335">
        <v>902</v>
      </c>
      <c r="D61" s="335">
        <v>575</v>
      </c>
      <c r="E61" s="335">
        <v>472</v>
      </c>
      <c r="F61" s="335">
        <v>426</v>
      </c>
      <c r="G61" s="335">
        <v>510</v>
      </c>
      <c r="H61" s="335"/>
      <c r="I61" s="335"/>
      <c r="J61" s="335"/>
      <c r="K61" s="335"/>
      <c r="L61" s="335"/>
      <c r="M61" s="335"/>
      <c r="N61" s="38"/>
      <c r="O61"/>
      <c r="P61"/>
    </row>
    <row r="62" spans="1:33">
      <c r="A62" s="120" t="s">
        <v>638</v>
      </c>
      <c r="B62" s="335">
        <v>335</v>
      </c>
      <c r="C62" s="335">
        <v>1682</v>
      </c>
      <c r="D62" s="335">
        <v>732</v>
      </c>
      <c r="E62" s="335">
        <v>-500</v>
      </c>
      <c r="F62" s="335">
        <v>890</v>
      </c>
      <c r="G62" s="335">
        <v>1910</v>
      </c>
      <c r="H62" s="335"/>
      <c r="I62" s="335"/>
      <c r="J62" s="335"/>
      <c r="K62" s="335"/>
      <c r="L62" s="335"/>
      <c r="M62" s="335"/>
      <c r="N62" s="38"/>
      <c r="O62"/>
      <c r="P62"/>
    </row>
    <row r="63" spans="1:33">
      <c r="A63" s="120" t="s">
        <v>639</v>
      </c>
      <c r="B63" s="335">
        <f>B59-B60-B61-B62</f>
        <v>8501</v>
      </c>
      <c r="C63" s="335">
        <f t="shared" ref="C63" si="23">C59-C60-C61-C62</f>
        <v>-2533</v>
      </c>
      <c r="D63" s="335">
        <f>D59-D60-D61-D62</f>
        <v>2716</v>
      </c>
      <c r="E63" s="335">
        <f t="shared" ref="E63:G63" si="24">E59-E60-E61-E62</f>
        <v>4219</v>
      </c>
      <c r="F63" s="335">
        <f t="shared" si="24"/>
        <v>-3844</v>
      </c>
      <c r="G63" s="335">
        <f t="shared" si="24"/>
        <v>195</v>
      </c>
      <c r="H63" s="335"/>
      <c r="I63" s="335"/>
      <c r="J63" s="335"/>
      <c r="K63" s="335"/>
      <c r="L63" s="335"/>
      <c r="M63" s="335"/>
      <c r="N63" s="38"/>
      <c r="O63"/>
      <c r="P63"/>
    </row>
    <row r="64" spans="1:33">
      <c r="A64" s="10" t="s">
        <v>131</v>
      </c>
      <c r="B64" s="334">
        <v>-1637</v>
      </c>
      <c r="C64" s="334">
        <v>-1201</v>
      </c>
      <c r="D64" s="334">
        <v>-2869</v>
      </c>
      <c r="E64" s="334">
        <v>-790</v>
      </c>
      <c r="F64" s="334">
        <v>-695</v>
      </c>
      <c r="G64" s="334">
        <v>-487</v>
      </c>
      <c r="H64" s="334"/>
      <c r="I64" s="334"/>
      <c r="J64" s="334"/>
      <c r="K64" s="334"/>
      <c r="L64" s="334"/>
      <c r="M64" s="334"/>
      <c r="N64" s="38"/>
      <c r="O64"/>
      <c r="P64"/>
    </row>
    <row r="65" spans="1:16">
      <c r="A65" s="120" t="s">
        <v>132</v>
      </c>
      <c r="B65" s="335">
        <v>-252</v>
      </c>
      <c r="C65" s="335">
        <v>-298</v>
      </c>
      <c r="D65" s="335">
        <v>-616</v>
      </c>
      <c r="E65" s="335">
        <v>-588</v>
      </c>
      <c r="F65" s="335">
        <v>-558</v>
      </c>
      <c r="G65" s="335"/>
      <c r="H65" s="335"/>
      <c r="I65" s="335"/>
      <c r="J65" s="335"/>
      <c r="K65" s="335"/>
      <c r="L65" s="335"/>
      <c r="M65" s="335"/>
      <c r="N65" s="38"/>
      <c r="O65"/>
      <c r="P65"/>
    </row>
    <row r="66" spans="1:16">
      <c r="A66" s="120" t="s">
        <v>133</v>
      </c>
      <c r="B66" s="335">
        <f>376+266-14-1708-59</f>
        <v>-1139</v>
      </c>
      <c r="C66" s="335">
        <f>2291+500+1000-2314-1113-982</f>
        <v>-618</v>
      </c>
      <c r="D66" s="335">
        <f>1360-1471-2101-10+91</f>
        <v>-2131</v>
      </c>
      <c r="E66" s="335">
        <f>293+2-100-441-7</f>
        <v>-253</v>
      </c>
      <c r="F66" s="335">
        <f>-412-64</f>
        <v>-476</v>
      </c>
      <c r="G66" s="335"/>
      <c r="H66" s="335"/>
      <c r="I66" s="335"/>
      <c r="J66" s="335"/>
      <c r="K66" s="335"/>
      <c r="L66" s="335"/>
      <c r="M66" s="335"/>
      <c r="N66" s="38"/>
      <c r="O66"/>
      <c r="P66"/>
    </row>
    <row r="67" spans="1:16">
      <c r="A67" s="120" t="s">
        <v>640</v>
      </c>
      <c r="B67" s="335">
        <f>B64-B65-B66</f>
        <v>-246</v>
      </c>
      <c r="C67" s="335">
        <f>C64-C65-C66</f>
        <v>-285</v>
      </c>
      <c r="D67" s="335">
        <f>D64-D65-D66</f>
        <v>-122</v>
      </c>
      <c r="E67" s="335">
        <f t="shared" ref="E67" si="25">E64-E65-E66</f>
        <v>51</v>
      </c>
      <c r="F67" s="335">
        <v>-24</v>
      </c>
      <c r="G67" s="335">
        <v>4</v>
      </c>
      <c r="H67" s="335"/>
      <c r="I67" s="335"/>
      <c r="J67" s="335"/>
      <c r="K67" s="335"/>
      <c r="L67" s="335"/>
      <c r="M67" s="335"/>
      <c r="N67" s="38"/>
      <c r="O67"/>
      <c r="P67"/>
    </row>
    <row r="68" spans="1:16">
      <c r="A68" s="10" t="s">
        <v>134</v>
      </c>
      <c r="B68" s="334">
        <v>15</v>
      </c>
      <c r="C68" s="334">
        <v>1780</v>
      </c>
      <c r="D68" s="334">
        <v>1379</v>
      </c>
      <c r="E68" s="334">
        <v>8939</v>
      </c>
      <c r="F68" s="334">
        <v>4640</v>
      </c>
      <c r="G68" s="334">
        <v>1015</v>
      </c>
      <c r="H68" s="334"/>
      <c r="I68" s="334"/>
      <c r="J68" s="334"/>
      <c r="K68" s="334"/>
      <c r="L68" s="334"/>
      <c r="M68" s="334"/>
      <c r="N68" s="38"/>
      <c r="O68"/>
      <c r="P68"/>
    </row>
    <row r="69" spans="1:16">
      <c r="A69" s="120" t="s">
        <v>641</v>
      </c>
      <c r="B69" s="335">
        <v>0</v>
      </c>
      <c r="C69" s="335">
        <v>1484</v>
      </c>
      <c r="D69" s="335">
        <v>2628</v>
      </c>
      <c r="E69" s="335">
        <v>1189</v>
      </c>
      <c r="F69" s="335">
        <v>3466</v>
      </c>
      <c r="G69" s="335"/>
      <c r="H69" s="335"/>
      <c r="I69" s="335"/>
      <c r="J69" s="335"/>
      <c r="K69" s="335"/>
      <c r="L69" s="335"/>
      <c r="M69" s="335"/>
      <c r="N69" s="38"/>
      <c r="O69"/>
      <c r="P69"/>
    </row>
    <row r="70" spans="1:16">
      <c r="A70" s="120" t="s">
        <v>642</v>
      </c>
      <c r="B70" s="335">
        <v>80</v>
      </c>
      <c r="C70" s="335">
        <v>334</v>
      </c>
      <c r="D70" s="335">
        <f>527+891</f>
        <v>1418</v>
      </c>
      <c r="E70" s="335"/>
      <c r="F70" s="335"/>
      <c r="G70" s="335"/>
      <c r="H70" s="335"/>
      <c r="I70" s="335"/>
      <c r="J70" s="335"/>
      <c r="K70" s="335"/>
      <c r="L70" s="335"/>
      <c r="M70" s="335"/>
      <c r="N70" s="38"/>
      <c r="O70"/>
      <c r="P70"/>
    </row>
    <row r="71" spans="1:16">
      <c r="A71" s="120" t="s">
        <v>643</v>
      </c>
      <c r="B71" s="335">
        <f>+(B45-C45)+(B49-C49)</f>
        <v>45</v>
      </c>
      <c r="C71" s="335">
        <f t="shared" ref="C71:G71" si="26">+(C45-D45)+(C49-D49)</f>
        <v>110</v>
      </c>
      <c r="D71" s="335">
        <f t="shared" si="26"/>
        <v>0</v>
      </c>
      <c r="E71" s="335">
        <f t="shared" si="26"/>
        <v>1719</v>
      </c>
      <c r="F71" s="335">
        <f t="shared" si="26"/>
        <v>0</v>
      </c>
      <c r="G71" s="335">
        <f t="shared" si="26"/>
        <v>0</v>
      </c>
      <c r="H71" s="335"/>
      <c r="I71" s="335"/>
      <c r="J71" s="335"/>
      <c r="K71" s="335"/>
      <c r="L71" s="335"/>
      <c r="M71" s="335"/>
      <c r="N71" s="38"/>
      <c r="O71"/>
      <c r="P71"/>
    </row>
    <row r="72" spans="1:16">
      <c r="A72" s="120" t="s">
        <v>644</v>
      </c>
      <c r="B72" s="335">
        <v>-184</v>
      </c>
      <c r="C72" s="335">
        <v>-226</v>
      </c>
      <c r="D72" s="335">
        <v>-224</v>
      </c>
      <c r="E72" s="335">
        <v>-138</v>
      </c>
      <c r="F72" s="335">
        <v>-89</v>
      </c>
      <c r="G72" s="335">
        <v>0</v>
      </c>
      <c r="H72" s="335"/>
      <c r="I72" s="335"/>
      <c r="J72" s="335"/>
      <c r="K72" s="335"/>
      <c r="L72" s="335"/>
      <c r="M72" s="335"/>
      <c r="N72" s="38"/>
      <c r="O72"/>
      <c r="P72"/>
    </row>
    <row r="73" spans="1:16">
      <c r="A73" s="120" t="s">
        <v>135</v>
      </c>
      <c r="B73" s="335">
        <v>0</v>
      </c>
      <c r="C73" s="335">
        <v>0</v>
      </c>
      <c r="D73" s="335">
        <v>0</v>
      </c>
      <c r="E73" s="335">
        <v>0</v>
      </c>
      <c r="F73" s="335">
        <v>0</v>
      </c>
      <c r="G73" s="335">
        <v>0</v>
      </c>
      <c r="H73" s="433"/>
      <c r="I73" s="335"/>
      <c r="J73" s="433"/>
      <c r="K73" s="335"/>
      <c r="L73" s="335"/>
      <c r="M73" s="335"/>
      <c r="N73" s="35" t="s">
        <v>645</v>
      </c>
      <c r="O73" t="s">
        <v>646</v>
      </c>
      <c r="P73"/>
    </row>
    <row r="74" spans="1:16">
      <c r="A74" s="120" t="s">
        <v>539</v>
      </c>
      <c r="B74" s="335">
        <v>0</v>
      </c>
      <c r="C74" s="335">
        <v>0</v>
      </c>
      <c r="D74" s="335">
        <v>0</v>
      </c>
      <c r="E74" s="335">
        <v>0</v>
      </c>
      <c r="F74" s="335">
        <v>-10</v>
      </c>
      <c r="G74" s="335">
        <v>-131</v>
      </c>
      <c r="H74" s="433"/>
      <c r="I74" s="335"/>
      <c r="J74" s="433"/>
      <c r="K74" s="335"/>
      <c r="L74" s="335"/>
      <c r="M74" s="335"/>
      <c r="N74" s="35" t="s">
        <v>645</v>
      </c>
      <c r="O74" t="str">
        <f>+A74</f>
        <v>Share buyback</v>
      </c>
      <c r="P74"/>
    </row>
    <row r="75" spans="1:16">
      <c r="A75" s="120" t="s">
        <v>640</v>
      </c>
      <c r="B75" s="335">
        <f>B68-B69-B70-B71-B72-B73-B74</f>
        <v>74</v>
      </c>
      <c r="C75" s="335">
        <f t="shared" ref="C75:G75" si="27">C68-C69-C70-C71-C72-C73-C74</f>
        <v>78</v>
      </c>
      <c r="D75" s="335">
        <f t="shared" si="27"/>
        <v>-2443</v>
      </c>
      <c r="E75" s="335">
        <f t="shared" si="27"/>
        <v>6169</v>
      </c>
      <c r="F75" s="335">
        <f t="shared" si="27"/>
        <v>1273</v>
      </c>
      <c r="G75" s="335">
        <f t="shared" si="27"/>
        <v>1146</v>
      </c>
      <c r="H75" s="335"/>
      <c r="I75" s="335"/>
      <c r="J75" s="335"/>
      <c r="K75" s="335"/>
      <c r="L75" s="335"/>
      <c r="M75" s="335"/>
      <c r="N75" s="38"/>
      <c r="O75"/>
      <c r="P75"/>
    </row>
    <row r="76" spans="1:16">
      <c r="A76" s="10" t="s">
        <v>138</v>
      </c>
      <c r="B76" s="334">
        <v>-148</v>
      </c>
      <c r="C76" s="334">
        <v>-69</v>
      </c>
      <c r="D76" s="334">
        <v>-92</v>
      </c>
      <c r="E76" s="334">
        <v>-4</v>
      </c>
      <c r="F76" s="334">
        <v>-119</v>
      </c>
      <c r="G76" s="334">
        <v>22</v>
      </c>
      <c r="H76" s="334"/>
      <c r="I76" s="334"/>
      <c r="J76" s="334"/>
      <c r="K76" s="334"/>
      <c r="L76" s="334"/>
      <c r="M76" s="334"/>
      <c r="N76" s="38"/>
      <c r="O76"/>
      <c r="P76"/>
    </row>
    <row r="77" spans="1:16">
      <c r="A77" s="10" t="s">
        <v>558</v>
      </c>
      <c r="B77" s="334">
        <f>B59+B64+B68+B76</f>
        <v>-1128</v>
      </c>
      <c r="C77" s="334">
        <f>C59+C64+C68+C76</f>
        <v>65</v>
      </c>
      <c r="D77" s="334">
        <f>D59+D64+D68+D76</f>
        <v>-4327</v>
      </c>
      <c r="E77" s="334">
        <f t="shared" ref="E77:G77" si="28">E59+E64+E68+E76</f>
        <v>3824</v>
      </c>
      <c r="F77" s="334">
        <f t="shared" si="28"/>
        <v>2285</v>
      </c>
      <c r="G77" s="334">
        <f t="shared" si="28"/>
        <v>-868</v>
      </c>
      <c r="H77" s="334"/>
      <c r="I77" s="334"/>
      <c r="J77" s="334"/>
      <c r="K77" s="334"/>
      <c r="L77" s="334"/>
      <c r="M77" s="334"/>
      <c r="N77" s="38"/>
      <c r="O77"/>
      <c r="P77"/>
    </row>
    <row r="78" spans="1:16">
      <c r="M78" s="25"/>
      <c r="N78"/>
      <c r="O78" t="s">
        <v>647</v>
      </c>
      <c r="P78"/>
    </row>
    <row r="79" spans="1:16">
      <c r="A79" s="53" t="s">
        <v>648</v>
      </c>
      <c r="B79" s="53"/>
      <c r="C79" s="53"/>
      <c r="D79" s="53"/>
      <c r="E79" s="1135" t="s">
        <v>566</v>
      </c>
      <c r="F79" s="1135"/>
      <c r="G79" s="1135"/>
      <c r="H79" s="1135" t="s">
        <v>649</v>
      </c>
      <c r="I79" s="1135"/>
      <c r="J79" s="53" t="s">
        <v>568</v>
      </c>
      <c r="K79" s="53" t="s">
        <v>569</v>
      </c>
      <c r="L79" s="53" t="s">
        <v>570</v>
      </c>
      <c r="M79" s="36"/>
      <c r="N79"/>
      <c r="O79"/>
      <c r="P79"/>
    </row>
    <row r="80" spans="1:16">
      <c r="A80" s="27" t="s">
        <v>650</v>
      </c>
      <c r="B80" s="28">
        <v>142000</v>
      </c>
      <c r="C80" s="41" t="s">
        <v>651</v>
      </c>
      <c r="D80" s="25"/>
      <c r="E80" s="1136"/>
      <c r="F80" s="1136"/>
      <c r="G80" s="1136"/>
      <c r="H80" s="1137"/>
      <c r="I80" s="1137"/>
      <c r="J80" s="81"/>
      <c r="K80" s="80"/>
      <c r="L80" s="80"/>
      <c r="M80" s="25"/>
      <c r="N80" s="41" t="s">
        <v>652</v>
      </c>
      <c r="O80"/>
      <c r="P80"/>
    </row>
    <row r="81" spans="1:16">
      <c r="A81" s="27" t="s">
        <v>653</v>
      </c>
      <c r="B81" s="28">
        <v>285620</v>
      </c>
      <c r="C81" s="41" t="s">
        <v>654</v>
      </c>
      <c r="D81" s="25"/>
      <c r="E81" s="1136"/>
      <c r="F81" s="1136"/>
      <c r="G81" s="1136"/>
      <c r="H81" s="1137"/>
      <c r="I81" s="1137"/>
      <c r="J81" s="81"/>
      <c r="K81" s="80"/>
      <c r="L81" s="80"/>
      <c r="M81" s="25"/>
      <c r="N81" s="41" t="s">
        <v>652</v>
      </c>
      <c r="O81"/>
      <c r="P81"/>
    </row>
    <row r="82" spans="1:16">
      <c r="A82" s="27" t="s">
        <v>48</v>
      </c>
      <c r="B82" s="609">
        <f>OP!M17</f>
        <v>0.99829999999999997</v>
      </c>
      <c r="C82" s="41" t="s">
        <v>654</v>
      </c>
      <c r="D82" s="82"/>
      <c r="E82" s="1136"/>
      <c r="F82" s="1136"/>
      <c r="G82" s="1136"/>
      <c r="H82" s="1137"/>
      <c r="I82" s="1137"/>
      <c r="J82" s="81"/>
      <c r="K82" s="80"/>
      <c r="L82" s="80"/>
      <c r="M82" s="84"/>
      <c r="N82" s="41" t="s">
        <v>652</v>
      </c>
      <c r="O82"/>
      <c r="P82"/>
    </row>
    <row r="83" spans="1:16">
      <c r="A83" s="27" t="s">
        <v>53</v>
      </c>
      <c r="B83" s="76">
        <f>OP!M18</f>
        <v>1.6999999999999999E-3</v>
      </c>
      <c r="C83" s="41" t="s">
        <v>654</v>
      </c>
      <c r="D83" s="83"/>
      <c r="E83" s="1136"/>
      <c r="F83" s="1136"/>
      <c r="G83" s="1136"/>
      <c r="H83" s="1137"/>
      <c r="I83" s="1137"/>
      <c r="J83" s="81"/>
      <c r="K83" s="80"/>
      <c r="L83" s="80"/>
      <c r="M83" s="84"/>
      <c r="N83" s="41" t="s">
        <v>652</v>
      </c>
      <c r="O83"/>
      <c r="P83"/>
    </row>
    <row r="84" spans="1:16">
      <c r="A84" s="27" t="s">
        <v>562</v>
      </c>
      <c r="B84" s="28" t="str">
        <f>OP!M20</f>
        <v>-</v>
      </c>
      <c r="C84" s="41" t="s">
        <v>651</v>
      </c>
      <c r="D84" s="25"/>
      <c r="E84" s="1136"/>
      <c r="F84" s="1136"/>
      <c r="G84" s="1136"/>
      <c r="H84" s="1137"/>
      <c r="I84" s="1137"/>
      <c r="J84" s="81"/>
      <c r="K84" s="80"/>
      <c r="L84" s="80"/>
      <c r="M84" s="25"/>
      <c r="N84" s="41" t="s">
        <v>652</v>
      </c>
      <c r="O84"/>
      <c r="P84"/>
    </row>
    <row r="85" spans="1:16">
      <c r="A85" s="27" t="s">
        <v>655</v>
      </c>
      <c r="B85" s="77">
        <f>Peers!C33</f>
        <v>12.98</v>
      </c>
      <c r="C85" s="41" t="s">
        <v>654</v>
      </c>
      <c r="D85" s="25"/>
      <c r="E85" s="1136"/>
      <c r="F85" s="1136"/>
      <c r="G85" s="1136"/>
      <c r="H85" s="1137"/>
      <c r="I85" s="1137"/>
      <c r="J85" s="80"/>
      <c r="K85" s="80"/>
      <c r="L85" s="80"/>
      <c r="M85" s="25"/>
      <c r="N85" s="41" t="s">
        <v>652</v>
      </c>
      <c r="O85"/>
    </row>
    <row r="86" spans="1:16">
      <c r="A86" s="27" t="s">
        <v>564</v>
      </c>
      <c r="B86" s="28"/>
      <c r="C86" s="41" t="s">
        <v>656</v>
      </c>
      <c r="D86" s="25"/>
      <c r="E86" s="1136"/>
      <c r="F86" s="1136"/>
      <c r="G86" s="1136"/>
      <c r="H86" s="1137"/>
      <c r="I86" s="1137"/>
      <c r="J86" s="80"/>
      <c r="K86" s="80"/>
      <c r="L86" s="80"/>
      <c r="M86" s="25"/>
      <c r="N86" s="41" t="s">
        <v>652</v>
      </c>
    </row>
    <row r="87" spans="1:16">
      <c r="B87" s="53">
        <v>2020</v>
      </c>
      <c r="C87" s="53">
        <f>B87+1</f>
        <v>2021</v>
      </c>
      <c r="D87" s="53">
        <f>C87+1</f>
        <v>2022</v>
      </c>
      <c r="E87" s="42"/>
      <c r="G87" s="42"/>
      <c r="H87" s="42"/>
      <c r="I87" s="42"/>
      <c r="J87" s="42"/>
      <c r="K87" s="42"/>
      <c r="L87" s="42"/>
      <c r="M87" s="42"/>
      <c r="N87"/>
    </row>
    <row r="88" spans="1:16">
      <c r="A88" s="27" t="s">
        <v>565</v>
      </c>
      <c r="B88" s="75"/>
      <c r="D88" s="661">
        <v>2.14</v>
      </c>
      <c r="E88" s="41" t="s">
        <v>656</v>
      </c>
      <c r="K88" s="23"/>
      <c r="L88" s="23"/>
      <c r="O88"/>
      <c r="P88"/>
    </row>
    <row r="89" spans="1:16">
      <c r="A89" s="27" t="s">
        <v>74</v>
      </c>
      <c r="B89" s="78" t="s">
        <v>657</v>
      </c>
      <c r="C89" s="78">
        <v>-0.28999999999999998</v>
      </c>
      <c r="D89" s="79" t="s">
        <v>658</v>
      </c>
      <c r="E89" s="41" t="s">
        <v>656</v>
      </c>
      <c r="K89" s="23"/>
      <c r="L89" s="23"/>
      <c r="O89" s="53"/>
    </row>
    <row r="90" spans="1:16">
      <c r="M90"/>
      <c r="N90" s="118"/>
      <c r="O90" s="53"/>
    </row>
    <row r="91" spans="1:16">
      <c r="J91" s="25"/>
      <c r="L91"/>
      <c r="M91"/>
      <c r="N91"/>
    </row>
    <row r="92" spans="1:16">
      <c r="J92" s="25"/>
      <c r="L92"/>
      <c r="M92"/>
      <c r="N92"/>
    </row>
    <row r="93" spans="1:16">
      <c r="J93" s="25"/>
      <c r="L93"/>
      <c r="M93"/>
      <c r="N93"/>
    </row>
    <row r="94" spans="1:16">
      <c r="J94" s="25"/>
      <c r="L94"/>
      <c r="M94"/>
      <c r="N94"/>
    </row>
    <row r="95" spans="1:16">
      <c r="J95" s="25"/>
      <c r="L95"/>
      <c r="M95"/>
      <c r="N95"/>
    </row>
    <row r="96" spans="1:16">
      <c r="J96" s="25"/>
      <c r="L96"/>
      <c r="M96"/>
      <c r="N96"/>
      <c r="O96"/>
    </row>
    <row r="97" spans="1:14">
      <c r="J97" s="25"/>
      <c r="L97"/>
      <c r="M97"/>
      <c r="N97"/>
    </row>
    <row r="98" spans="1:14">
      <c r="G98"/>
      <c r="M98"/>
      <c r="N98"/>
    </row>
    <row r="99" spans="1:14">
      <c r="A99"/>
      <c r="B99"/>
      <c r="C99"/>
      <c r="D99"/>
      <c r="E99"/>
      <c r="F99"/>
      <c r="G99"/>
    </row>
    <row r="100" spans="1:14">
      <c r="A100"/>
      <c r="B100"/>
      <c r="C100"/>
      <c r="D100"/>
      <c r="E100"/>
      <c r="F100"/>
      <c r="G100"/>
    </row>
  </sheetData>
  <mergeCells count="1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 ref="G2:J2"/>
    <mergeCell ref="D4:M4"/>
    <mergeCell ref="R5:S5"/>
    <mergeCell ref="H79:I79"/>
    <mergeCell ref="E79:G79"/>
  </mergeCells>
  <pageMargins left="0.75" right="0.75" top="1" bottom="1" header="0" footer="0"/>
  <pageSetup orientation="portrait" horizontalDpi="4294967292"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C29C5-AC56-D94B-A617-FAB05DC3FF22}">
  <dimension ref="A1:J104"/>
  <sheetViews>
    <sheetView topLeftCell="A8" zoomScale="120" zoomScaleNormal="120" workbookViewId="0">
      <pane ySplit="1" topLeftCell="A9" activePane="bottomLeft" state="frozen"/>
      <selection pane="bottomLeft" activeCell="H40" sqref="H40"/>
      <selection activeCell="A8" sqref="A8"/>
    </sheetView>
  </sheetViews>
  <sheetFormatPr defaultColWidth="11.42578125" defaultRowHeight="15.95"/>
  <cols>
    <col min="1" max="1" width="33" style="790" customWidth="1"/>
    <col min="2" max="2" width="18.7109375" style="769" customWidth="1"/>
    <col min="3" max="3" width="31.28515625" style="769" customWidth="1"/>
    <col min="4" max="4" width="30" style="769" customWidth="1"/>
    <col min="5" max="5" width="40.42578125" style="791" bestFit="1" customWidth="1"/>
    <col min="6" max="6" width="35.28515625" style="791" bestFit="1" customWidth="1"/>
    <col min="7" max="256" width="10.85546875" style="769"/>
    <col min="257" max="257" width="33" style="769" customWidth="1"/>
    <col min="258" max="258" width="18.7109375" style="769" customWidth="1"/>
    <col min="259" max="259" width="31.28515625" style="769" customWidth="1"/>
    <col min="260" max="260" width="30" style="769" customWidth="1"/>
    <col min="261" max="261" width="40.42578125" style="769" bestFit="1" customWidth="1"/>
    <col min="262" max="262" width="35.28515625" style="769" bestFit="1" customWidth="1"/>
    <col min="263" max="512" width="10.85546875" style="769"/>
    <col min="513" max="513" width="33" style="769" customWidth="1"/>
    <col min="514" max="514" width="18.7109375" style="769" customWidth="1"/>
    <col min="515" max="515" width="31.28515625" style="769" customWidth="1"/>
    <col min="516" max="516" width="30" style="769" customWidth="1"/>
    <col min="517" max="517" width="40.42578125" style="769" bestFit="1" customWidth="1"/>
    <col min="518" max="518" width="35.28515625" style="769" bestFit="1" customWidth="1"/>
    <col min="519" max="768" width="10.85546875" style="769"/>
    <col min="769" max="769" width="33" style="769" customWidth="1"/>
    <col min="770" max="770" width="18.7109375" style="769" customWidth="1"/>
    <col min="771" max="771" width="31.28515625" style="769" customWidth="1"/>
    <col min="772" max="772" width="30" style="769" customWidth="1"/>
    <col min="773" max="773" width="40.42578125" style="769" bestFit="1" customWidth="1"/>
    <col min="774" max="774" width="35.28515625" style="769" bestFit="1" customWidth="1"/>
    <col min="775" max="1024" width="10.85546875" style="769"/>
    <col min="1025" max="1025" width="33" style="769" customWidth="1"/>
    <col min="1026" max="1026" width="18.7109375" style="769" customWidth="1"/>
    <col min="1027" max="1027" width="31.28515625" style="769" customWidth="1"/>
    <col min="1028" max="1028" width="30" style="769" customWidth="1"/>
    <col min="1029" max="1029" width="40.42578125" style="769" bestFit="1" customWidth="1"/>
    <col min="1030" max="1030" width="35.28515625" style="769" bestFit="1" customWidth="1"/>
    <col min="1031" max="1280" width="10.85546875" style="769"/>
    <col min="1281" max="1281" width="33" style="769" customWidth="1"/>
    <col min="1282" max="1282" width="18.7109375" style="769" customWidth="1"/>
    <col min="1283" max="1283" width="31.28515625" style="769" customWidth="1"/>
    <col min="1284" max="1284" width="30" style="769" customWidth="1"/>
    <col min="1285" max="1285" width="40.42578125" style="769" bestFit="1" customWidth="1"/>
    <col min="1286" max="1286" width="35.28515625" style="769" bestFit="1" customWidth="1"/>
    <col min="1287" max="1536" width="10.85546875" style="769"/>
    <col min="1537" max="1537" width="33" style="769" customWidth="1"/>
    <col min="1538" max="1538" width="18.7109375" style="769" customWidth="1"/>
    <col min="1539" max="1539" width="31.28515625" style="769" customWidth="1"/>
    <col min="1540" max="1540" width="30" style="769" customWidth="1"/>
    <col min="1541" max="1541" width="40.42578125" style="769" bestFit="1" customWidth="1"/>
    <col min="1542" max="1542" width="35.28515625" style="769" bestFit="1" customWidth="1"/>
    <col min="1543" max="1792" width="10.85546875" style="769"/>
    <col min="1793" max="1793" width="33" style="769" customWidth="1"/>
    <col min="1794" max="1794" width="18.7109375" style="769" customWidth="1"/>
    <col min="1795" max="1795" width="31.28515625" style="769" customWidth="1"/>
    <col min="1796" max="1796" width="30" style="769" customWidth="1"/>
    <col min="1797" max="1797" width="40.42578125" style="769" bestFit="1" customWidth="1"/>
    <col min="1798" max="1798" width="35.28515625" style="769" bestFit="1" customWidth="1"/>
    <col min="1799" max="2048" width="10.85546875" style="769"/>
    <col min="2049" max="2049" width="33" style="769" customWidth="1"/>
    <col min="2050" max="2050" width="18.7109375" style="769" customWidth="1"/>
    <col min="2051" max="2051" width="31.28515625" style="769" customWidth="1"/>
    <col min="2052" max="2052" width="30" style="769" customWidth="1"/>
    <col min="2053" max="2053" width="40.42578125" style="769" bestFit="1" customWidth="1"/>
    <col min="2054" max="2054" width="35.28515625" style="769" bestFit="1" customWidth="1"/>
    <col min="2055" max="2304" width="10.85546875" style="769"/>
    <col min="2305" max="2305" width="33" style="769" customWidth="1"/>
    <col min="2306" max="2306" width="18.7109375" style="769" customWidth="1"/>
    <col min="2307" max="2307" width="31.28515625" style="769" customWidth="1"/>
    <col min="2308" max="2308" width="30" style="769" customWidth="1"/>
    <col min="2309" max="2309" width="40.42578125" style="769" bestFit="1" customWidth="1"/>
    <col min="2310" max="2310" width="35.28515625" style="769" bestFit="1" customWidth="1"/>
    <col min="2311" max="2560" width="10.85546875" style="769"/>
    <col min="2561" max="2561" width="33" style="769" customWidth="1"/>
    <col min="2562" max="2562" width="18.7109375" style="769" customWidth="1"/>
    <col min="2563" max="2563" width="31.28515625" style="769" customWidth="1"/>
    <col min="2564" max="2564" width="30" style="769" customWidth="1"/>
    <col min="2565" max="2565" width="40.42578125" style="769" bestFit="1" customWidth="1"/>
    <col min="2566" max="2566" width="35.28515625" style="769" bestFit="1" customWidth="1"/>
    <col min="2567" max="2816" width="10.85546875" style="769"/>
    <col min="2817" max="2817" width="33" style="769" customWidth="1"/>
    <col min="2818" max="2818" width="18.7109375" style="769" customWidth="1"/>
    <col min="2819" max="2819" width="31.28515625" style="769" customWidth="1"/>
    <col min="2820" max="2820" width="30" style="769" customWidth="1"/>
    <col min="2821" max="2821" width="40.42578125" style="769" bestFit="1" customWidth="1"/>
    <col min="2822" max="2822" width="35.28515625" style="769" bestFit="1" customWidth="1"/>
    <col min="2823" max="3072" width="10.85546875" style="769"/>
    <col min="3073" max="3073" width="33" style="769" customWidth="1"/>
    <col min="3074" max="3074" width="18.7109375" style="769" customWidth="1"/>
    <col min="3075" max="3075" width="31.28515625" style="769" customWidth="1"/>
    <col min="3076" max="3076" width="30" style="769" customWidth="1"/>
    <col min="3077" max="3077" width="40.42578125" style="769" bestFit="1" customWidth="1"/>
    <col min="3078" max="3078" width="35.28515625" style="769" bestFit="1" customWidth="1"/>
    <col min="3079" max="3328" width="10.85546875" style="769"/>
    <col min="3329" max="3329" width="33" style="769" customWidth="1"/>
    <col min="3330" max="3330" width="18.7109375" style="769" customWidth="1"/>
    <col min="3331" max="3331" width="31.28515625" style="769" customWidth="1"/>
    <col min="3332" max="3332" width="30" style="769" customWidth="1"/>
    <col min="3333" max="3333" width="40.42578125" style="769" bestFit="1" customWidth="1"/>
    <col min="3334" max="3334" width="35.28515625" style="769" bestFit="1" customWidth="1"/>
    <col min="3335" max="3584" width="10.85546875" style="769"/>
    <col min="3585" max="3585" width="33" style="769" customWidth="1"/>
    <col min="3586" max="3586" width="18.7109375" style="769" customWidth="1"/>
    <col min="3587" max="3587" width="31.28515625" style="769" customWidth="1"/>
    <col min="3588" max="3588" width="30" style="769" customWidth="1"/>
    <col min="3589" max="3589" width="40.42578125" style="769" bestFit="1" customWidth="1"/>
    <col min="3590" max="3590" width="35.28515625" style="769" bestFit="1" customWidth="1"/>
    <col min="3591" max="3840" width="10.85546875" style="769"/>
    <col min="3841" max="3841" width="33" style="769" customWidth="1"/>
    <col min="3842" max="3842" width="18.7109375" style="769" customWidth="1"/>
    <col min="3843" max="3843" width="31.28515625" style="769" customWidth="1"/>
    <col min="3844" max="3844" width="30" style="769" customWidth="1"/>
    <col min="3845" max="3845" width="40.42578125" style="769" bestFit="1" customWidth="1"/>
    <col min="3846" max="3846" width="35.28515625" style="769" bestFit="1" customWidth="1"/>
    <col min="3847" max="4096" width="10.85546875" style="769"/>
    <col min="4097" max="4097" width="33" style="769" customWidth="1"/>
    <col min="4098" max="4098" width="18.7109375" style="769" customWidth="1"/>
    <col min="4099" max="4099" width="31.28515625" style="769" customWidth="1"/>
    <col min="4100" max="4100" width="30" style="769" customWidth="1"/>
    <col min="4101" max="4101" width="40.42578125" style="769" bestFit="1" customWidth="1"/>
    <col min="4102" max="4102" width="35.28515625" style="769" bestFit="1" customWidth="1"/>
    <col min="4103" max="4352" width="10.85546875" style="769"/>
    <col min="4353" max="4353" width="33" style="769" customWidth="1"/>
    <col min="4354" max="4354" width="18.7109375" style="769" customWidth="1"/>
    <col min="4355" max="4355" width="31.28515625" style="769" customWidth="1"/>
    <col min="4356" max="4356" width="30" style="769" customWidth="1"/>
    <col min="4357" max="4357" width="40.42578125" style="769" bestFit="1" customWidth="1"/>
    <col min="4358" max="4358" width="35.28515625" style="769" bestFit="1" customWidth="1"/>
    <col min="4359" max="4608" width="10.85546875" style="769"/>
    <col min="4609" max="4609" width="33" style="769" customWidth="1"/>
    <col min="4610" max="4610" width="18.7109375" style="769" customWidth="1"/>
    <col min="4611" max="4611" width="31.28515625" style="769" customWidth="1"/>
    <col min="4612" max="4612" width="30" style="769" customWidth="1"/>
    <col min="4613" max="4613" width="40.42578125" style="769" bestFit="1" customWidth="1"/>
    <col min="4614" max="4614" width="35.28515625" style="769" bestFit="1" customWidth="1"/>
    <col min="4615" max="4864" width="10.85546875" style="769"/>
    <col min="4865" max="4865" width="33" style="769" customWidth="1"/>
    <col min="4866" max="4866" width="18.7109375" style="769" customWidth="1"/>
    <col min="4867" max="4867" width="31.28515625" style="769" customWidth="1"/>
    <col min="4868" max="4868" width="30" style="769" customWidth="1"/>
    <col min="4869" max="4869" width="40.42578125" style="769" bestFit="1" customWidth="1"/>
    <col min="4870" max="4870" width="35.28515625" style="769" bestFit="1" customWidth="1"/>
    <col min="4871" max="5120" width="10.85546875" style="769"/>
    <col min="5121" max="5121" width="33" style="769" customWidth="1"/>
    <col min="5122" max="5122" width="18.7109375" style="769" customWidth="1"/>
    <col min="5123" max="5123" width="31.28515625" style="769" customWidth="1"/>
    <col min="5124" max="5124" width="30" style="769" customWidth="1"/>
    <col min="5125" max="5125" width="40.42578125" style="769" bestFit="1" customWidth="1"/>
    <col min="5126" max="5126" width="35.28515625" style="769" bestFit="1" customWidth="1"/>
    <col min="5127" max="5376" width="10.85546875" style="769"/>
    <col min="5377" max="5377" width="33" style="769" customWidth="1"/>
    <col min="5378" max="5378" width="18.7109375" style="769" customWidth="1"/>
    <col min="5379" max="5379" width="31.28515625" style="769" customWidth="1"/>
    <col min="5380" max="5380" width="30" style="769" customWidth="1"/>
    <col min="5381" max="5381" width="40.42578125" style="769" bestFit="1" customWidth="1"/>
    <col min="5382" max="5382" width="35.28515625" style="769" bestFit="1" customWidth="1"/>
    <col min="5383" max="5632" width="10.85546875" style="769"/>
    <col min="5633" max="5633" width="33" style="769" customWidth="1"/>
    <col min="5634" max="5634" width="18.7109375" style="769" customWidth="1"/>
    <col min="5635" max="5635" width="31.28515625" style="769" customWidth="1"/>
    <col min="5636" max="5636" width="30" style="769" customWidth="1"/>
    <col min="5637" max="5637" width="40.42578125" style="769" bestFit="1" customWidth="1"/>
    <col min="5638" max="5638" width="35.28515625" style="769" bestFit="1" customWidth="1"/>
    <col min="5639" max="5888" width="10.85546875" style="769"/>
    <col min="5889" max="5889" width="33" style="769" customWidth="1"/>
    <col min="5890" max="5890" width="18.7109375" style="769" customWidth="1"/>
    <col min="5891" max="5891" width="31.28515625" style="769" customWidth="1"/>
    <col min="5892" max="5892" width="30" style="769" customWidth="1"/>
    <col min="5893" max="5893" width="40.42578125" style="769" bestFit="1" customWidth="1"/>
    <col min="5894" max="5894" width="35.28515625" style="769" bestFit="1" customWidth="1"/>
    <col min="5895" max="6144" width="10.85546875" style="769"/>
    <col min="6145" max="6145" width="33" style="769" customWidth="1"/>
    <col min="6146" max="6146" width="18.7109375" style="769" customWidth="1"/>
    <col min="6147" max="6147" width="31.28515625" style="769" customWidth="1"/>
    <col min="6148" max="6148" width="30" style="769" customWidth="1"/>
    <col min="6149" max="6149" width="40.42578125" style="769" bestFit="1" customWidth="1"/>
    <col min="6150" max="6150" width="35.28515625" style="769" bestFit="1" customWidth="1"/>
    <col min="6151" max="6400" width="10.85546875" style="769"/>
    <col min="6401" max="6401" width="33" style="769" customWidth="1"/>
    <col min="6402" max="6402" width="18.7109375" style="769" customWidth="1"/>
    <col min="6403" max="6403" width="31.28515625" style="769" customWidth="1"/>
    <col min="6404" max="6404" width="30" style="769" customWidth="1"/>
    <col min="6405" max="6405" width="40.42578125" style="769" bestFit="1" customWidth="1"/>
    <col min="6406" max="6406" width="35.28515625" style="769" bestFit="1" customWidth="1"/>
    <col min="6407" max="6656" width="10.85546875" style="769"/>
    <col min="6657" max="6657" width="33" style="769" customWidth="1"/>
    <col min="6658" max="6658" width="18.7109375" style="769" customWidth="1"/>
    <col min="6659" max="6659" width="31.28515625" style="769" customWidth="1"/>
    <col min="6660" max="6660" width="30" style="769" customWidth="1"/>
    <col min="6661" max="6661" width="40.42578125" style="769" bestFit="1" customWidth="1"/>
    <col min="6662" max="6662" width="35.28515625" style="769" bestFit="1" customWidth="1"/>
    <col min="6663" max="6912" width="10.85546875" style="769"/>
    <col min="6913" max="6913" width="33" style="769" customWidth="1"/>
    <col min="6914" max="6914" width="18.7109375" style="769" customWidth="1"/>
    <col min="6915" max="6915" width="31.28515625" style="769" customWidth="1"/>
    <col min="6916" max="6916" width="30" style="769" customWidth="1"/>
    <col min="6917" max="6917" width="40.42578125" style="769" bestFit="1" customWidth="1"/>
    <col min="6918" max="6918" width="35.28515625" style="769" bestFit="1" customWidth="1"/>
    <col min="6919" max="7168" width="10.85546875" style="769"/>
    <col min="7169" max="7169" width="33" style="769" customWidth="1"/>
    <col min="7170" max="7170" width="18.7109375" style="769" customWidth="1"/>
    <col min="7171" max="7171" width="31.28515625" style="769" customWidth="1"/>
    <col min="7172" max="7172" width="30" style="769" customWidth="1"/>
    <col min="7173" max="7173" width="40.42578125" style="769" bestFit="1" customWidth="1"/>
    <col min="7174" max="7174" width="35.28515625" style="769" bestFit="1" customWidth="1"/>
    <col min="7175" max="7424" width="10.85546875" style="769"/>
    <col min="7425" max="7425" width="33" style="769" customWidth="1"/>
    <col min="7426" max="7426" width="18.7109375" style="769" customWidth="1"/>
    <col min="7427" max="7427" width="31.28515625" style="769" customWidth="1"/>
    <col min="7428" max="7428" width="30" style="769" customWidth="1"/>
    <col min="7429" max="7429" width="40.42578125" style="769" bestFit="1" customWidth="1"/>
    <col min="7430" max="7430" width="35.28515625" style="769" bestFit="1" customWidth="1"/>
    <col min="7431" max="7680" width="10.85546875" style="769"/>
    <col min="7681" max="7681" width="33" style="769" customWidth="1"/>
    <col min="7682" max="7682" width="18.7109375" style="769" customWidth="1"/>
    <col min="7683" max="7683" width="31.28515625" style="769" customWidth="1"/>
    <col min="7684" max="7684" width="30" style="769" customWidth="1"/>
    <col min="7685" max="7685" width="40.42578125" style="769" bestFit="1" customWidth="1"/>
    <col min="7686" max="7686" width="35.28515625" style="769" bestFit="1" customWidth="1"/>
    <col min="7687" max="7936" width="10.85546875" style="769"/>
    <col min="7937" max="7937" width="33" style="769" customWidth="1"/>
    <col min="7938" max="7938" width="18.7109375" style="769" customWidth="1"/>
    <col min="7939" max="7939" width="31.28515625" style="769" customWidth="1"/>
    <col min="7940" max="7940" width="30" style="769" customWidth="1"/>
    <col min="7941" max="7941" width="40.42578125" style="769" bestFit="1" customWidth="1"/>
    <col min="7942" max="7942" width="35.28515625" style="769" bestFit="1" customWidth="1"/>
    <col min="7943" max="8192" width="10.85546875" style="769"/>
    <col min="8193" max="8193" width="33" style="769" customWidth="1"/>
    <col min="8194" max="8194" width="18.7109375" style="769" customWidth="1"/>
    <col min="8195" max="8195" width="31.28515625" style="769" customWidth="1"/>
    <col min="8196" max="8196" width="30" style="769" customWidth="1"/>
    <col min="8197" max="8197" width="40.42578125" style="769" bestFit="1" customWidth="1"/>
    <col min="8198" max="8198" width="35.28515625" style="769" bestFit="1" customWidth="1"/>
    <col min="8199" max="8448" width="10.85546875" style="769"/>
    <col min="8449" max="8449" width="33" style="769" customWidth="1"/>
    <col min="8450" max="8450" width="18.7109375" style="769" customWidth="1"/>
    <col min="8451" max="8451" width="31.28515625" style="769" customWidth="1"/>
    <col min="8452" max="8452" width="30" style="769" customWidth="1"/>
    <col min="8453" max="8453" width="40.42578125" style="769" bestFit="1" customWidth="1"/>
    <col min="8454" max="8454" width="35.28515625" style="769" bestFit="1" customWidth="1"/>
    <col min="8455" max="8704" width="10.85546875" style="769"/>
    <col min="8705" max="8705" width="33" style="769" customWidth="1"/>
    <col min="8706" max="8706" width="18.7109375" style="769" customWidth="1"/>
    <col min="8707" max="8707" width="31.28515625" style="769" customWidth="1"/>
    <col min="8708" max="8708" width="30" style="769" customWidth="1"/>
    <col min="8709" max="8709" width="40.42578125" style="769" bestFit="1" customWidth="1"/>
    <col min="8710" max="8710" width="35.28515625" style="769" bestFit="1" customWidth="1"/>
    <col min="8711" max="8960" width="10.85546875" style="769"/>
    <col min="8961" max="8961" width="33" style="769" customWidth="1"/>
    <col min="8962" max="8962" width="18.7109375" style="769" customWidth="1"/>
    <col min="8963" max="8963" width="31.28515625" style="769" customWidth="1"/>
    <col min="8964" max="8964" width="30" style="769" customWidth="1"/>
    <col min="8965" max="8965" width="40.42578125" style="769" bestFit="1" customWidth="1"/>
    <col min="8966" max="8966" width="35.28515625" style="769" bestFit="1" customWidth="1"/>
    <col min="8967" max="9216" width="10.85546875" style="769"/>
    <col min="9217" max="9217" width="33" style="769" customWidth="1"/>
    <col min="9218" max="9218" width="18.7109375" style="769" customWidth="1"/>
    <col min="9219" max="9219" width="31.28515625" style="769" customWidth="1"/>
    <col min="9220" max="9220" width="30" style="769" customWidth="1"/>
    <col min="9221" max="9221" width="40.42578125" style="769" bestFit="1" customWidth="1"/>
    <col min="9222" max="9222" width="35.28515625" style="769" bestFit="1" customWidth="1"/>
    <col min="9223" max="9472" width="10.85546875" style="769"/>
    <col min="9473" max="9473" width="33" style="769" customWidth="1"/>
    <col min="9474" max="9474" width="18.7109375" style="769" customWidth="1"/>
    <col min="9475" max="9475" width="31.28515625" style="769" customWidth="1"/>
    <col min="9476" max="9476" width="30" style="769" customWidth="1"/>
    <col min="9477" max="9477" width="40.42578125" style="769" bestFit="1" customWidth="1"/>
    <col min="9478" max="9478" width="35.28515625" style="769" bestFit="1" customWidth="1"/>
    <col min="9479" max="9728" width="10.85546875" style="769"/>
    <col min="9729" max="9729" width="33" style="769" customWidth="1"/>
    <col min="9730" max="9730" width="18.7109375" style="769" customWidth="1"/>
    <col min="9731" max="9731" width="31.28515625" style="769" customWidth="1"/>
    <col min="9732" max="9732" width="30" style="769" customWidth="1"/>
    <col min="9733" max="9733" width="40.42578125" style="769" bestFit="1" customWidth="1"/>
    <col min="9734" max="9734" width="35.28515625" style="769" bestFit="1" customWidth="1"/>
    <col min="9735" max="9984" width="10.85546875" style="769"/>
    <col min="9985" max="9985" width="33" style="769" customWidth="1"/>
    <col min="9986" max="9986" width="18.7109375" style="769" customWidth="1"/>
    <col min="9987" max="9987" width="31.28515625" style="769" customWidth="1"/>
    <col min="9988" max="9988" width="30" style="769" customWidth="1"/>
    <col min="9989" max="9989" width="40.42578125" style="769" bestFit="1" customWidth="1"/>
    <col min="9990" max="9990" width="35.28515625" style="769" bestFit="1" customWidth="1"/>
    <col min="9991" max="10240" width="10.85546875" style="769"/>
    <col min="10241" max="10241" width="33" style="769" customWidth="1"/>
    <col min="10242" max="10242" width="18.7109375" style="769" customWidth="1"/>
    <col min="10243" max="10243" width="31.28515625" style="769" customWidth="1"/>
    <col min="10244" max="10244" width="30" style="769" customWidth="1"/>
    <col min="10245" max="10245" width="40.42578125" style="769" bestFit="1" customWidth="1"/>
    <col min="10246" max="10246" width="35.28515625" style="769" bestFit="1" customWidth="1"/>
    <col min="10247" max="10496" width="10.85546875" style="769"/>
    <col min="10497" max="10497" width="33" style="769" customWidth="1"/>
    <col min="10498" max="10498" width="18.7109375" style="769" customWidth="1"/>
    <col min="10499" max="10499" width="31.28515625" style="769" customWidth="1"/>
    <col min="10500" max="10500" width="30" style="769" customWidth="1"/>
    <col min="10501" max="10501" width="40.42578125" style="769" bestFit="1" customWidth="1"/>
    <col min="10502" max="10502" width="35.28515625" style="769" bestFit="1" customWidth="1"/>
    <col min="10503" max="10752" width="10.85546875" style="769"/>
    <col min="10753" max="10753" width="33" style="769" customWidth="1"/>
    <col min="10754" max="10754" width="18.7109375" style="769" customWidth="1"/>
    <col min="10755" max="10755" width="31.28515625" style="769" customWidth="1"/>
    <col min="10756" max="10756" width="30" style="769" customWidth="1"/>
    <col min="10757" max="10757" width="40.42578125" style="769" bestFit="1" customWidth="1"/>
    <col min="10758" max="10758" width="35.28515625" style="769" bestFit="1" customWidth="1"/>
    <col min="10759" max="11008" width="10.85546875" style="769"/>
    <col min="11009" max="11009" width="33" style="769" customWidth="1"/>
    <col min="11010" max="11010" width="18.7109375" style="769" customWidth="1"/>
    <col min="11011" max="11011" width="31.28515625" style="769" customWidth="1"/>
    <col min="11012" max="11012" width="30" style="769" customWidth="1"/>
    <col min="11013" max="11013" width="40.42578125" style="769" bestFit="1" customWidth="1"/>
    <col min="11014" max="11014" width="35.28515625" style="769" bestFit="1" customWidth="1"/>
    <col min="11015" max="11264" width="10.85546875" style="769"/>
    <col min="11265" max="11265" width="33" style="769" customWidth="1"/>
    <col min="11266" max="11266" width="18.7109375" style="769" customWidth="1"/>
    <col min="11267" max="11267" width="31.28515625" style="769" customWidth="1"/>
    <col min="11268" max="11268" width="30" style="769" customWidth="1"/>
    <col min="11269" max="11269" width="40.42578125" style="769" bestFit="1" customWidth="1"/>
    <col min="11270" max="11270" width="35.28515625" style="769" bestFit="1" customWidth="1"/>
    <col min="11271" max="11520" width="10.85546875" style="769"/>
    <col min="11521" max="11521" width="33" style="769" customWidth="1"/>
    <col min="11522" max="11522" width="18.7109375" style="769" customWidth="1"/>
    <col min="11523" max="11523" width="31.28515625" style="769" customWidth="1"/>
    <col min="11524" max="11524" width="30" style="769" customWidth="1"/>
    <col min="11525" max="11525" width="40.42578125" style="769" bestFit="1" customWidth="1"/>
    <col min="11526" max="11526" width="35.28515625" style="769" bestFit="1" customWidth="1"/>
    <col min="11527" max="11776" width="10.85546875" style="769"/>
    <col min="11777" max="11777" width="33" style="769" customWidth="1"/>
    <col min="11778" max="11778" width="18.7109375" style="769" customWidth="1"/>
    <col min="11779" max="11779" width="31.28515625" style="769" customWidth="1"/>
    <col min="11780" max="11780" width="30" style="769" customWidth="1"/>
    <col min="11781" max="11781" width="40.42578125" style="769" bestFit="1" customWidth="1"/>
    <col min="11782" max="11782" width="35.28515625" style="769" bestFit="1" customWidth="1"/>
    <col min="11783" max="12032" width="10.85546875" style="769"/>
    <col min="12033" max="12033" width="33" style="769" customWidth="1"/>
    <col min="12034" max="12034" width="18.7109375" style="769" customWidth="1"/>
    <col min="12035" max="12035" width="31.28515625" style="769" customWidth="1"/>
    <col min="12036" max="12036" width="30" style="769" customWidth="1"/>
    <col min="12037" max="12037" width="40.42578125" style="769" bestFit="1" customWidth="1"/>
    <col min="12038" max="12038" width="35.28515625" style="769" bestFit="1" customWidth="1"/>
    <col min="12039" max="12288" width="10.85546875" style="769"/>
    <col min="12289" max="12289" width="33" style="769" customWidth="1"/>
    <col min="12290" max="12290" width="18.7109375" style="769" customWidth="1"/>
    <col min="12291" max="12291" width="31.28515625" style="769" customWidth="1"/>
    <col min="12292" max="12292" width="30" style="769" customWidth="1"/>
    <col min="12293" max="12293" width="40.42578125" style="769" bestFit="1" customWidth="1"/>
    <col min="12294" max="12294" width="35.28515625" style="769" bestFit="1" customWidth="1"/>
    <col min="12295" max="12544" width="10.85546875" style="769"/>
    <col min="12545" max="12545" width="33" style="769" customWidth="1"/>
    <col min="12546" max="12546" width="18.7109375" style="769" customWidth="1"/>
    <col min="12547" max="12547" width="31.28515625" style="769" customWidth="1"/>
    <col min="12548" max="12548" width="30" style="769" customWidth="1"/>
    <col min="12549" max="12549" width="40.42578125" style="769" bestFit="1" customWidth="1"/>
    <col min="12550" max="12550" width="35.28515625" style="769" bestFit="1" customWidth="1"/>
    <col min="12551" max="12800" width="10.85546875" style="769"/>
    <col min="12801" max="12801" width="33" style="769" customWidth="1"/>
    <col min="12802" max="12802" width="18.7109375" style="769" customWidth="1"/>
    <col min="12803" max="12803" width="31.28515625" style="769" customWidth="1"/>
    <col min="12804" max="12804" width="30" style="769" customWidth="1"/>
    <col min="12805" max="12805" width="40.42578125" style="769" bestFit="1" customWidth="1"/>
    <col min="12806" max="12806" width="35.28515625" style="769" bestFit="1" customWidth="1"/>
    <col min="12807" max="13056" width="10.85546875" style="769"/>
    <col min="13057" max="13057" width="33" style="769" customWidth="1"/>
    <col min="13058" max="13058" width="18.7109375" style="769" customWidth="1"/>
    <col min="13059" max="13059" width="31.28515625" style="769" customWidth="1"/>
    <col min="13060" max="13060" width="30" style="769" customWidth="1"/>
    <col min="13061" max="13061" width="40.42578125" style="769" bestFit="1" customWidth="1"/>
    <col min="13062" max="13062" width="35.28515625" style="769" bestFit="1" customWidth="1"/>
    <col min="13063" max="13312" width="10.85546875" style="769"/>
    <col min="13313" max="13313" width="33" style="769" customWidth="1"/>
    <col min="13314" max="13314" width="18.7109375" style="769" customWidth="1"/>
    <col min="13315" max="13315" width="31.28515625" style="769" customWidth="1"/>
    <col min="13316" max="13316" width="30" style="769" customWidth="1"/>
    <col min="13317" max="13317" width="40.42578125" style="769" bestFit="1" customWidth="1"/>
    <col min="13318" max="13318" width="35.28515625" style="769" bestFit="1" customWidth="1"/>
    <col min="13319" max="13568" width="10.85546875" style="769"/>
    <col min="13569" max="13569" width="33" style="769" customWidth="1"/>
    <col min="13570" max="13570" width="18.7109375" style="769" customWidth="1"/>
    <col min="13571" max="13571" width="31.28515625" style="769" customWidth="1"/>
    <col min="13572" max="13572" width="30" style="769" customWidth="1"/>
    <col min="13573" max="13573" width="40.42578125" style="769" bestFit="1" customWidth="1"/>
    <col min="13574" max="13574" width="35.28515625" style="769" bestFit="1" customWidth="1"/>
    <col min="13575" max="13824" width="10.85546875" style="769"/>
    <col min="13825" max="13825" width="33" style="769" customWidth="1"/>
    <col min="13826" max="13826" width="18.7109375" style="769" customWidth="1"/>
    <col min="13827" max="13827" width="31.28515625" style="769" customWidth="1"/>
    <col min="13828" max="13828" width="30" style="769" customWidth="1"/>
    <col min="13829" max="13829" width="40.42578125" style="769" bestFit="1" customWidth="1"/>
    <col min="13830" max="13830" width="35.28515625" style="769" bestFit="1" customWidth="1"/>
    <col min="13831" max="14080" width="10.85546875" style="769"/>
    <col min="14081" max="14081" width="33" style="769" customWidth="1"/>
    <col min="14082" max="14082" width="18.7109375" style="769" customWidth="1"/>
    <col min="14083" max="14083" width="31.28515625" style="769" customWidth="1"/>
    <col min="14084" max="14084" width="30" style="769" customWidth="1"/>
    <col min="14085" max="14085" width="40.42578125" style="769" bestFit="1" customWidth="1"/>
    <col min="14086" max="14086" width="35.28515625" style="769" bestFit="1" customWidth="1"/>
    <col min="14087" max="14336" width="10.85546875" style="769"/>
    <col min="14337" max="14337" width="33" style="769" customWidth="1"/>
    <col min="14338" max="14338" width="18.7109375" style="769" customWidth="1"/>
    <col min="14339" max="14339" width="31.28515625" style="769" customWidth="1"/>
    <col min="14340" max="14340" width="30" style="769" customWidth="1"/>
    <col min="14341" max="14341" width="40.42578125" style="769" bestFit="1" customWidth="1"/>
    <col min="14342" max="14342" width="35.28515625" style="769" bestFit="1" customWidth="1"/>
    <col min="14343" max="14592" width="10.85546875" style="769"/>
    <col min="14593" max="14593" width="33" style="769" customWidth="1"/>
    <col min="14594" max="14594" width="18.7109375" style="769" customWidth="1"/>
    <col min="14595" max="14595" width="31.28515625" style="769" customWidth="1"/>
    <col min="14596" max="14596" width="30" style="769" customWidth="1"/>
    <col min="14597" max="14597" width="40.42578125" style="769" bestFit="1" customWidth="1"/>
    <col min="14598" max="14598" width="35.28515625" style="769" bestFit="1" customWidth="1"/>
    <col min="14599" max="14848" width="10.85546875" style="769"/>
    <col min="14849" max="14849" width="33" style="769" customWidth="1"/>
    <col min="14850" max="14850" width="18.7109375" style="769" customWidth="1"/>
    <col min="14851" max="14851" width="31.28515625" style="769" customWidth="1"/>
    <col min="14852" max="14852" width="30" style="769" customWidth="1"/>
    <col min="14853" max="14853" width="40.42578125" style="769" bestFit="1" customWidth="1"/>
    <col min="14854" max="14854" width="35.28515625" style="769" bestFit="1" customWidth="1"/>
    <col min="14855" max="15104" width="10.85546875" style="769"/>
    <col min="15105" max="15105" width="33" style="769" customWidth="1"/>
    <col min="15106" max="15106" width="18.7109375" style="769" customWidth="1"/>
    <col min="15107" max="15107" width="31.28515625" style="769" customWidth="1"/>
    <col min="15108" max="15108" width="30" style="769" customWidth="1"/>
    <col min="15109" max="15109" width="40.42578125" style="769" bestFit="1" customWidth="1"/>
    <col min="15110" max="15110" width="35.28515625" style="769" bestFit="1" customWidth="1"/>
    <col min="15111" max="15360" width="10.85546875" style="769"/>
    <col min="15361" max="15361" width="33" style="769" customWidth="1"/>
    <col min="15362" max="15362" width="18.7109375" style="769" customWidth="1"/>
    <col min="15363" max="15363" width="31.28515625" style="769" customWidth="1"/>
    <col min="15364" max="15364" width="30" style="769" customWidth="1"/>
    <col min="15365" max="15365" width="40.42578125" style="769" bestFit="1" customWidth="1"/>
    <col min="15366" max="15366" width="35.28515625" style="769" bestFit="1" customWidth="1"/>
    <col min="15367" max="15616" width="10.85546875" style="769"/>
    <col min="15617" max="15617" width="33" style="769" customWidth="1"/>
    <col min="15618" max="15618" width="18.7109375" style="769" customWidth="1"/>
    <col min="15619" max="15619" width="31.28515625" style="769" customWidth="1"/>
    <col min="15620" max="15620" width="30" style="769" customWidth="1"/>
    <col min="15621" max="15621" width="40.42578125" style="769" bestFit="1" customWidth="1"/>
    <col min="15622" max="15622" width="35.28515625" style="769" bestFit="1" customWidth="1"/>
    <col min="15623" max="15872" width="10.85546875" style="769"/>
    <col min="15873" max="15873" width="33" style="769" customWidth="1"/>
    <col min="15874" max="15874" width="18.7109375" style="769" customWidth="1"/>
    <col min="15875" max="15875" width="31.28515625" style="769" customWidth="1"/>
    <col min="15876" max="15876" width="30" style="769" customWidth="1"/>
    <col min="15877" max="15877" width="40.42578125" style="769" bestFit="1" customWidth="1"/>
    <col min="15878" max="15878" width="35.28515625" style="769" bestFit="1" customWidth="1"/>
    <col min="15879" max="16128" width="10.85546875" style="769"/>
    <col min="16129" max="16129" width="33" style="769" customWidth="1"/>
    <col min="16130" max="16130" width="18.7109375" style="769" customWidth="1"/>
    <col min="16131" max="16131" width="31.28515625" style="769" customWidth="1"/>
    <col min="16132" max="16132" width="30" style="769" customWidth="1"/>
    <col min="16133" max="16133" width="40.42578125" style="769" bestFit="1" customWidth="1"/>
    <col min="16134" max="16134" width="35.28515625" style="769" bestFit="1" customWidth="1"/>
    <col min="16135" max="16384" width="10.85546875" style="769"/>
  </cols>
  <sheetData>
    <row r="1" spans="1:10">
      <c r="A1" s="768" t="s">
        <v>659</v>
      </c>
      <c r="B1" s="1144">
        <v>44931</v>
      </c>
      <c r="C1" s="1145"/>
      <c r="D1" s="1145"/>
      <c r="E1" s="1145"/>
      <c r="F1" s="1145"/>
      <c r="G1" s="1146"/>
    </row>
    <row r="2" spans="1:10">
      <c r="A2" s="770" t="s">
        <v>660</v>
      </c>
      <c r="B2" s="1138" t="s">
        <v>661</v>
      </c>
      <c r="C2" s="1139"/>
      <c r="D2" s="1139"/>
      <c r="E2" s="1139"/>
      <c r="F2" s="1139"/>
      <c r="G2" s="1140"/>
    </row>
    <row r="3" spans="1:10">
      <c r="A3" s="770" t="s">
        <v>662</v>
      </c>
      <c r="B3" s="1147" t="s">
        <v>663</v>
      </c>
      <c r="C3" s="1148"/>
      <c r="D3" s="1148"/>
      <c r="E3" s="1149"/>
      <c r="F3" s="1147" t="s">
        <v>664</v>
      </c>
      <c r="G3" s="1150"/>
      <c r="H3" s="771"/>
      <c r="I3" s="771"/>
      <c r="J3" s="771"/>
    </row>
    <row r="4" spans="1:10">
      <c r="A4" s="770" t="s">
        <v>665</v>
      </c>
      <c r="B4" s="1151" t="s">
        <v>666</v>
      </c>
      <c r="C4" s="1152"/>
      <c r="D4" s="1152"/>
      <c r="E4" s="1152"/>
      <c r="F4" s="1152"/>
      <c r="G4" s="1153"/>
    </row>
    <row r="5" spans="1:10">
      <c r="A5" s="770" t="s">
        <v>667</v>
      </c>
      <c r="B5" s="1154" t="s">
        <v>668</v>
      </c>
      <c r="C5" s="1155"/>
      <c r="D5" s="1155"/>
      <c r="E5" s="1155"/>
      <c r="F5" s="1155"/>
      <c r="G5" s="1156"/>
    </row>
    <row r="6" spans="1:10" s="772" customFormat="1">
      <c r="A6" s="770" t="s">
        <v>669</v>
      </c>
      <c r="B6" s="1138" t="s">
        <v>670</v>
      </c>
      <c r="C6" s="1139"/>
      <c r="D6" s="1139"/>
      <c r="E6" s="1139"/>
      <c r="F6" s="1139"/>
      <c r="G6" s="1140"/>
    </row>
    <row r="7" spans="1:10" ht="17.100000000000001" thickBot="1">
      <c r="A7" s="773" t="s">
        <v>671</v>
      </c>
      <c r="B7" s="1141" t="s">
        <v>672</v>
      </c>
      <c r="C7" s="1142"/>
      <c r="D7" s="1142"/>
      <c r="E7" s="1142"/>
      <c r="F7" s="1142"/>
      <c r="G7" s="1143"/>
    </row>
    <row r="8" spans="1:10" s="779" customFormat="1" ht="15" customHeight="1">
      <c r="A8" s="774" t="s">
        <v>673</v>
      </c>
      <c r="B8" s="775" t="s">
        <v>674</v>
      </c>
      <c r="C8" s="776" t="s">
        <v>675</v>
      </c>
      <c r="D8" s="776" t="s">
        <v>676</v>
      </c>
      <c r="E8" s="777" t="s">
        <v>677</v>
      </c>
      <c r="F8" s="778" t="s">
        <v>678</v>
      </c>
    </row>
    <row r="9" spans="1:10" s="784" customFormat="1">
      <c r="A9" s="780" t="s">
        <v>679</v>
      </c>
      <c r="B9" s="781">
        <v>58</v>
      </c>
      <c r="C9" s="782">
        <v>0.23382500000000001</v>
      </c>
      <c r="D9" s="782">
        <v>0.18166952380952381</v>
      </c>
      <c r="E9" s="782">
        <v>0.20375153846153846</v>
      </c>
      <c r="F9" s="783">
        <v>7.9555555555555421E-3</v>
      </c>
    </row>
    <row r="10" spans="1:10" s="784" customFormat="1">
      <c r="A10" s="780" t="s">
        <v>680</v>
      </c>
      <c r="B10" s="781">
        <v>77</v>
      </c>
      <c r="C10" s="782">
        <v>5.0448148148148145E-2</v>
      </c>
      <c r="D10" s="782">
        <v>3.9922558139534867E-2</v>
      </c>
      <c r="E10" s="782">
        <v>0.38921953488372096</v>
      </c>
      <c r="F10" s="783">
        <v>8.1387391304347814E-2</v>
      </c>
    </row>
    <row r="11" spans="1:10" s="784" customFormat="1">
      <c r="A11" s="780" t="s">
        <v>681</v>
      </c>
      <c r="B11" s="781">
        <v>21</v>
      </c>
      <c r="C11" s="782">
        <v>-0.23700000000000002</v>
      </c>
      <c r="D11" s="782">
        <v>2.2412499999999995E-2</v>
      </c>
      <c r="E11" s="782">
        <v>0.31874666666666668</v>
      </c>
      <c r="F11" s="783">
        <v>0.22525000000000001</v>
      </c>
    </row>
    <row r="12" spans="1:10" s="784" customFormat="1">
      <c r="A12" s="780" t="s">
        <v>682</v>
      </c>
      <c r="B12" s="781">
        <v>39</v>
      </c>
      <c r="C12" s="782">
        <v>0.11000000000000001</v>
      </c>
      <c r="D12" s="782">
        <v>5.8356956521739133E-2</v>
      </c>
      <c r="E12" s="782">
        <v>3.9632608695652168E-2</v>
      </c>
      <c r="F12" s="783">
        <v>5.6378571428571424E-2</v>
      </c>
    </row>
    <row r="13" spans="1:10" s="784" customFormat="1">
      <c r="A13" s="780" t="s">
        <v>683</v>
      </c>
      <c r="B13" s="781">
        <v>31</v>
      </c>
      <c r="C13" s="782">
        <v>0.20131999999999997</v>
      </c>
      <c r="D13" s="782">
        <v>0.28059499999999998</v>
      </c>
      <c r="E13" s="782">
        <v>13.283983333333332</v>
      </c>
      <c r="F13" s="783">
        <v>0.17370000000000002</v>
      </c>
    </row>
    <row r="14" spans="1:10" s="784" customFormat="1">
      <c r="A14" s="780" t="s">
        <v>684</v>
      </c>
      <c r="B14" s="781">
        <v>37</v>
      </c>
      <c r="C14" s="782">
        <v>8.3674999999999999E-2</v>
      </c>
      <c r="D14" s="782">
        <v>7.0743333333333325E-2</v>
      </c>
      <c r="E14" s="782">
        <v>0.15391249999999998</v>
      </c>
      <c r="F14" s="783">
        <v>0.22152142857142856</v>
      </c>
    </row>
    <row r="15" spans="1:10" s="784" customFormat="1">
      <c r="A15" s="780" t="s">
        <v>685</v>
      </c>
      <c r="B15" s="781">
        <v>7</v>
      </c>
      <c r="C15" s="782">
        <v>1.2880000000000001E-2</v>
      </c>
      <c r="D15" s="782">
        <v>1.9400000000000001E-2</v>
      </c>
      <c r="E15" s="782">
        <v>6.5599999999999992E-2</v>
      </c>
      <c r="F15" s="783">
        <v>1.9862000000000005E-2</v>
      </c>
    </row>
    <row r="16" spans="1:10" s="784" customFormat="1">
      <c r="A16" s="780" t="s">
        <v>686</v>
      </c>
      <c r="B16" s="781">
        <v>557</v>
      </c>
      <c r="C16" s="782">
        <v>0.18140365909090922</v>
      </c>
      <c r="D16" s="782">
        <v>0.11019711409395982</v>
      </c>
      <c r="E16" s="782">
        <v>0.13598090163934429</v>
      </c>
      <c r="F16" s="783">
        <v>0.1115444444444445</v>
      </c>
    </row>
    <row r="17" spans="1:6" s="784" customFormat="1">
      <c r="A17" s="780" t="s">
        <v>687</v>
      </c>
      <c r="B17" s="781">
        <v>23</v>
      </c>
      <c r="C17" s="782">
        <v>-0.12307999999999999</v>
      </c>
      <c r="D17" s="782">
        <v>0.12543749999999998</v>
      </c>
      <c r="E17" s="782">
        <v>0.16617777777777779</v>
      </c>
      <c r="F17" s="783">
        <v>0.46596666666666664</v>
      </c>
    </row>
    <row r="18" spans="1:6" s="784" customFormat="1">
      <c r="A18" s="780" t="s">
        <v>688</v>
      </c>
      <c r="B18" s="781">
        <v>31</v>
      </c>
      <c r="C18" s="782">
        <v>0.1739</v>
      </c>
      <c r="D18" s="782">
        <v>0.15048545454545456</v>
      </c>
      <c r="E18" s="782">
        <v>0.17535454545454549</v>
      </c>
      <c r="F18" s="783">
        <v>0.12113333333333333</v>
      </c>
    </row>
    <row r="19" spans="1:6" s="784" customFormat="1">
      <c r="A19" s="780" t="s">
        <v>689</v>
      </c>
      <c r="B19" s="781">
        <v>26</v>
      </c>
      <c r="C19" s="782">
        <v>0.21364545454545458</v>
      </c>
      <c r="D19" s="782">
        <v>0.19544111111111115</v>
      </c>
      <c r="E19" s="782">
        <v>2.5990000000000003E-2</v>
      </c>
      <c r="F19" s="783">
        <v>0.2535</v>
      </c>
    </row>
    <row r="20" spans="1:6" s="784" customFormat="1">
      <c r="A20" s="780" t="s">
        <v>690</v>
      </c>
      <c r="B20" s="781">
        <v>30</v>
      </c>
      <c r="C20" s="782">
        <v>0.27599999999999997</v>
      </c>
      <c r="D20" s="782">
        <v>0.14228750000000001</v>
      </c>
      <c r="E20" s="782">
        <v>-2.6243684210526318E-2</v>
      </c>
      <c r="F20" s="783">
        <v>0.19226000000000001</v>
      </c>
    </row>
    <row r="21" spans="1:6" s="784" customFormat="1">
      <c r="A21" s="780" t="s">
        <v>691</v>
      </c>
      <c r="B21" s="781">
        <v>45</v>
      </c>
      <c r="C21" s="782">
        <v>0.19324230769230766</v>
      </c>
      <c r="D21" s="782">
        <v>0.10597500000000004</v>
      </c>
      <c r="E21" s="782">
        <v>0.22911000000000001</v>
      </c>
      <c r="F21" s="783">
        <v>0.10971153846153844</v>
      </c>
    </row>
    <row r="22" spans="1:6" s="784" customFormat="1">
      <c r="A22" s="780" t="s">
        <v>692</v>
      </c>
      <c r="B22" s="781">
        <v>164</v>
      </c>
      <c r="C22" s="782">
        <v>0.15600191489361703</v>
      </c>
      <c r="D22" s="782">
        <v>8.4642800000000004E-2</v>
      </c>
      <c r="E22" s="782">
        <v>8.6956666666666682E-2</v>
      </c>
      <c r="F22" s="783">
        <v>0.16903818181818184</v>
      </c>
    </row>
    <row r="23" spans="1:6" s="784" customFormat="1">
      <c r="A23" s="780" t="s">
        <v>693</v>
      </c>
      <c r="B23" s="781">
        <v>10</v>
      </c>
      <c r="C23" s="782">
        <v>0.312975</v>
      </c>
      <c r="D23" s="782">
        <v>0.20048888888888888</v>
      </c>
      <c r="E23" s="782">
        <v>-1.0445555555555553E-2</v>
      </c>
      <c r="F23" s="783">
        <v>0.13911875000000001</v>
      </c>
    </row>
    <row r="24" spans="1:6" s="784" customFormat="1">
      <c r="A24" s="780" t="s">
        <v>694</v>
      </c>
      <c r="B24" s="781">
        <v>38</v>
      </c>
      <c r="C24" s="782">
        <v>9.2162142857142845E-2</v>
      </c>
      <c r="D24" s="782">
        <v>0.2702</v>
      </c>
      <c r="E24" s="782">
        <v>0.10391928571428573</v>
      </c>
      <c r="F24" s="783">
        <v>-0.10218363636363635</v>
      </c>
    </row>
    <row r="25" spans="1:6" s="784" customFormat="1">
      <c r="A25" s="780" t="s">
        <v>695</v>
      </c>
      <c r="B25" s="781">
        <v>4</v>
      </c>
      <c r="C25" s="782">
        <v>0.2155</v>
      </c>
      <c r="D25" s="782">
        <v>1.7524999999999995E-2</v>
      </c>
      <c r="E25" s="782">
        <v>6.8599999999999994E-2</v>
      </c>
      <c r="F25" s="783">
        <v>0.13500000000000001</v>
      </c>
    </row>
    <row r="26" spans="1:6" s="784" customFormat="1">
      <c r="A26" s="780" t="s">
        <v>696</v>
      </c>
      <c r="B26" s="781">
        <v>76</v>
      </c>
      <c r="C26" s="782">
        <v>0.21611666666666671</v>
      </c>
      <c r="D26" s="782">
        <v>9.4822448979591842E-2</v>
      </c>
      <c r="E26" s="782">
        <v>0.12618048780487806</v>
      </c>
      <c r="F26" s="783">
        <v>0.14015833333333333</v>
      </c>
    </row>
    <row r="27" spans="1:6" s="784" customFormat="1">
      <c r="A27" s="780" t="s">
        <v>697</v>
      </c>
      <c r="B27" s="781">
        <v>19</v>
      </c>
      <c r="C27" s="782">
        <v>8.8033333333333325E-2</v>
      </c>
      <c r="D27" s="782">
        <v>-3.7148999999999988E-2</v>
      </c>
      <c r="E27" s="782">
        <v>6.0409259999999998</v>
      </c>
      <c r="F27" s="783" t="e">
        <v>#DIV/0!</v>
      </c>
    </row>
    <row r="28" spans="1:6" s="784" customFormat="1">
      <c r="A28" s="780" t="s">
        <v>698</v>
      </c>
      <c r="B28" s="781">
        <v>80</v>
      </c>
      <c r="C28" s="782">
        <v>0.1680454545454545</v>
      </c>
      <c r="D28" s="782">
        <v>0.10479307692307695</v>
      </c>
      <c r="E28" s="782">
        <v>9.6096551724137946E-2</v>
      </c>
      <c r="F28" s="783">
        <v>0.13076521739130434</v>
      </c>
    </row>
    <row r="29" spans="1:6" s="784" customFormat="1">
      <c r="A29" s="780" t="s">
        <v>699</v>
      </c>
      <c r="B29" s="781">
        <v>42</v>
      </c>
      <c r="C29" s="782">
        <v>0.1007090909090909</v>
      </c>
      <c r="D29" s="782">
        <v>0.16357148148148148</v>
      </c>
      <c r="E29" s="782">
        <v>0.14794416666666668</v>
      </c>
      <c r="F29" s="783">
        <v>0.12861363636363635</v>
      </c>
    </row>
    <row r="30" spans="1:6" s="784" customFormat="1">
      <c r="A30" s="780" t="s">
        <v>700</v>
      </c>
      <c r="B30" s="781">
        <v>49</v>
      </c>
      <c r="C30" s="782">
        <v>9.01652173913043E-2</v>
      </c>
      <c r="D30" s="782">
        <v>5.0167812500000013E-2</v>
      </c>
      <c r="E30" s="782">
        <v>0.74913823529411772</v>
      </c>
      <c r="F30" s="783">
        <v>0.17860000000000004</v>
      </c>
    </row>
    <row r="31" spans="1:6" s="784" customFormat="1">
      <c r="A31" s="780" t="s">
        <v>701</v>
      </c>
      <c r="B31" s="781">
        <v>23</v>
      </c>
      <c r="C31" s="782">
        <v>2.3650000000000001E-2</v>
      </c>
      <c r="D31" s="782">
        <v>7.6920000000000002E-2</v>
      </c>
      <c r="E31" s="782">
        <v>3.9342857142857131E-2</v>
      </c>
      <c r="F31" s="783">
        <v>0.14035</v>
      </c>
    </row>
    <row r="32" spans="1:6" s="784" customFormat="1">
      <c r="A32" s="780" t="s">
        <v>702</v>
      </c>
      <c r="B32" s="781">
        <v>598</v>
      </c>
      <c r="C32" s="782">
        <v>7.1716666666666637E-2</v>
      </c>
      <c r="D32" s="782">
        <v>0.27230353658536566</v>
      </c>
      <c r="E32" s="782">
        <v>0.69618469135802485</v>
      </c>
      <c r="F32" s="783">
        <v>-4.8395652173913034E-2</v>
      </c>
    </row>
    <row r="33" spans="1:6" s="784" customFormat="1">
      <c r="A33" s="780" t="s">
        <v>703</v>
      </c>
      <c r="B33" s="781">
        <v>281</v>
      </c>
      <c r="C33" s="782">
        <v>0.30738823529411768</v>
      </c>
      <c r="D33" s="782">
        <v>0.42345633802816912</v>
      </c>
      <c r="E33" s="782">
        <v>0.62612548672566359</v>
      </c>
      <c r="F33" s="783">
        <v>0.10348590909090909</v>
      </c>
    </row>
    <row r="34" spans="1:6" s="784" customFormat="1">
      <c r="A34" s="780" t="s">
        <v>704</v>
      </c>
      <c r="B34" s="781">
        <v>33</v>
      </c>
      <c r="C34" s="782">
        <v>0.16761666666666666</v>
      </c>
      <c r="D34" s="782">
        <v>4.1291875000000006E-2</v>
      </c>
      <c r="E34" s="782">
        <v>0.1022838888888889</v>
      </c>
      <c r="F34" s="783">
        <v>0.17142857142857143</v>
      </c>
    </row>
    <row r="35" spans="1:6" s="784" customFormat="1">
      <c r="A35" s="780" t="s">
        <v>705</v>
      </c>
      <c r="B35" s="781">
        <v>110</v>
      </c>
      <c r="C35" s="782">
        <v>0.1437188888888889</v>
      </c>
      <c r="D35" s="782">
        <v>0.13897499999999999</v>
      </c>
      <c r="E35" s="782">
        <v>0.6052948076923077</v>
      </c>
      <c r="F35" s="783">
        <v>0.15966190476190478</v>
      </c>
    </row>
    <row r="36" spans="1:6" s="784" customFormat="1">
      <c r="A36" s="780" t="s">
        <v>706</v>
      </c>
      <c r="B36" s="781">
        <v>16</v>
      </c>
      <c r="C36" s="782">
        <v>-0.36799999999999999</v>
      </c>
      <c r="D36" s="782">
        <v>-4.7299999999999972E-3</v>
      </c>
      <c r="E36" s="782">
        <v>1.6857142857142855E-2</v>
      </c>
      <c r="F36" s="783">
        <v>0.13996666666666666</v>
      </c>
    </row>
    <row r="37" spans="1:6" s="784" customFormat="1">
      <c r="A37" s="780" t="s">
        <v>707</v>
      </c>
      <c r="B37" s="781">
        <v>138</v>
      </c>
      <c r="C37" s="782">
        <v>0.14106975609756101</v>
      </c>
      <c r="D37" s="782">
        <v>0.106349294117647</v>
      </c>
      <c r="E37" s="782">
        <v>0.29346015151515148</v>
      </c>
      <c r="F37" s="783">
        <v>0.15550937500000001</v>
      </c>
    </row>
    <row r="38" spans="1:6" s="784" customFormat="1">
      <c r="A38" s="780" t="s">
        <v>708</v>
      </c>
      <c r="B38" s="781">
        <v>43</v>
      </c>
      <c r="C38" s="782">
        <v>0.17276249999999999</v>
      </c>
      <c r="D38" s="782">
        <v>0.12138344827586202</v>
      </c>
      <c r="E38" s="782">
        <v>0.17060937500000001</v>
      </c>
      <c r="F38" s="783">
        <v>0.17328000000000002</v>
      </c>
    </row>
    <row r="39" spans="1:6" s="784" customFormat="1">
      <c r="A39" s="780" t="s">
        <v>709</v>
      </c>
      <c r="B39" s="781">
        <v>110</v>
      </c>
      <c r="C39" s="782">
        <v>9.0211111111111103E-2</v>
      </c>
      <c r="D39" s="782">
        <v>0.28593124999999997</v>
      </c>
      <c r="E39" s="782">
        <v>0.2134313513513513</v>
      </c>
      <c r="F39" s="783">
        <v>0.16553066666666666</v>
      </c>
    </row>
    <row r="40" spans="1:6" s="784" customFormat="1">
      <c r="A40" s="780" t="s">
        <v>710</v>
      </c>
      <c r="B40" s="781">
        <v>62</v>
      </c>
      <c r="C40" s="782">
        <v>0.45608749999999998</v>
      </c>
      <c r="D40" s="782">
        <v>0.10134039999999998</v>
      </c>
      <c r="E40" s="782">
        <v>0.47340952380952384</v>
      </c>
      <c r="F40" s="783">
        <v>0.12253076923076923</v>
      </c>
    </row>
    <row r="41" spans="1:6" s="784" customFormat="1">
      <c r="A41" s="780" t="s">
        <v>711</v>
      </c>
      <c r="B41" s="781">
        <v>39</v>
      </c>
      <c r="C41" s="782">
        <v>0.17563000000000004</v>
      </c>
      <c r="D41" s="782">
        <v>0.17570944444444442</v>
      </c>
      <c r="E41" s="782">
        <v>0.78785849999999991</v>
      </c>
      <c r="F41" s="783">
        <v>-0.19971428571428571</v>
      </c>
    </row>
    <row r="42" spans="1:6" s="784" customFormat="1">
      <c r="A42" s="780" t="s">
        <v>712</v>
      </c>
      <c r="B42" s="781">
        <v>223</v>
      </c>
      <c r="C42" s="782">
        <v>0.16326163793103451</v>
      </c>
      <c r="D42" s="782">
        <v>0.1044040579710145</v>
      </c>
      <c r="E42" s="782">
        <v>6.7670186915887887E-2</v>
      </c>
      <c r="F42" s="783">
        <v>4.6318604651162783E-2</v>
      </c>
    </row>
    <row r="43" spans="1:6" s="784" customFormat="1">
      <c r="A43" s="780" t="s">
        <v>713</v>
      </c>
      <c r="B43" s="781">
        <v>92</v>
      </c>
      <c r="C43" s="782">
        <v>9.3786896551724119E-2</v>
      </c>
      <c r="D43" s="782">
        <v>0.25210224489795913</v>
      </c>
      <c r="E43" s="782">
        <v>0.12178295454545453</v>
      </c>
      <c r="F43" s="783">
        <v>9.9491904761904754E-2</v>
      </c>
    </row>
    <row r="44" spans="1:6" s="784" customFormat="1">
      <c r="A44" s="780" t="s">
        <v>714</v>
      </c>
      <c r="B44" s="781">
        <v>14</v>
      </c>
      <c r="C44" s="782">
        <v>9.7360000000000002E-2</v>
      </c>
      <c r="D44" s="782">
        <v>9.8360000000000003E-2</v>
      </c>
      <c r="E44" s="782">
        <v>0.11465714285714286</v>
      </c>
      <c r="F44" s="783">
        <v>0.27989999999999998</v>
      </c>
    </row>
    <row r="45" spans="1:6" s="784" customFormat="1">
      <c r="A45" s="780" t="s">
        <v>715</v>
      </c>
      <c r="B45" s="781">
        <v>32</v>
      </c>
      <c r="C45" s="782">
        <v>8.733076923076924E-2</v>
      </c>
      <c r="D45" s="782">
        <v>0.14448380952380954</v>
      </c>
      <c r="E45" s="782">
        <v>-2.3566666666666666E-2</v>
      </c>
      <c r="F45" s="783">
        <v>8.3739999999999995E-2</v>
      </c>
    </row>
    <row r="46" spans="1:6" s="784" customFormat="1">
      <c r="A46" s="780" t="s">
        <v>716</v>
      </c>
      <c r="B46" s="781">
        <v>19</v>
      </c>
      <c r="C46" s="782">
        <v>0.31374999999999997</v>
      </c>
      <c r="D46" s="782">
        <v>-0.14713666666666667</v>
      </c>
      <c r="E46" s="782">
        <v>0.32349999999999995</v>
      </c>
      <c r="F46" s="783">
        <v>0.6100000000000001</v>
      </c>
    </row>
    <row r="47" spans="1:6" s="784" customFormat="1">
      <c r="A47" s="780" t="s">
        <v>717</v>
      </c>
      <c r="B47" s="781">
        <v>254</v>
      </c>
      <c r="C47" s="782">
        <v>0.10834685714285713</v>
      </c>
      <c r="D47" s="782">
        <v>0.19900759398496237</v>
      </c>
      <c r="E47" s="782">
        <v>0.50988745098039223</v>
      </c>
      <c r="F47" s="783">
        <v>0.14843809523809526</v>
      </c>
    </row>
    <row r="48" spans="1:6" s="784" customFormat="1">
      <c r="A48" s="780" t="s">
        <v>718</v>
      </c>
      <c r="B48" s="781">
        <v>131</v>
      </c>
      <c r="C48" s="782">
        <v>0.15795806451612904</v>
      </c>
      <c r="D48" s="782">
        <v>0.20156749999999996</v>
      </c>
      <c r="E48" s="782">
        <v>0.29488985507246374</v>
      </c>
      <c r="F48" s="783">
        <v>6.4732500000000012E-2</v>
      </c>
    </row>
    <row r="49" spans="1:6" s="784" customFormat="1">
      <c r="A49" s="780" t="s">
        <v>719</v>
      </c>
      <c r="B49" s="781">
        <v>138</v>
      </c>
      <c r="C49" s="782">
        <v>0.26829999999999993</v>
      </c>
      <c r="D49" s="782">
        <v>0.20452035087719289</v>
      </c>
      <c r="E49" s="782">
        <v>0.18591207317073169</v>
      </c>
      <c r="F49" s="783">
        <v>0.1211709677419355</v>
      </c>
    </row>
    <row r="50" spans="1:6" s="784" customFormat="1">
      <c r="A50" s="780" t="s">
        <v>720</v>
      </c>
      <c r="B50" s="781">
        <v>32</v>
      </c>
      <c r="C50" s="782">
        <v>0.3951904761904762</v>
      </c>
      <c r="D50" s="782">
        <v>0.15822272727272732</v>
      </c>
      <c r="E50" s="782">
        <v>2.4200000000000003E-2</v>
      </c>
      <c r="F50" s="783">
        <v>0.1028923076923077</v>
      </c>
    </row>
    <row r="51" spans="1:6" s="784" customFormat="1">
      <c r="A51" s="780" t="s">
        <v>721</v>
      </c>
      <c r="B51" s="781">
        <v>34</v>
      </c>
      <c r="C51" s="782">
        <v>0.11238333333333334</v>
      </c>
      <c r="D51" s="782">
        <v>1.5967368421052629E-2</v>
      </c>
      <c r="E51" s="782">
        <v>0.17720555555555553</v>
      </c>
      <c r="F51" s="783">
        <v>8.9340000000000003E-2</v>
      </c>
    </row>
    <row r="52" spans="1:6" s="784" customFormat="1">
      <c r="A52" s="780" t="s">
        <v>722</v>
      </c>
      <c r="B52" s="781">
        <v>69</v>
      </c>
      <c r="C52" s="782">
        <v>0.14927619047619048</v>
      </c>
      <c r="D52" s="782">
        <v>7.5841891891891888E-2</v>
      </c>
      <c r="E52" s="782">
        <v>0.78591133333333318</v>
      </c>
      <c r="F52" s="783">
        <v>0.21713076923076924</v>
      </c>
    </row>
    <row r="53" spans="1:6" s="784" customFormat="1">
      <c r="A53" s="780" t="s">
        <v>723</v>
      </c>
      <c r="B53" s="781">
        <v>127</v>
      </c>
      <c r="C53" s="782">
        <v>6.6831999999999989E-2</v>
      </c>
      <c r="D53" s="782">
        <v>0.11551042553191491</v>
      </c>
      <c r="E53" s="782">
        <v>7.7522647058823516E-2</v>
      </c>
      <c r="F53" s="783">
        <v>0.17369999999999999</v>
      </c>
    </row>
    <row r="54" spans="1:6" s="784" customFormat="1">
      <c r="A54" s="780" t="s">
        <v>724</v>
      </c>
      <c r="B54" s="781">
        <v>73</v>
      </c>
      <c r="C54" s="782">
        <v>0.10346250000000001</v>
      </c>
      <c r="D54" s="782">
        <v>0.11055135135135132</v>
      </c>
      <c r="E54" s="782">
        <v>0.14819903846153848</v>
      </c>
      <c r="F54" s="783">
        <v>0.16414999999999999</v>
      </c>
    </row>
    <row r="55" spans="1:6" s="784" customFormat="1">
      <c r="A55" s="780" t="s">
        <v>725</v>
      </c>
      <c r="B55" s="781">
        <v>21</v>
      </c>
      <c r="C55" s="782">
        <v>0.1052375</v>
      </c>
      <c r="D55" s="782">
        <v>6.9009090909090909E-2</v>
      </c>
      <c r="E55" s="782">
        <v>0.17003124999999999</v>
      </c>
      <c r="F55" s="783">
        <v>0.13428888888888887</v>
      </c>
    </row>
    <row r="56" spans="1:6" s="784" customFormat="1">
      <c r="A56" s="780" t="s">
        <v>726</v>
      </c>
      <c r="B56" s="781">
        <v>27</v>
      </c>
      <c r="C56" s="782">
        <v>0.11962076923076922</v>
      </c>
      <c r="D56" s="782">
        <v>8.2870000000000013E-2</v>
      </c>
      <c r="E56" s="782">
        <v>8.1812666666666672E-2</v>
      </c>
      <c r="F56" s="783">
        <v>0.12134285714285716</v>
      </c>
    </row>
    <row r="57" spans="1:6" s="784" customFormat="1">
      <c r="A57" s="780" t="s">
        <v>727</v>
      </c>
      <c r="B57" s="781">
        <v>51</v>
      </c>
      <c r="C57" s="782">
        <v>8.3294545454545454E-2</v>
      </c>
      <c r="D57" s="782">
        <v>3.8176363636363633E-2</v>
      </c>
      <c r="E57" s="782">
        <v>4.8644166666666676E-2</v>
      </c>
      <c r="F57" s="783">
        <v>0.21749166666666664</v>
      </c>
    </row>
    <row r="58" spans="1:6" s="784" customFormat="1">
      <c r="A58" s="780" t="s">
        <v>728</v>
      </c>
      <c r="B58" s="781">
        <v>600</v>
      </c>
      <c r="C58" s="782">
        <v>9.4692432432432486E-2</v>
      </c>
      <c r="D58" s="782">
        <v>0.10789090909090909</v>
      </c>
      <c r="E58" s="782">
        <v>7.4268181818181817E-2</v>
      </c>
      <c r="F58" s="783">
        <v>7.588695652173913E-2</v>
      </c>
    </row>
    <row r="59" spans="1:6" s="784" customFormat="1">
      <c r="A59" s="780" t="s">
        <v>729</v>
      </c>
      <c r="B59" s="781">
        <v>116</v>
      </c>
      <c r="C59" s="782">
        <v>0.12198857142857143</v>
      </c>
      <c r="D59" s="782">
        <v>8.5045652173913022E-2</v>
      </c>
      <c r="E59" s="782">
        <v>0.12598822580645164</v>
      </c>
      <c r="F59" s="783">
        <v>0.12506315789473688</v>
      </c>
    </row>
    <row r="60" spans="1:6" s="784" customFormat="1">
      <c r="A60" s="780" t="s">
        <v>730</v>
      </c>
      <c r="B60" s="781">
        <v>68</v>
      </c>
      <c r="C60" s="782">
        <v>0.23299999999999998</v>
      </c>
      <c r="D60" s="782">
        <v>5.8830769230769242E-2</v>
      </c>
      <c r="E60" s="782">
        <v>6.9828000000000001E-2</v>
      </c>
      <c r="F60" s="783">
        <v>7.2120000000000004E-2</v>
      </c>
    </row>
    <row r="61" spans="1:6" s="784" customFormat="1">
      <c r="A61" s="780" t="s">
        <v>731</v>
      </c>
      <c r="B61" s="781">
        <v>16</v>
      </c>
      <c r="C61" s="782">
        <v>-5.9109999999999996E-2</v>
      </c>
      <c r="D61" s="782">
        <v>0.15791928571428571</v>
      </c>
      <c r="E61" s="782">
        <v>0.40608199999999994</v>
      </c>
      <c r="F61" s="783">
        <v>0.12333333333333334</v>
      </c>
    </row>
    <row r="62" spans="1:6" s="784" customFormat="1">
      <c r="A62" s="780" t="s">
        <v>732</v>
      </c>
      <c r="B62" s="781">
        <v>4</v>
      </c>
      <c r="C62" s="782">
        <v>0.49725000000000003</v>
      </c>
      <c r="D62" s="782">
        <v>0.12122499999999999</v>
      </c>
      <c r="E62" s="782">
        <v>0.14000000000000001</v>
      </c>
      <c r="F62" s="783">
        <v>9.4710000000000003E-2</v>
      </c>
    </row>
    <row r="63" spans="1:6" s="784" customFormat="1">
      <c r="A63" s="780" t="s">
        <v>733</v>
      </c>
      <c r="B63" s="781">
        <v>174</v>
      </c>
      <c r="C63" s="782">
        <v>0.40675000000000006</v>
      </c>
      <c r="D63" s="782">
        <v>0.2956583720930232</v>
      </c>
      <c r="E63" s="782">
        <v>0.41113274509803915</v>
      </c>
      <c r="F63" s="783">
        <v>0.23791304347826089</v>
      </c>
    </row>
    <row r="64" spans="1:6" s="784" customFormat="1">
      <c r="A64" s="780" t="s">
        <v>734</v>
      </c>
      <c r="B64" s="781">
        <v>23</v>
      </c>
      <c r="C64" s="782">
        <v>0.70779999999999987</v>
      </c>
      <c r="D64" s="782">
        <v>0.21857272727272728</v>
      </c>
      <c r="E64" s="782">
        <v>0.39957500000000001</v>
      </c>
      <c r="F64" s="783">
        <v>0.10131111111111113</v>
      </c>
    </row>
    <row r="65" spans="1:6" s="784" customFormat="1">
      <c r="A65" s="780" t="s">
        <v>735</v>
      </c>
      <c r="B65" s="781">
        <v>101</v>
      </c>
      <c r="C65" s="782">
        <v>0.28633333333333327</v>
      </c>
      <c r="D65" s="782">
        <v>7.7213384615384614E-2</v>
      </c>
      <c r="E65" s="782">
        <v>0.53965294117647067</v>
      </c>
      <c r="F65" s="783">
        <v>0.21069230769230765</v>
      </c>
    </row>
    <row r="66" spans="1:6" s="784" customFormat="1">
      <c r="A66" s="780" t="s">
        <v>736</v>
      </c>
      <c r="B66" s="781">
        <v>25</v>
      </c>
      <c r="C66" s="782">
        <v>0.15050625000000001</v>
      </c>
      <c r="D66" s="782">
        <v>5.9018421052631581E-2</v>
      </c>
      <c r="E66" s="782">
        <v>4.9496666666666661E-2</v>
      </c>
      <c r="F66" s="783">
        <v>0.13652</v>
      </c>
    </row>
    <row r="67" spans="1:6" s="784" customFormat="1">
      <c r="A67" s="780" t="s">
        <v>737</v>
      </c>
      <c r="B67" s="781">
        <v>7</v>
      </c>
      <c r="C67" s="782">
        <v>0.26350000000000001</v>
      </c>
      <c r="D67" s="782">
        <v>6.9949999999999998E-2</v>
      </c>
      <c r="E67" s="782">
        <v>0.06</v>
      </c>
      <c r="F67" s="783">
        <v>-2.0899999999999998E-2</v>
      </c>
    </row>
    <row r="68" spans="1:6" s="784" customFormat="1">
      <c r="A68" s="780" t="s">
        <v>738</v>
      </c>
      <c r="B68" s="781">
        <v>48</v>
      </c>
      <c r="C68" s="782">
        <v>7.8661515151515149E-2</v>
      </c>
      <c r="D68" s="782">
        <v>6.4126904761904746E-2</v>
      </c>
      <c r="E68" s="782">
        <v>3.7984871794871811E-2</v>
      </c>
      <c r="F68" s="783">
        <v>7.2288888888888889E-2</v>
      </c>
    </row>
    <row r="69" spans="1:6" s="784" customFormat="1">
      <c r="A69" s="780" t="s">
        <v>739</v>
      </c>
      <c r="B69" s="781">
        <v>74</v>
      </c>
      <c r="C69" s="782">
        <v>0.23591999999999999</v>
      </c>
      <c r="D69" s="782">
        <v>3.7385714285714321E-2</v>
      </c>
      <c r="E69" s="782">
        <v>9.6145454545454416E-3</v>
      </c>
      <c r="F69" s="783">
        <v>3.3333333333333333E-2</v>
      </c>
    </row>
    <row r="70" spans="1:6" s="784" customFormat="1">
      <c r="A70" s="780" t="s">
        <v>740</v>
      </c>
      <c r="B70" s="781">
        <v>20</v>
      </c>
      <c r="C70" s="782">
        <v>4.596666666666667E-2</v>
      </c>
      <c r="D70" s="782">
        <v>3.3178571428571425E-2</v>
      </c>
      <c r="E70" s="782">
        <v>9.6000000000000002E-2</v>
      </c>
      <c r="F70" s="783">
        <v>9.98E-2</v>
      </c>
    </row>
    <row r="71" spans="1:6" s="784" customFormat="1">
      <c r="A71" s="780" t="s">
        <v>741</v>
      </c>
      <c r="B71" s="781">
        <v>223</v>
      </c>
      <c r="C71" s="782">
        <v>0.11296355555555562</v>
      </c>
      <c r="D71" s="782">
        <v>9.5720324324324327E-2</v>
      </c>
      <c r="E71" s="782">
        <v>0.12692231578947358</v>
      </c>
      <c r="F71" s="783">
        <v>0.11285918181818183</v>
      </c>
    </row>
    <row r="72" spans="1:6" s="784" customFormat="1">
      <c r="A72" s="780" t="s">
        <v>742</v>
      </c>
      <c r="B72" s="781">
        <v>18</v>
      </c>
      <c r="C72" s="782">
        <v>0.39349999999999996</v>
      </c>
      <c r="D72" s="782">
        <v>0.10161666666666665</v>
      </c>
      <c r="E72" s="782">
        <v>0.95046666666666646</v>
      </c>
      <c r="F72" s="783" t="e">
        <v>#DIV/0!</v>
      </c>
    </row>
    <row r="73" spans="1:6" s="784" customFormat="1">
      <c r="A73" s="780" t="s">
        <v>743</v>
      </c>
      <c r="B73" s="781">
        <v>12</v>
      </c>
      <c r="C73" s="782">
        <v>0.10715</v>
      </c>
      <c r="D73" s="782">
        <v>8.7419999999999998E-2</v>
      </c>
      <c r="E73" s="782">
        <v>9.0000000000000011E-3</v>
      </c>
      <c r="F73" s="783" t="e">
        <v>#DIV/0!</v>
      </c>
    </row>
    <row r="74" spans="1:6" s="784" customFormat="1">
      <c r="A74" s="780" t="s">
        <v>744</v>
      </c>
      <c r="B74" s="781">
        <v>60</v>
      </c>
      <c r="C74" s="782">
        <v>4.2789999999999981E-2</v>
      </c>
      <c r="D74" s="782">
        <v>0.16003758620689656</v>
      </c>
      <c r="E74" s="782">
        <v>5.1038888888888891E-2</v>
      </c>
      <c r="F74" s="783">
        <v>7.8333333333333324E-2</v>
      </c>
    </row>
    <row r="75" spans="1:6" s="784" customFormat="1">
      <c r="A75" s="780" t="s">
        <v>745</v>
      </c>
      <c r="B75" s="781">
        <v>57</v>
      </c>
      <c r="C75" s="782">
        <v>0.10984117647058823</v>
      </c>
      <c r="D75" s="782">
        <v>7.7886923076923062E-2</v>
      </c>
      <c r="E75" s="782">
        <v>7.0694687500000006E-2</v>
      </c>
      <c r="F75" s="783">
        <v>0.13516363636363635</v>
      </c>
    </row>
    <row r="76" spans="1:6" s="784" customFormat="1">
      <c r="A76" s="780" t="s">
        <v>746</v>
      </c>
      <c r="B76" s="781">
        <v>1</v>
      </c>
      <c r="C76" s="782">
        <v>-6.2800000000000009E-2</v>
      </c>
      <c r="D76" s="782">
        <v>5.6299999999999996E-2</v>
      </c>
      <c r="E76" s="782">
        <v>1.72E-2</v>
      </c>
      <c r="F76" s="783" t="e">
        <v>#DIV/0!</v>
      </c>
    </row>
    <row r="77" spans="1:6" s="784" customFormat="1">
      <c r="A77" s="780" t="s">
        <v>747</v>
      </c>
      <c r="B77" s="781">
        <v>70</v>
      </c>
      <c r="C77" s="782">
        <v>7.0419259259259265E-2</v>
      </c>
      <c r="D77" s="782">
        <v>6.2767619047619044E-2</v>
      </c>
      <c r="E77" s="782">
        <v>0.15182820512820516</v>
      </c>
      <c r="F77" s="783">
        <v>0.11153600000000001</v>
      </c>
    </row>
    <row r="78" spans="1:6" s="784" customFormat="1">
      <c r="A78" s="780" t="s">
        <v>748</v>
      </c>
      <c r="B78" s="781">
        <v>30</v>
      </c>
      <c r="C78" s="782">
        <v>0.25143333333333334</v>
      </c>
      <c r="D78" s="782">
        <v>0.17119444444444448</v>
      </c>
      <c r="E78" s="782">
        <v>0.15070304347826086</v>
      </c>
      <c r="F78" s="783">
        <v>0.14008933333333334</v>
      </c>
    </row>
    <row r="79" spans="1:6" s="784" customFormat="1">
      <c r="A79" s="780" t="s">
        <v>749</v>
      </c>
      <c r="B79" s="781">
        <v>15</v>
      </c>
      <c r="C79" s="782">
        <v>0.28625000000000006</v>
      </c>
      <c r="D79" s="782">
        <v>0.13023333333333334</v>
      </c>
      <c r="E79" s="782">
        <v>1.5692857142857137E-2</v>
      </c>
      <c r="F79" s="783">
        <v>9.4651999999999986E-2</v>
      </c>
    </row>
    <row r="80" spans="1:6" s="784" customFormat="1">
      <c r="A80" s="780" t="s">
        <v>750</v>
      </c>
      <c r="B80" s="781">
        <v>69</v>
      </c>
      <c r="C80" s="782">
        <v>0.30973793103448277</v>
      </c>
      <c r="D80" s="782">
        <v>7.3269285714285717E-2</v>
      </c>
      <c r="E80" s="782">
        <v>0.10141500000000002</v>
      </c>
      <c r="F80" s="783">
        <v>0.16125</v>
      </c>
    </row>
    <row r="81" spans="1:6" s="784" customFormat="1">
      <c r="A81" s="780" t="s">
        <v>751</v>
      </c>
      <c r="B81" s="781">
        <v>15</v>
      </c>
      <c r="C81" s="782">
        <v>9.2018181818181818E-2</v>
      </c>
      <c r="D81" s="782">
        <v>4.3181538461538473E-2</v>
      </c>
      <c r="E81" s="782">
        <v>4.6272142857142859E-2</v>
      </c>
      <c r="F81" s="783">
        <v>3.8890000000000015E-2</v>
      </c>
    </row>
    <row r="82" spans="1:6" s="784" customFormat="1">
      <c r="A82" s="780" t="s">
        <v>752</v>
      </c>
      <c r="B82" s="781">
        <v>13</v>
      </c>
      <c r="C82" s="782">
        <v>0.17587142857142857</v>
      </c>
      <c r="D82" s="782">
        <v>4.9611111111111106E-2</v>
      </c>
      <c r="E82" s="782">
        <v>6.0283333333333335E-2</v>
      </c>
      <c r="F82" s="783">
        <v>0.11055999999999999</v>
      </c>
    </row>
    <row r="83" spans="1:6" s="784" customFormat="1">
      <c r="A83" s="780" t="s">
        <v>753</v>
      </c>
      <c r="B83" s="781">
        <v>63</v>
      </c>
      <c r="C83" s="782">
        <v>-0.2217833333333333</v>
      </c>
      <c r="D83" s="782">
        <v>0.20712521739130429</v>
      </c>
      <c r="E83" s="782">
        <v>7.0557000000000009E-2</v>
      </c>
      <c r="F83" s="783">
        <v>0.11249363636363635</v>
      </c>
    </row>
    <row r="84" spans="1:6" s="784" customFormat="1">
      <c r="A84" s="780" t="s">
        <v>754</v>
      </c>
      <c r="B84" s="781">
        <v>78</v>
      </c>
      <c r="C84" s="782">
        <v>0.15264542857142857</v>
      </c>
      <c r="D84" s="782">
        <v>0.13322980769230772</v>
      </c>
      <c r="E84" s="782">
        <v>2.0290370370370372E-2</v>
      </c>
      <c r="F84" s="783">
        <v>8.1696666666666681E-2</v>
      </c>
    </row>
    <row r="85" spans="1:6" s="784" customFormat="1">
      <c r="A85" s="780" t="s">
        <v>755</v>
      </c>
      <c r="B85" s="781">
        <v>3</v>
      </c>
      <c r="C85" s="782">
        <v>0.31925000000000003</v>
      </c>
      <c r="D85" s="782">
        <v>0.12423333333333333</v>
      </c>
      <c r="E85" s="782">
        <v>0.10800000000000001</v>
      </c>
      <c r="F85" s="783">
        <v>2.0099999999999996E-2</v>
      </c>
    </row>
    <row r="86" spans="1:6" s="784" customFormat="1">
      <c r="A86" s="780" t="s">
        <v>756</v>
      </c>
      <c r="B86" s="781">
        <v>68</v>
      </c>
      <c r="C86" s="782">
        <v>0.26110608695652171</v>
      </c>
      <c r="D86" s="782">
        <v>8.8798913043478242E-2</v>
      </c>
      <c r="E86" s="782">
        <v>0.16620333333333334</v>
      </c>
      <c r="F86" s="783">
        <v>0.1615536363636364</v>
      </c>
    </row>
    <row r="87" spans="1:6" s="784" customFormat="1">
      <c r="A87" s="780" t="s">
        <v>757</v>
      </c>
      <c r="B87" s="781">
        <v>30</v>
      </c>
      <c r="C87" s="782">
        <v>0.22156842105263164</v>
      </c>
      <c r="D87" s="782">
        <v>0.15696923076923081</v>
      </c>
      <c r="E87" s="782">
        <v>0.11841954545454546</v>
      </c>
      <c r="F87" s="783">
        <v>0.17283571428571434</v>
      </c>
    </row>
    <row r="88" spans="1:6" s="784" customFormat="1">
      <c r="A88" s="780" t="s">
        <v>758</v>
      </c>
      <c r="B88" s="781">
        <v>8</v>
      </c>
      <c r="C88" s="782">
        <v>0.51389999999999991</v>
      </c>
      <c r="D88" s="782">
        <v>0.15536666666666668</v>
      </c>
      <c r="E88" s="782">
        <v>-2.3280000000000002E-2</v>
      </c>
      <c r="F88" s="783">
        <v>0.12</v>
      </c>
    </row>
    <row r="89" spans="1:6" s="784" customFormat="1">
      <c r="A89" s="780" t="s">
        <v>759</v>
      </c>
      <c r="B89" s="781">
        <v>13</v>
      </c>
      <c r="C89" s="782">
        <v>0.28017142857142863</v>
      </c>
      <c r="D89" s="782">
        <v>0.11900000000000001</v>
      </c>
      <c r="E89" s="782">
        <v>0.12089999999999999</v>
      </c>
      <c r="F89" s="783">
        <v>8.3066666666666664E-2</v>
      </c>
    </row>
    <row r="90" spans="1:6" s="784" customFormat="1">
      <c r="A90" s="780" t="s">
        <v>760</v>
      </c>
      <c r="B90" s="781">
        <v>91</v>
      </c>
      <c r="C90" s="782">
        <v>1.9499999999999993E-2</v>
      </c>
      <c r="D90" s="782">
        <v>0.30379758620689651</v>
      </c>
      <c r="E90" s="782">
        <v>0.1968928947368421</v>
      </c>
      <c r="F90" s="783">
        <v>0.23587333333333332</v>
      </c>
    </row>
    <row r="91" spans="1:6" s="784" customFormat="1">
      <c r="A91" s="780" t="s">
        <v>761</v>
      </c>
      <c r="B91" s="781">
        <v>33</v>
      </c>
      <c r="C91" s="782">
        <v>0.25666666666666665</v>
      </c>
      <c r="D91" s="782">
        <v>0.25942999999999999</v>
      </c>
      <c r="E91" s="782">
        <v>0.21680949999999996</v>
      </c>
      <c r="F91" s="783">
        <v>0.96450000000000002</v>
      </c>
    </row>
    <row r="92" spans="1:6" s="784" customFormat="1">
      <c r="A92" s="780" t="s">
        <v>762</v>
      </c>
      <c r="B92" s="781">
        <v>390</v>
      </c>
      <c r="C92" s="782">
        <v>0.22168918918918926</v>
      </c>
      <c r="D92" s="782">
        <v>0.201011923076923</v>
      </c>
      <c r="E92" s="782">
        <v>0.22491209999999992</v>
      </c>
      <c r="F92" s="783">
        <v>0.2045827586206897</v>
      </c>
    </row>
    <row r="93" spans="1:6" s="784" customFormat="1">
      <c r="A93" s="780" t="s">
        <v>763</v>
      </c>
      <c r="B93" s="781">
        <v>28</v>
      </c>
      <c r="C93" s="782">
        <v>0.56846874999999997</v>
      </c>
      <c r="D93" s="782">
        <v>0.1520936</v>
      </c>
      <c r="E93" s="782">
        <v>4.2701052631578945E-2</v>
      </c>
      <c r="F93" s="783">
        <v>0.2</v>
      </c>
    </row>
    <row r="94" spans="1:6" s="784" customFormat="1">
      <c r="A94" s="780" t="s">
        <v>764</v>
      </c>
      <c r="B94" s="781">
        <v>16</v>
      </c>
      <c r="C94" s="782">
        <v>-7.1099999999999997E-2</v>
      </c>
      <c r="D94" s="782">
        <v>0.1849777777777778</v>
      </c>
      <c r="E94" s="782">
        <v>0.19273857142857143</v>
      </c>
      <c r="F94" s="783">
        <v>0.2505</v>
      </c>
    </row>
    <row r="95" spans="1:6" s="784" customFormat="1">
      <c r="A95" s="780" t="s">
        <v>765</v>
      </c>
      <c r="B95" s="781">
        <v>79</v>
      </c>
      <c r="C95" s="782">
        <v>0.10047142857142857</v>
      </c>
      <c r="D95" s="782">
        <v>3.5115849056603768E-2</v>
      </c>
      <c r="E95" s="782">
        <v>0.14844099999999996</v>
      </c>
      <c r="F95" s="783">
        <v>0.15289473684210531</v>
      </c>
    </row>
    <row r="96" spans="1:6" s="784" customFormat="1">
      <c r="A96" s="780" t="s">
        <v>766</v>
      </c>
      <c r="B96" s="781">
        <v>49</v>
      </c>
      <c r="C96" s="782">
        <v>0.20716666666666669</v>
      </c>
      <c r="D96" s="782">
        <v>0.1681304347826087</v>
      </c>
      <c r="E96" s="782">
        <v>0.23482666666666666</v>
      </c>
      <c r="F96" s="783">
        <v>1.8564285714285717E-2</v>
      </c>
    </row>
    <row r="97" spans="1:10" s="784" customFormat="1">
      <c r="A97" s="780" t="s">
        <v>767</v>
      </c>
      <c r="B97" s="781">
        <v>15</v>
      </c>
      <c r="C97" s="782">
        <v>1.7019999999999993E-2</v>
      </c>
      <c r="D97" s="782">
        <v>5.765E-2</v>
      </c>
      <c r="E97" s="782">
        <v>0.175344</v>
      </c>
      <c r="F97" s="783">
        <v>0.1522</v>
      </c>
    </row>
    <row r="98" spans="1:10" s="784" customFormat="1">
      <c r="A98" s="780" t="s">
        <v>768</v>
      </c>
      <c r="B98" s="781">
        <v>18</v>
      </c>
      <c r="C98" s="782">
        <v>0.24561111111111111</v>
      </c>
      <c r="D98" s="782">
        <v>0.14991818181818178</v>
      </c>
      <c r="E98" s="782">
        <v>0.11607699999999999</v>
      </c>
      <c r="F98" s="783">
        <v>7.718333333333334E-2</v>
      </c>
    </row>
    <row r="99" spans="1:10" s="784" customFormat="1">
      <c r="A99" s="780" t="s">
        <v>769</v>
      </c>
      <c r="B99" s="781">
        <v>4</v>
      </c>
      <c r="C99" s="782">
        <v>0.12926666666666667</v>
      </c>
      <c r="D99" s="782">
        <v>3.783333333333333E-2</v>
      </c>
      <c r="E99" s="782">
        <v>7.7000000000000013E-2</v>
      </c>
      <c r="F99" s="783">
        <v>9.5799999999999996E-2</v>
      </c>
    </row>
    <row r="100" spans="1:10" s="784" customFormat="1">
      <c r="A100" s="780" t="s">
        <v>770</v>
      </c>
      <c r="B100" s="781">
        <v>35</v>
      </c>
      <c r="C100" s="782">
        <v>0.44055555555555548</v>
      </c>
      <c r="D100" s="782">
        <v>0.14159818181818185</v>
      </c>
      <c r="E100" s="782">
        <v>0.16758800000000001</v>
      </c>
      <c r="F100" s="783">
        <v>0.22229230769230762</v>
      </c>
    </row>
    <row r="101" spans="1:10" s="784" customFormat="1">
      <c r="A101" s="780" t="s">
        <v>771</v>
      </c>
      <c r="B101" s="781">
        <v>15</v>
      </c>
      <c r="C101" s="782">
        <v>0.10420533333333333</v>
      </c>
      <c r="D101" s="782">
        <v>4.0473333333333326E-2</v>
      </c>
      <c r="E101" s="782">
        <v>4.284466666666667E-2</v>
      </c>
      <c r="F101" s="783">
        <v>6.1039999999999997E-2</v>
      </c>
    </row>
    <row r="102" spans="1:10" s="785" customFormat="1">
      <c r="A102" s="780" t="s">
        <v>772</v>
      </c>
      <c r="B102" s="781">
        <v>16</v>
      </c>
      <c r="C102" s="782">
        <v>0.10621111111111112</v>
      </c>
      <c r="D102" s="782">
        <v>0.14351818181818179</v>
      </c>
      <c r="E102" s="782">
        <v>6.0477777777777776E-2</v>
      </c>
      <c r="F102" s="783">
        <v>8.1899999999999987E-2</v>
      </c>
      <c r="G102" s="784"/>
      <c r="H102" s="784"/>
      <c r="I102" s="784"/>
      <c r="J102" s="784"/>
    </row>
    <row r="103" spans="1:10" s="785" customFormat="1">
      <c r="A103" s="780" t="s">
        <v>773</v>
      </c>
      <c r="B103" s="781">
        <v>7165</v>
      </c>
      <c r="C103" s="782">
        <v>0.17003972249752233</v>
      </c>
      <c r="D103" s="782">
        <v>0.13899000000000014</v>
      </c>
      <c r="E103" s="782">
        <v>0.31780260559190893</v>
      </c>
      <c r="F103" s="783">
        <v>0.1305179419889502</v>
      </c>
    </row>
    <row r="104" spans="1:10" s="785" customFormat="1">
      <c r="A104" s="786" t="s">
        <v>774</v>
      </c>
      <c r="B104" s="787">
        <v>5649</v>
      </c>
      <c r="C104" s="788">
        <v>0.17808674788026521</v>
      </c>
      <c r="D104" s="788">
        <v>0.1480667032418195</v>
      </c>
      <c r="E104" s="788">
        <v>0.3777182874590328</v>
      </c>
      <c r="F104" s="789">
        <v>0.14056901101708197</v>
      </c>
    </row>
  </sheetData>
  <mergeCells count="8">
    <mergeCell ref="B6:G6"/>
    <mergeCell ref="B7:G7"/>
    <mergeCell ref="B1:G1"/>
    <mergeCell ref="B2:G2"/>
    <mergeCell ref="B3:E3"/>
    <mergeCell ref="F3:G3"/>
    <mergeCell ref="B4:G4"/>
    <mergeCell ref="B5:G5"/>
  </mergeCells>
  <hyperlinks>
    <hyperlink ref="B2" r:id="rId1" xr:uid="{18E7FF78-2B5F-4440-B628-291E82C79597}"/>
    <hyperlink ref="B4" r:id="rId2" xr:uid="{D2CD5AF2-1715-1C42-9AB3-BC3E9ACE77AB}"/>
    <hyperlink ref="B5" r:id="rId3" display="http://www.stern.nyu.edu/~adamodar/New_Home_Page/data.html" xr:uid="{AD9EAFA6-3E84-D740-89EC-1771C68FE533}"/>
    <hyperlink ref="B6" r:id="rId4" display="http://www.stern.nyu.edu/~adamodar/pc/datasets/indname.xls" xr:uid="{5F569AC3-3189-894E-A071-2B485A5569BA}"/>
    <hyperlink ref="B7" r:id="rId5" display="http://www.stern.nyu.edu/~adamodar/New_Home_Page/datafile/variable.htm" xr:uid="{F48083E7-5F43-F741-8594-BEF259B8ACA4}"/>
  </hyperlinks>
  <pageMargins left="0.75" right="0.75" top="1" bottom="1" header="0.5" footer="0.5"/>
  <pageSetup orientation="portrait" horizontalDpi="4294967292" verticalDpi="4294967292"/>
  <headerFooter alignWithMargins="0"/>
  <tableParts count="1">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95"/>
  <cols>
    <col min="1" max="9" width="0" hidden="1" customWidth="1"/>
    <col min="11" max="11" width="21.85546875" bestFit="1" customWidth="1"/>
  </cols>
  <sheetData>
    <row r="2" spans="2:27">
      <c r="E2" s="11" t="s">
        <v>775</v>
      </c>
      <c r="F2" s="11" t="s">
        <v>776</v>
      </c>
      <c r="H2" s="11" t="s">
        <v>345</v>
      </c>
      <c r="K2" s="1157" t="s">
        <v>775</v>
      </c>
      <c r="L2" s="1159" t="s">
        <v>777</v>
      </c>
      <c r="M2" s="1160"/>
      <c r="N2" s="1160"/>
      <c r="O2" s="1160"/>
      <c r="P2" s="1161"/>
      <c r="Q2" s="1160" t="s">
        <v>311</v>
      </c>
      <c r="R2" s="1160"/>
      <c r="S2" s="1160"/>
      <c r="T2" s="1160"/>
      <c r="U2" s="1160"/>
      <c r="V2" s="1160"/>
      <c r="W2" s="1160"/>
      <c r="X2" s="1160"/>
      <c r="Y2" s="1160"/>
      <c r="Z2" s="1160"/>
      <c r="AA2" s="1161"/>
    </row>
    <row r="3" spans="2:27">
      <c r="E3" t="s">
        <v>778</v>
      </c>
      <c r="F3" t="s">
        <v>779</v>
      </c>
      <c r="H3" s="11" t="s">
        <v>296</v>
      </c>
      <c r="K3" s="1158"/>
      <c r="L3" s="87" t="s">
        <v>780</v>
      </c>
      <c r="M3" s="106" t="s">
        <v>781</v>
      </c>
      <c r="N3" s="106" t="s">
        <v>782</v>
      </c>
      <c r="O3" s="106" t="s">
        <v>783</v>
      </c>
      <c r="P3" s="107" t="s">
        <v>784</v>
      </c>
      <c r="Q3" s="106" t="s">
        <v>785</v>
      </c>
      <c r="R3" s="106" t="s">
        <v>786</v>
      </c>
      <c r="S3" s="106" t="s">
        <v>317</v>
      </c>
      <c r="T3" s="106" t="s">
        <v>787</v>
      </c>
      <c r="U3" s="106" t="s">
        <v>788</v>
      </c>
      <c r="V3" s="106" t="s">
        <v>789</v>
      </c>
      <c r="W3" s="106" t="s">
        <v>790</v>
      </c>
      <c r="X3" s="106" t="s">
        <v>791</v>
      </c>
      <c r="Y3" s="106" t="s">
        <v>792</v>
      </c>
      <c r="Z3" s="106" t="s">
        <v>793</v>
      </c>
      <c r="AA3" s="107" t="s">
        <v>335</v>
      </c>
    </row>
    <row r="4" spans="2:27">
      <c r="B4" s="88"/>
      <c r="E4" t="s">
        <v>778</v>
      </c>
      <c r="F4" t="s">
        <v>794</v>
      </c>
      <c r="H4" s="11" t="s">
        <v>351</v>
      </c>
      <c r="K4" s="108" t="s">
        <v>778</v>
      </c>
      <c r="L4" s="109" t="s">
        <v>345</v>
      </c>
      <c r="M4" t="s">
        <v>345</v>
      </c>
      <c r="N4" t="s">
        <v>296</v>
      </c>
      <c r="O4" t="s">
        <v>345</v>
      </c>
      <c r="P4" s="110" t="s">
        <v>345</v>
      </c>
      <c r="Q4" t="s">
        <v>296</v>
      </c>
      <c r="R4" t="s">
        <v>296</v>
      </c>
      <c r="S4" t="s">
        <v>345</v>
      </c>
      <c r="T4" t="s">
        <v>345</v>
      </c>
      <c r="U4" t="s">
        <v>351</v>
      </c>
      <c r="V4" t="s">
        <v>345</v>
      </c>
      <c r="W4" t="s">
        <v>345</v>
      </c>
      <c r="X4" t="s">
        <v>345</v>
      </c>
      <c r="Y4" t="s">
        <v>345</v>
      </c>
      <c r="Z4" t="s">
        <v>345</v>
      </c>
      <c r="AA4" s="110" t="s">
        <v>296</v>
      </c>
    </row>
    <row r="5" spans="2:27" ht="14.1">
      <c r="B5" s="102" t="s">
        <v>293</v>
      </c>
      <c r="E5" t="s">
        <v>778</v>
      </c>
      <c r="F5" t="s">
        <v>795</v>
      </c>
      <c r="H5" s="11" t="s">
        <v>796</v>
      </c>
      <c r="K5" s="108" t="s">
        <v>797</v>
      </c>
      <c r="L5" s="109" t="s">
        <v>345</v>
      </c>
      <c r="M5" t="s">
        <v>345</v>
      </c>
      <c r="N5" t="s">
        <v>296</v>
      </c>
      <c r="O5" t="s">
        <v>296</v>
      </c>
      <c r="P5" s="110" t="s">
        <v>345</v>
      </c>
      <c r="Q5" t="s">
        <v>296</v>
      </c>
      <c r="R5" t="s">
        <v>296</v>
      </c>
      <c r="S5" t="s">
        <v>345</v>
      </c>
      <c r="T5" t="s">
        <v>345</v>
      </c>
      <c r="U5" t="s">
        <v>296</v>
      </c>
      <c r="V5" t="s">
        <v>296</v>
      </c>
      <c r="W5" t="s">
        <v>296</v>
      </c>
      <c r="X5" t="s">
        <v>351</v>
      </c>
      <c r="Y5" t="s">
        <v>345</v>
      </c>
      <c r="Z5" t="s">
        <v>351</v>
      </c>
      <c r="AA5" s="110" t="s">
        <v>345</v>
      </c>
    </row>
    <row r="6" spans="2:27">
      <c r="B6" s="104" t="s">
        <v>798</v>
      </c>
      <c r="E6" t="s">
        <v>778</v>
      </c>
      <c r="F6" t="s">
        <v>799</v>
      </c>
      <c r="K6" s="108" t="s">
        <v>800</v>
      </c>
      <c r="L6" s="109" t="s">
        <v>351</v>
      </c>
      <c r="M6" t="s">
        <v>796</v>
      </c>
      <c r="N6" t="s">
        <v>351</v>
      </c>
      <c r="O6" t="s">
        <v>351</v>
      </c>
      <c r="P6" s="110" t="s">
        <v>351</v>
      </c>
      <c r="Q6" t="s">
        <v>296</v>
      </c>
      <c r="R6" t="s">
        <v>351</v>
      </c>
      <c r="S6" t="s">
        <v>351</v>
      </c>
      <c r="T6" t="s">
        <v>345</v>
      </c>
      <c r="U6" t="s">
        <v>296</v>
      </c>
      <c r="V6" t="s">
        <v>296</v>
      </c>
      <c r="W6" t="s">
        <v>345</v>
      </c>
      <c r="X6" t="s">
        <v>351</v>
      </c>
      <c r="Y6" t="s">
        <v>345</v>
      </c>
      <c r="Z6" t="s">
        <v>796</v>
      </c>
      <c r="AA6" s="110" t="s">
        <v>345</v>
      </c>
    </row>
    <row r="7" spans="2:27">
      <c r="B7" s="104" t="s">
        <v>801</v>
      </c>
      <c r="E7" t="s">
        <v>778</v>
      </c>
      <c r="F7" t="s">
        <v>689</v>
      </c>
      <c r="K7" s="108" t="s">
        <v>782</v>
      </c>
      <c r="L7" s="109" t="s">
        <v>796</v>
      </c>
      <c r="M7" t="s">
        <v>796</v>
      </c>
      <c r="N7" t="s">
        <v>296</v>
      </c>
      <c r="O7" t="s">
        <v>796</v>
      </c>
      <c r="P7" s="110" t="s">
        <v>351</v>
      </c>
      <c r="Q7" t="s">
        <v>351</v>
      </c>
      <c r="R7" t="s">
        <v>296</v>
      </c>
      <c r="S7" t="s">
        <v>296</v>
      </c>
      <c r="T7" t="s">
        <v>296</v>
      </c>
      <c r="U7" t="s">
        <v>296</v>
      </c>
      <c r="V7" t="s">
        <v>351</v>
      </c>
      <c r="W7" t="s">
        <v>296</v>
      </c>
      <c r="X7" t="s">
        <v>296</v>
      </c>
      <c r="Y7" t="s">
        <v>351</v>
      </c>
      <c r="Z7" t="s">
        <v>351</v>
      </c>
      <c r="AA7" s="110" t="s">
        <v>345</v>
      </c>
    </row>
    <row r="8" spans="2:27">
      <c r="B8" s="104"/>
      <c r="K8" s="108" t="s">
        <v>802</v>
      </c>
      <c r="L8" s="109" t="s">
        <v>345</v>
      </c>
      <c r="M8" t="s">
        <v>345</v>
      </c>
      <c r="N8" t="s">
        <v>345</v>
      </c>
      <c r="O8" t="s">
        <v>296</v>
      </c>
      <c r="P8" s="110" t="s">
        <v>296</v>
      </c>
      <c r="Q8" t="s">
        <v>345</v>
      </c>
      <c r="R8" t="s">
        <v>296</v>
      </c>
      <c r="S8" t="s">
        <v>296</v>
      </c>
      <c r="T8" t="s">
        <v>351</v>
      </c>
      <c r="U8" t="s">
        <v>296</v>
      </c>
      <c r="V8" t="s">
        <v>345</v>
      </c>
      <c r="W8" t="s">
        <v>345</v>
      </c>
      <c r="X8" t="s">
        <v>296</v>
      </c>
      <c r="Y8" t="s">
        <v>296</v>
      </c>
      <c r="Z8" t="s">
        <v>351</v>
      </c>
      <c r="AA8" s="110" t="s">
        <v>345</v>
      </c>
    </row>
    <row r="9" spans="2:27">
      <c r="B9" s="104" t="s">
        <v>301</v>
      </c>
      <c r="E9" t="s">
        <v>778</v>
      </c>
      <c r="F9" t="s">
        <v>803</v>
      </c>
      <c r="K9" s="108" t="s">
        <v>804</v>
      </c>
      <c r="L9" s="109" t="s">
        <v>345</v>
      </c>
      <c r="M9" t="s">
        <v>345</v>
      </c>
      <c r="N9" t="s">
        <v>345</v>
      </c>
      <c r="O9" t="s">
        <v>345</v>
      </c>
      <c r="P9" s="110" t="s">
        <v>345</v>
      </c>
      <c r="Q9" t="s">
        <v>345</v>
      </c>
      <c r="R9" t="s">
        <v>345</v>
      </c>
      <c r="S9" t="s">
        <v>296</v>
      </c>
      <c r="T9" t="s">
        <v>351</v>
      </c>
      <c r="U9" t="s">
        <v>296</v>
      </c>
      <c r="V9" t="s">
        <v>345</v>
      </c>
      <c r="W9" t="s">
        <v>345</v>
      </c>
      <c r="X9" t="s">
        <v>345</v>
      </c>
      <c r="Y9" t="s">
        <v>345</v>
      </c>
      <c r="Z9" t="s">
        <v>296</v>
      </c>
      <c r="AA9" s="110" t="s">
        <v>345</v>
      </c>
    </row>
    <row r="10" spans="2:27">
      <c r="B10" s="104"/>
      <c r="K10" s="108" t="s">
        <v>805</v>
      </c>
      <c r="L10" s="109" t="s">
        <v>345</v>
      </c>
      <c r="M10" t="s">
        <v>296</v>
      </c>
      <c r="N10" t="s">
        <v>345</v>
      </c>
      <c r="O10" t="s">
        <v>296</v>
      </c>
      <c r="P10" s="110" t="s">
        <v>351</v>
      </c>
      <c r="Q10" t="s">
        <v>345</v>
      </c>
      <c r="R10" t="s">
        <v>345</v>
      </c>
      <c r="S10" t="s">
        <v>345</v>
      </c>
      <c r="T10" t="s">
        <v>345</v>
      </c>
      <c r="U10" t="s">
        <v>345</v>
      </c>
      <c r="V10" t="s">
        <v>345</v>
      </c>
      <c r="W10" t="s">
        <v>345</v>
      </c>
      <c r="X10" t="s">
        <v>345</v>
      </c>
      <c r="Y10" t="s">
        <v>296</v>
      </c>
      <c r="Z10" t="s">
        <v>345</v>
      </c>
      <c r="AA10" s="110" t="s">
        <v>345</v>
      </c>
    </row>
    <row r="11" spans="2:27">
      <c r="B11" s="104" t="s">
        <v>305</v>
      </c>
      <c r="E11" t="s">
        <v>778</v>
      </c>
      <c r="F11" t="s">
        <v>679</v>
      </c>
      <c r="K11" s="108" t="s">
        <v>806</v>
      </c>
      <c r="L11" s="109" t="s">
        <v>345</v>
      </c>
      <c r="M11" t="s">
        <v>296</v>
      </c>
      <c r="N11" t="s">
        <v>345</v>
      </c>
      <c r="O11" t="s">
        <v>345</v>
      </c>
      <c r="P11" s="110" t="s">
        <v>345</v>
      </c>
      <c r="Q11" t="s">
        <v>345</v>
      </c>
      <c r="R11" t="s">
        <v>345</v>
      </c>
      <c r="S11" t="s">
        <v>296</v>
      </c>
      <c r="T11" t="s">
        <v>345</v>
      </c>
      <c r="U11" t="s">
        <v>351</v>
      </c>
      <c r="V11" t="s">
        <v>345</v>
      </c>
      <c r="W11" t="s">
        <v>345</v>
      </c>
      <c r="X11" t="s">
        <v>345</v>
      </c>
      <c r="Y11" t="s">
        <v>345</v>
      </c>
      <c r="Z11" t="s">
        <v>345</v>
      </c>
      <c r="AA11" s="110" t="s">
        <v>345</v>
      </c>
    </row>
    <row r="12" spans="2:27">
      <c r="B12" s="103" t="s">
        <v>807</v>
      </c>
      <c r="E12" t="s">
        <v>778</v>
      </c>
      <c r="F12" t="s">
        <v>808</v>
      </c>
      <c r="K12" s="108" t="s">
        <v>809</v>
      </c>
      <c r="L12" s="109" t="s">
        <v>796</v>
      </c>
      <c r="M12" t="s">
        <v>796</v>
      </c>
      <c r="N12" t="s">
        <v>796</v>
      </c>
      <c r="O12" t="s">
        <v>351</v>
      </c>
      <c r="P12" s="110" t="s">
        <v>351</v>
      </c>
      <c r="Q12" t="s">
        <v>345</v>
      </c>
      <c r="R12" t="s">
        <v>296</v>
      </c>
      <c r="S12" t="s">
        <v>351</v>
      </c>
      <c r="T12" t="s">
        <v>796</v>
      </c>
      <c r="U12" t="s">
        <v>296</v>
      </c>
      <c r="V12" t="s">
        <v>796</v>
      </c>
      <c r="W12" t="s">
        <v>296</v>
      </c>
      <c r="X12" t="s">
        <v>796</v>
      </c>
      <c r="Y12" t="s">
        <v>796</v>
      </c>
      <c r="Z12" t="s">
        <v>796</v>
      </c>
      <c r="AA12" s="110" t="s">
        <v>351</v>
      </c>
    </row>
    <row r="13" spans="2:27" ht="14.1">
      <c r="B13" s="102" t="s">
        <v>311</v>
      </c>
      <c r="E13" t="s">
        <v>778</v>
      </c>
      <c r="F13" t="s">
        <v>810</v>
      </c>
      <c r="K13" s="108" t="s">
        <v>279</v>
      </c>
      <c r="L13" s="109" t="s">
        <v>296</v>
      </c>
      <c r="M13" t="s">
        <v>345</v>
      </c>
      <c r="N13" t="s">
        <v>351</v>
      </c>
      <c r="O13" t="s">
        <v>345</v>
      </c>
      <c r="P13" s="110" t="s">
        <v>345</v>
      </c>
      <c r="Q13" t="s">
        <v>345</v>
      </c>
      <c r="R13" t="s">
        <v>345</v>
      </c>
      <c r="S13" t="s">
        <v>345</v>
      </c>
      <c r="T13" t="s">
        <v>345</v>
      </c>
      <c r="U13" t="s">
        <v>351</v>
      </c>
      <c r="V13" t="s">
        <v>345</v>
      </c>
      <c r="W13" t="s">
        <v>345</v>
      </c>
      <c r="X13" t="s">
        <v>345</v>
      </c>
      <c r="Y13" t="s">
        <v>345</v>
      </c>
      <c r="Z13" t="s">
        <v>296</v>
      </c>
      <c r="AA13" s="110" t="s">
        <v>796</v>
      </c>
    </row>
    <row r="14" spans="2:27">
      <c r="B14" s="92" t="s">
        <v>811</v>
      </c>
      <c r="E14" t="s">
        <v>778</v>
      </c>
      <c r="F14" t="s">
        <v>812</v>
      </c>
      <c r="K14" s="108" t="s">
        <v>813</v>
      </c>
      <c r="L14" s="109" t="s">
        <v>796</v>
      </c>
      <c r="M14" t="s">
        <v>796</v>
      </c>
      <c r="N14" t="s">
        <v>796</v>
      </c>
      <c r="O14" t="s">
        <v>796</v>
      </c>
      <c r="P14" s="110" t="s">
        <v>351</v>
      </c>
      <c r="Q14" t="s">
        <v>351</v>
      </c>
      <c r="R14" t="s">
        <v>351</v>
      </c>
      <c r="S14" t="s">
        <v>296</v>
      </c>
      <c r="T14" t="s">
        <v>351</v>
      </c>
      <c r="U14" t="s">
        <v>345</v>
      </c>
      <c r="V14" t="s">
        <v>796</v>
      </c>
      <c r="W14" t="s">
        <v>296</v>
      </c>
      <c r="X14" t="s">
        <v>296</v>
      </c>
      <c r="Y14" t="s">
        <v>796</v>
      </c>
      <c r="Z14" t="s">
        <v>351</v>
      </c>
      <c r="AA14" s="110" t="s">
        <v>296</v>
      </c>
    </row>
    <row r="15" spans="2:27">
      <c r="B15" s="92" t="s">
        <v>814</v>
      </c>
      <c r="E15" t="s">
        <v>797</v>
      </c>
      <c r="F15" t="s">
        <v>815</v>
      </c>
      <c r="K15" s="108" t="s">
        <v>816</v>
      </c>
      <c r="L15" s="109" t="s">
        <v>345</v>
      </c>
      <c r="M15" t="s">
        <v>345</v>
      </c>
      <c r="N15" t="s">
        <v>296</v>
      </c>
      <c r="O15" t="s">
        <v>345</v>
      </c>
      <c r="P15" s="110" t="s">
        <v>345</v>
      </c>
      <c r="Q15" t="s">
        <v>296</v>
      </c>
      <c r="R15" t="s">
        <v>345</v>
      </c>
      <c r="S15" t="s">
        <v>345</v>
      </c>
      <c r="T15" t="s">
        <v>345</v>
      </c>
      <c r="U15" t="s">
        <v>351</v>
      </c>
      <c r="V15" t="s">
        <v>345</v>
      </c>
      <c r="W15" t="s">
        <v>296</v>
      </c>
      <c r="X15" t="s">
        <v>345</v>
      </c>
      <c r="Y15" t="s">
        <v>296</v>
      </c>
      <c r="Z15" t="s">
        <v>345</v>
      </c>
      <c r="AA15" s="110" t="s">
        <v>345</v>
      </c>
    </row>
    <row r="16" spans="2:27">
      <c r="B16" s="95" t="s">
        <v>817</v>
      </c>
      <c r="E16" t="s">
        <v>797</v>
      </c>
      <c r="F16" t="s">
        <v>818</v>
      </c>
      <c r="K16" s="111" t="s">
        <v>819</v>
      </c>
      <c r="L16" s="112" t="s">
        <v>796</v>
      </c>
      <c r="M16" s="113" t="s">
        <v>351</v>
      </c>
      <c r="N16" s="113" t="s">
        <v>351</v>
      </c>
      <c r="O16" s="113" t="s">
        <v>296</v>
      </c>
      <c r="P16" s="114" t="s">
        <v>351</v>
      </c>
      <c r="Q16" s="113" t="s">
        <v>345</v>
      </c>
      <c r="R16" s="113" t="s">
        <v>296</v>
      </c>
      <c r="S16" s="113" t="s">
        <v>296</v>
      </c>
      <c r="T16" s="113" t="s">
        <v>345</v>
      </c>
      <c r="U16" s="113" t="s">
        <v>296</v>
      </c>
      <c r="V16" s="113" t="s">
        <v>296</v>
      </c>
      <c r="W16" s="113" t="s">
        <v>296</v>
      </c>
      <c r="X16" s="113" t="s">
        <v>296</v>
      </c>
      <c r="Y16" s="113" t="s">
        <v>345</v>
      </c>
      <c r="Z16" s="113" t="s">
        <v>296</v>
      </c>
      <c r="AA16" s="114" t="s">
        <v>345</v>
      </c>
    </row>
    <row r="17" spans="2:22">
      <c r="B17" s="95" t="s">
        <v>820</v>
      </c>
      <c r="E17" t="s">
        <v>797</v>
      </c>
      <c r="F17" t="s">
        <v>821</v>
      </c>
    </row>
    <row r="18" spans="2:22" hidden="1">
      <c r="B18" s="92" t="s">
        <v>822</v>
      </c>
      <c r="E18" t="s">
        <v>797</v>
      </c>
      <c r="F18" t="s">
        <v>823</v>
      </c>
    </row>
    <row r="19" spans="2:22" hidden="1">
      <c r="B19" s="92" t="s">
        <v>824</v>
      </c>
      <c r="E19" t="s">
        <v>797</v>
      </c>
      <c r="F19" t="s">
        <v>825</v>
      </c>
      <c r="L19" s="115" t="s">
        <v>778</v>
      </c>
      <c r="M19" s="116" t="s">
        <v>797</v>
      </c>
      <c r="N19" s="116" t="s">
        <v>800</v>
      </c>
      <c r="O19" s="116" t="s">
        <v>782</v>
      </c>
      <c r="P19" s="116" t="s">
        <v>804</v>
      </c>
      <c r="Q19" s="116" t="s">
        <v>806</v>
      </c>
      <c r="R19" s="116" t="s">
        <v>809</v>
      </c>
      <c r="S19" s="116" t="s">
        <v>279</v>
      </c>
      <c r="T19" s="116" t="s">
        <v>813</v>
      </c>
      <c r="U19" s="116" t="s">
        <v>816</v>
      </c>
      <c r="V19" s="117" t="s">
        <v>819</v>
      </c>
    </row>
    <row r="20" spans="2:22" hidden="1">
      <c r="B20" s="92" t="s">
        <v>328</v>
      </c>
      <c r="E20" t="s">
        <v>797</v>
      </c>
      <c r="F20" t="s">
        <v>826</v>
      </c>
      <c r="L20" s="109" t="s">
        <v>779</v>
      </c>
      <c r="M20" t="s">
        <v>815</v>
      </c>
      <c r="N20" t="s">
        <v>767</v>
      </c>
      <c r="O20" t="s">
        <v>827</v>
      </c>
      <c r="P20" t="s">
        <v>828</v>
      </c>
      <c r="Q20" t="s">
        <v>829</v>
      </c>
      <c r="R20" t="s">
        <v>830</v>
      </c>
      <c r="S20" t="s">
        <v>831</v>
      </c>
      <c r="T20" t="s">
        <v>832</v>
      </c>
      <c r="U20" t="s">
        <v>833</v>
      </c>
      <c r="V20" s="110" t="s">
        <v>834</v>
      </c>
    </row>
    <row r="21" spans="2:22" hidden="1">
      <c r="B21" s="92" t="s">
        <v>330</v>
      </c>
      <c r="E21" t="s">
        <v>797</v>
      </c>
      <c r="F21" t="s">
        <v>835</v>
      </c>
      <c r="L21" s="109" t="s">
        <v>794</v>
      </c>
      <c r="M21" t="s">
        <v>818</v>
      </c>
      <c r="N21" t="s">
        <v>836</v>
      </c>
      <c r="O21" t="s">
        <v>837</v>
      </c>
      <c r="P21" t="s">
        <v>838</v>
      </c>
      <c r="Q21" t="s">
        <v>839</v>
      </c>
      <c r="R21" t="s">
        <v>840</v>
      </c>
      <c r="S21" t="s">
        <v>841</v>
      </c>
      <c r="T21" t="s">
        <v>842</v>
      </c>
      <c r="U21" t="s">
        <v>843</v>
      </c>
      <c r="V21" s="110" t="s">
        <v>844</v>
      </c>
    </row>
    <row r="22" spans="2:22" hidden="1">
      <c r="B22" s="92" t="s">
        <v>332</v>
      </c>
      <c r="E22" t="s">
        <v>797</v>
      </c>
      <c r="F22" t="s">
        <v>720</v>
      </c>
      <c r="L22" s="109" t="s">
        <v>795</v>
      </c>
      <c r="M22" t="s">
        <v>821</v>
      </c>
      <c r="N22" t="s">
        <v>845</v>
      </c>
      <c r="O22" t="s">
        <v>846</v>
      </c>
      <c r="P22" t="s">
        <v>847</v>
      </c>
      <c r="Q22" t="s">
        <v>848</v>
      </c>
      <c r="R22" t="s">
        <v>849</v>
      </c>
      <c r="S22" t="s">
        <v>850</v>
      </c>
      <c r="T22" t="s">
        <v>851</v>
      </c>
      <c r="U22" t="s">
        <v>852</v>
      </c>
      <c r="V22" s="110" t="s">
        <v>853</v>
      </c>
    </row>
    <row r="23" spans="2:22" hidden="1">
      <c r="B23" s="92" t="s">
        <v>334</v>
      </c>
      <c r="E23" t="s">
        <v>797</v>
      </c>
      <c r="F23" t="s">
        <v>854</v>
      </c>
      <c r="L23" s="109" t="s">
        <v>799</v>
      </c>
      <c r="M23" t="s">
        <v>823</v>
      </c>
      <c r="N23" t="s">
        <v>855</v>
      </c>
      <c r="O23" t="s">
        <v>856</v>
      </c>
      <c r="P23" t="s">
        <v>857</v>
      </c>
      <c r="Q23" t="s">
        <v>858</v>
      </c>
      <c r="R23" t="s">
        <v>859</v>
      </c>
      <c r="S23" t="s">
        <v>860</v>
      </c>
      <c r="T23" t="s">
        <v>861</v>
      </c>
      <c r="U23" t="s">
        <v>862</v>
      </c>
      <c r="V23" s="110" t="s">
        <v>863</v>
      </c>
    </row>
    <row r="24" spans="2:22" hidden="1">
      <c r="B24" s="94" t="s">
        <v>335</v>
      </c>
      <c r="E24" t="s">
        <v>797</v>
      </c>
      <c r="F24" t="s">
        <v>864</v>
      </c>
      <c r="L24" s="109" t="s">
        <v>689</v>
      </c>
      <c r="M24" t="s">
        <v>825</v>
      </c>
      <c r="N24" t="s">
        <v>723</v>
      </c>
      <c r="O24" t="s">
        <v>865</v>
      </c>
      <c r="P24" t="s">
        <v>866</v>
      </c>
      <c r="Q24" t="s">
        <v>867</v>
      </c>
      <c r="R24" t="s">
        <v>868</v>
      </c>
      <c r="S24" t="s">
        <v>869</v>
      </c>
      <c r="T24" t="s">
        <v>870</v>
      </c>
      <c r="U24" t="s">
        <v>871</v>
      </c>
      <c r="V24" s="110" t="s">
        <v>872</v>
      </c>
    </row>
    <row r="25" spans="2:22" hidden="1">
      <c r="E25" t="s">
        <v>797</v>
      </c>
      <c r="F25" t="s">
        <v>873</v>
      </c>
      <c r="L25" s="109" t="s">
        <v>803</v>
      </c>
      <c r="M25" t="s">
        <v>826</v>
      </c>
      <c r="N25" t="s">
        <v>874</v>
      </c>
      <c r="P25" t="s">
        <v>875</v>
      </c>
      <c r="Q25" t="s">
        <v>876</v>
      </c>
      <c r="R25" t="s">
        <v>877</v>
      </c>
      <c r="S25" t="s">
        <v>878</v>
      </c>
      <c r="T25" t="s">
        <v>879</v>
      </c>
      <c r="U25" t="s">
        <v>880</v>
      </c>
      <c r="V25" s="110"/>
    </row>
    <row r="26" spans="2:22" hidden="1">
      <c r="E26" t="s">
        <v>797</v>
      </c>
      <c r="F26" t="s">
        <v>881</v>
      </c>
      <c r="L26" s="109" t="s">
        <v>679</v>
      </c>
      <c r="M26" t="s">
        <v>835</v>
      </c>
      <c r="N26" t="s">
        <v>882</v>
      </c>
      <c r="P26" t="s">
        <v>883</v>
      </c>
      <c r="Q26" t="s">
        <v>884</v>
      </c>
      <c r="R26" t="s">
        <v>885</v>
      </c>
      <c r="S26" t="s">
        <v>886</v>
      </c>
      <c r="T26" t="s">
        <v>887</v>
      </c>
      <c r="U26" t="s">
        <v>888</v>
      </c>
      <c r="V26" s="110"/>
    </row>
    <row r="27" spans="2:22" hidden="1">
      <c r="E27" t="s">
        <v>797</v>
      </c>
      <c r="F27" t="s">
        <v>889</v>
      </c>
      <c r="L27" s="109" t="s">
        <v>808</v>
      </c>
      <c r="M27" t="s">
        <v>720</v>
      </c>
      <c r="N27" t="s">
        <v>890</v>
      </c>
      <c r="P27" t="s">
        <v>891</v>
      </c>
      <c r="Q27" t="s">
        <v>892</v>
      </c>
      <c r="R27" t="s">
        <v>893</v>
      </c>
      <c r="S27" t="s">
        <v>894</v>
      </c>
      <c r="T27" t="s">
        <v>895</v>
      </c>
      <c r="U27" t="s">
        <v>896</v>
      </c>
      <c r="V27" s="110"/>
    </row>
    <row r="28" spans="2:22" hidden="1">
      <c r="E28" t="s">
        <v>797</v>
      </c>
      <c r="F28" t="s">
        <v>897</v>
      </c>
      <c r="L28" s="109" t="s">
        <v>810</v>
      </c>
      <c r="M28" t="s">
        <v>854</v>
      </c>
      <c r="N28" t="s">
        <v>898</v>
      </c>
      <c r="P28" t="s">
        <v>899</v>
      </c>
      <c r="Q28" t="s">
        <v>900</v>
      </c>
      <c r="R28" t="s">
        <v>901</v>
      </c>
      <c r="S28" t="s">
        <v>902</v>
      </c>
      <c r="T28" t="s">
        <v>903</v>
      </c>
      <c r="V28" s="110"/>
    </row>
    <row r="29" spans="2:22" hidden="1">
      <c r="E29" t="s">
        <v>797</v>
      </c>
      <c r="F29" t="s">
        <v>904</v>
      </c>
      <c r="L29" s="112" t="s">
        <v>812</v>
      </c>
      <c r="M29" s="113" t="s">
        <v>864</v>
      </c>
      <c r="N29" s="113" t="s">
        <v>905</v>
      </c>
      <c r="O29" s="113"/>
      <c r="P29" s="113" t="s">
        <v>906</v>
      </c>
      <c r="Q29" s="113" t="s">
        <v>907</v>
      </c>
      <c r="R29" s="113" t="s">
        <v>908</v>
      </c>
      <c r="S29" s="113" t="s">
        <v>909</v>
      </c>
      <c r="T29" s="113" t="s">
        <v>910</v>
      </c>
      <c r="U29" s="113"/>
      <c r="V29" s="114"/>
    </row>
    <row r="30" spans="2:22" hidden="1">
      <c r="E30" t="s">
        <v>797</v>
      </c>
      <c r="F30" t="s">
        <v>911</v>
      </c>
      <c r="M30" t="s">
        <v>873</v>
      </c>
      <c r="N30" t="s">
        <v>912</v>
      </c>
      <c r="P30" t="s">
        <v>913</v>
      </c>
      <c r="R30" t="s">
        <v>914</v>
      </c>
      <c r="S30" t="s">
        <v>915</v>
      </c>
      <c r="T30" t="s">
        <v>763</v>
      </c>
    </row>
    <row r="31" spans="2:22" hidden="1">
      <c r="E31" t="s">
        <v>797</v>
      </c>
      <c r="F31" t="s">
        <v>916</v>
      </c>
      <c r="M31" t="s">
        <v>881</v>
      </c>
      <c r="N31" t="s">
        <v>917</v>
      </c>
      <c r="P31" t="s">
        <v>746</v>
      </c>
      <c r="R31" t="s">
        <v>918</v>
      </c>
      <c r="S31" t="s">
        <v>919</v>
      </c>
    </row>
    <row r="32" spans="2:22" hidden="1">
      <c r="E32" t="s">
        <v>797</v>
      </c>
      <c r="F32" t="s">
        <v>920</v>
      </c>
      <c r="M32" t="s">
        <v>889</v>
      </c>
      <c r="P32" t="s">
        <v>921</v>
      </c>
      <c r="R32" t="s">
        <v>922</v>
      </c>
      <c r="S32" t="s">
        <v>923</v>
      </c>
    </row>
    <row r="33" spans="5:18" hidden="1">
      <c r="E33" t="s">
        <v>797</v>
      </c>
      <c r="F33" t="s">
        <v>924</v>
      </c>
      <c r="M33" t="s">
        <v>897</v>
      </c>
      <c r="R33" t="s">
        <v>770</v>
      </c>
    </row>
    <row r="34" spans="5:18" hidden="1">
      <c r="E34" t="s">
        <v>797</v>
      </c>
      <c r="F34" t="s">
        <v>925</v>
      </c>
      <c r="M34" t="s">
        <v>904</v>
      </c>
      <c r="R34" t="s">
        <v>926</v>
      </c>
    </row>
    <row r="35" spans="5:18" hidden="1">
      <c r="E35" t="s">
        <v>800</v>
      </c>
      <c r="F35" t="s">
        <v>767</v>
      </c>
      <c r="M35" t="s">
        <v>911</v>
      </c>
      <c r="R35" t="s">
        <v>927</v>
      </c>
    </row>
    <row r="36" spans="5:18" hidden="1">
      <c r="E36" t="s">
        <v>800</v>
      </c>
      <c r="F36" t="s">
        <v>836</v>
      </c>
      <c r="M36" t="s">
        <v>916</v>
      </c>
      <c r="R36" t="s">
        <v>928</v>
      </c>
    </row>
    <row r="37" spans="5:18" hidden="1">
      <c r="E37" t="s">
        <v>800</v>
      </c>
      <c r="F37" t="s">
        <v>845</v>
      </c>
      <c r="M37" t="s">
        <v>920</v>
      </c>
    </row>
    <row r="38" spans="5:18" hidden="1">
      <c r="E38" t="s">
        <v>800</v>
      </c>
      <c r="F38" t="s">
        <v>855</v>
      </c>
      <c r="M38" t="s">
        <v>924</v>
      </c>
    </row>
    <row r="39" spans="5:18" hidden="1">
      <c r="E39" t="s">
        <v>800</v>
      </c>
      <c r="F39" t="s">
        <v>723</v>
      </c>
      <c r="M39" t="s">
        <v>925</v>
      </c>
    </row>
    <row r="40" spans="5:18" hidden="1">
      <c r="E40" t="s">
        <v>800</v>
      </c>
      <c r="F40" t="s">
        <v>874</v>
      </c>
    </row>
    <row r="41" spans="5:18" hidden="1">
      <c r="E41" t="s">
        <v>800</v>
      </c>
      <c r="F41" t="s">
        <v>882</v>
      </c>
    </row>
    <row r="42" spans="5:18">
      <c r="E42" t="s">
        <v>800</v>
      </c>
      <c r="F42" t="s">
        <v>890</v>
      </c>
    </row>
    <row r="43" spans="5:18">
      <c r="E43" t="s">
        <v>800</v>
      </c>
      <c r="F43" t="s">
        <v>898</v>
      </c>
    </row>
    <row r="44" spans="5:18">
      <c r="E44" t="s">
        <v>800</v>
      </c>
      <c r="F44" t="s">
        <v>905</v>
      </c>
    </row>
    <row r="45" spans="5:18">
      <c r="E45" t="s">
        <v>800</v>
      </c>
      <c r="F45" t="s">
        <v>912</v>
      </c>
    </row>
    <row r="46" spans="5:18">
      <c r="E46" t="s">
        <v>800</v>
      </c>
      <c r="F46" t="s">
        <v>917</v>
      </c>
    </row>
    <row r="47" spans="5:18">
      <c r="E47" t="s">
        <v>782</v>
      </c>
      <c r="F47" t="s">
        <v>827</v>
      </c>
    </row>
    <row r="48" spans="5:18">
      <c r="E48" t="s">
        <v>782</v>
      </c>
      <c r="F48" t="s">
        <v>837</v>
      </c>
    </row>
    <row r="49" spans="5:6">
      <c r="E49" t="s">
        <v>782</v>
      </c>
      <c r="F49" t="s">
        <v>846</v>
      </c>
    </row>
    <row r="50" spans="5:6">
      <c r="E50" t="s">
        <v>782</v>
      </c>
      <c r="F50" t="s">
        <v>856</v>
      </c>
    </row>
    <row r="51" spans="5:6">
      <c r="E51" t="s">
        <v>782</v>
      </c>
      <c r="F51" t="s">
        <v>865</v>
      </c>
    </row>
    <row r="52" spans="5:6">
      <c r="E52" t="s">
        <v>804</v>
      </c>
      <c r="F52" t="s">
        <v>828</v>
      </c>
    </row>
    <row r="53" spans="5:6">
      <c r="E53" t="s">
        <v>804</v>
      </c>
      <c r="F53" t="s">
        <v>838</v>
      </c>
    </row>
    <row r="54" spans="5:6">
      <c r="E54" t="s">
        <v>804</v>
      </c>
      <c r="F54" t="s">
        <v>847</v>
      </c>
    </row>
    <row r="55" spans="5:6">
      <c r="E55" t="s">
        <v>804</v>
      </c>
      <c r="F55" t="s">
        <v>857</v>
      </c>
    </row>
    <row r="56" spans="5:6">
      <c r="E56" t="s">
        <v>804</v>
      </c>
      <c r="F56" t="s">
        <v>866</v>
      </c>
    </row>
    <row r="57" spans="5:6">
      <c r="E57" t="s">
        <v>804</v>
      </c>
      <c r="F57" t="s">
        <v>875</v>
      </c>
    </row>
    <row r="58" spans="5:6">
      <c r="E58" t="s">
        <v>804</v>
      </c>
      <c r="F58" t="s">
        <v>883</v>
      </c>
    </row>
    <row r="59" spans="5:6">
      <c r="E59" t="s">
        <v>804</v>
      </c>
      <c r="F59" t="s">
        <v>891</v>
      </c>
    </row>
    <row r="60" spans="5:6">
      <c r="E60" t="s">
        <v>804</v>
      </c>
      <c r="F60" t="s">
        <v>899</v>
      </c>
    </row>
    <row r="61" spans="5:6">
      <c r="E61" t="s">
        <v>804</v>
      </c>
      <c r="F61" t="s">
        <v>906</v>
      </c>
    </row>
    <row r="62" spans="5:6">
      <c r="E62" t="s">
        <v>804</v>
      </c>
      <c r="F62" t="s">
        <v>913</v>
      </c>
    </row>
    <row r="63" spans="5:6">
      <c r="E63" t="s">
        <v>804</v>
      </c>
      <c r="F63" t="s">
        <v>746</v>
      </c>
    </row>
    <row r="64" spans="5:6">
      <c r="E64" t="s">
        <v>804</v>
      </c>
      <c r="F64" t="s">
        <v>921</v>
      </c>
    </row>
    <row r="65" spans="5:6">
      <c r="E65" t="s">
        <v>806</v>
      </c>
      <c r="F65" t="s">
        <v>829</v>
      </c>
    </row>
    <row r="66" spans="5:6">
      <c r="E66" t="s">
        <v>806</v>
      </c>
      <c r="F66" t="s">
        <v>839</v>
      </c>
    </row>
    <row r="67" spans="5:6">
      <c r="E67" t="s">
        <v>806</v>
      </c>
      <c r="F67" t="s">
        <v>848</v>
      </c>
    </row>
    <row r="68" spans="5:6">
      <c r="E68" t="s">
        <v>806</v>
      </c>
      <c r="F68" t="s">
        <v>858</v>
      </c>
    </row>
    <row r="69" spans="5:6">
      <c r="E69" t="s">
        <v>806</v>
      </c>
      <c r="F69" t="s">
        <v>867</v>
      </c>
    </row>
    <row r="70" spans="5:6">
      <c r="E70" t="s">
        <v>806</v>
      </c>
      <c r="F70" t="s">
        <v>876</v>
      </c>
    </row>
    <row r="71" spans="5:6">
      <c r="E71" t="s">
        <v>806</v>
      </c>
      <c r="F71" t="s">
        <v>884</v>
      </c>
    </row>
    <row r="72" spans="5:6">
      <c r="E72" t="s">
        <v>806</v>
      </c>
      <c r="F72" t="s">
        <v>892</v>
      </c>
    </row>
    <row r="73" spans="5:6">
      <c r="E73" t="s">
        <v>806</v>
      </c>
      <c r="F73" t="s">
        <v>900</v>
      </c>
    </row>
    <row r="74" spans="5:6">
      <c r="E74" t="s">
        <v>806</v>
      </c>
      <c r="F74" t="s">
        <v>907</v>
      </c>
    </row>
    <row r="75" spans="5:6">
      <c r="E75" t="s">
        <v>809</v>
      </c>
      <c r="F75" t="s">
        <v>830</v>
      </c>
    </row>
    <row r="76" spans="5:6">
      <c r="E76" t="s">
        <v>809</v>
      </c>
      <c r="F76" t="s">
        <v>840</v>
      </c>
    </row>
    <row r="77" spans="5:6">
      <c r="E77" t="s">
        <v>809</v>
      </c>
      <c r="F77" t="s">
        <v>849</v>
      </c>
    </row>
    <row r="78" spans="5:6">
      <c r="E78" t="s">
        <v>809</v>
      </c>
      <c r="F78" t="s">
        <v>859</v>
      </c>
    </row>
    <row r="79" spans="5:6">
      <c r="E79" t="s">
        <v>809</v>
      </c>
      <c r="F79" t="s">
        <v>868</v>
      </c>
    </row>
    <row r="80" spans="5:6">
      <c r="E80" t="s">
        <v>809</v>
      </c>
      <c r="F80" t="s">
        <v>877</v>
      </c>
    </row>
    <row r="81" spans="5:6">
      <c r="E81" t="s">
        <v>809</v>
      </c>
      <c r="F81" t="s">
        <v>885</v>
      </c>
    </row>
    <row r="82" spans="5:6">
      <c r="E82" t="s">
        <v>809</v>
      </c>
      <c r="F82" t="s">
        <v>893</v>
      </c>
    </row>
    <row r="83" spans="5:6">
      <c r="E83" t="s">
        <v>809</v>
      </c>
      <c r="F83" t="s">
        <v>901</v>
      </c>
    </row>
    <row r="84" spans="5:6">
      <c r="E84" t="s">
        <v>809</v>
      </c>
      <c r="F84" t="s">
        <v>908</v>
      </c>
    </row>
    <row r="85" spans="5:6">
      <c r="E85" t="s">
        <v>809</v>
      </c>
      <c r="F85" t="s">
        <v>914</v>
      </c>
    </row>
    <row r="86" spans="5:6">
      <c r="E86" t="s">
        <v>809</v>
      </c>
      <c r="F86" t="s">
        <v>918</v>
      </c>
    </row>
    <row r="87" spans="5:6">
      <c r="E87" t="s">
        <v>809</v>
      </c>
      <c r="F87" t="s">
        <v>922</v>
      </c>
    </row>
    <row r="88" spans="5:6">
      <c r="E88" t="s">
        <v>809</v>
      </c>
      <c r="F88" t="s">
        <v>770</v>
      </c>
    </row>
    <row r="89" spans="5:6">
      <c r="E89" t="s">
        <v>809</v>
      </c>
      <c r="F89" t="s">
        <v>926</v>
      </c>
    </row>
    <row r="90" spans="5:6">
      <c r="E90" t="s">
        <v>809</v>
      </c>
      <c r="F90" t="s">
        <v>927</v>
      </c>
    </row>
    <row r="91" spans="5:6">
      <c r="E91" t="s">
        <v>809</v>
      </c>
      <c r="F91" t="s">
        <v>928</v>
      </c>
    </row>
    <row r="92" spans="5:6">
      <c r="E92" t="s">
        <v>279</v>
      </c>
      <c r="F92" t="s">
        <v>831</v>
      </c>
    </row>
    <row r="93" spans="5:6">
      <c r="E93" t="s">
        <v>279</v>
      </c>
      <c r="F93" t="s">
        <v>841</v>
      </c>
    </row>
    <row r="94" spans="5:6">
      <c r="E94" t="s">
        <v>279</v>
      </c>
      <c r="F94" t="s">
        <v>850</v>
      </c>
    </row>
    <row r="95" spans="5:6">
      <c r="E95" t="s">
        <v>279</v>
      </c>
      <c r="F95" t="s">
        <v>860</v>
      </c>
    </row>
    <row r="96" spans="5:6">
      <c r="E96" t="s">
        <v>279</v>
      </c>
      <c r="F96" t="s">
        <v>869</v>
      </c>
    </row>
    <row r="97" spans="5:6">
      <c r="E97" t="s">
        <v>279</v>
      </c>
      <c r="F97" t="s">
        <v>878</v>
      </c>
    </row>
    <row r="98" spans="5:6">
      <c r="E98" t="s">
        <v>279</v>
      </c>
      <c r="F98" t="s">
        <v>886</v>
      </c>
    </row>
    <row r="99" spans="5:6">
      <c r="E99" t="s">
        <v>279</v>
      </c>
      <c r="F99" t="s">
        <v>894</v>
      </c>
    </row>
    <row r="100" spans="5:6">
      <c r="E100" t="s">
        <v>279</v>
      </c>
      <c r="F100" t="s">
        <v>902</v>
      </c>
    </row>
    <row r="101" spans="5:6">
      <c r="E101" t="s">
        <v>279</v>
      </c>
      <c r="F101" t="s">
        <v>909</v>
      </c>
    </row>
    <row r="102" spans="5:6">
      <c r="E102" t="s">
        <v>279</v>
      </c>
      <c r="F102" t="s">
        <v>915</v>
      </c>
    </row>
    <row r="103" spans="5:6">
      <c r="E103" t="s">
        <v>279</v>
      </c>
      <c r="F103" t="s">
        <v>919</v>
      </c>
    </row>
    <row r="104" spans="5:6">
      <c r="E104" t="s">
        <v>279</v>
      </c>
      <c r="F104" t="s">
        <v>923</v>
      </c>
    </row>
    <row r="105" spans="5:6">
      <c r="E105" t="s">
        <v>813</v>
      </c>
      <c r="F105" t="s">
        <v>832</v>
      </c>
    </row>
    <row r="106" spans="5:6">
      <c r="E106" t="s">
        <v>813</v>
      </c>
      <c r="F106" t="s">
        <v>842</v>
      </c>
    </row>
    <row r="107" spans="5:6">
      <c r="E107" t="s">
        <v>813</v>
      </c>
      <c r="F107" t="s">
        <v>851</v>
      </c>
    </row>
    <row r="108" spans="5:6">
      <c r="E108" t="s">
        <v>813</v>
      </c>
      <c r="F108" t="s">
        <v>861</v>
      </c>
    </row>
    <row r="109" spans="5:6">
      <c r="E109" t="s">
        <v>813</v>
      </c>
      <c r="F109" t="s">
        <v>870</v>
      </c>
    </row>
    <row r="110" spans="5:6">
      <c r="E110" t="s">
        <v>813</v>
      </c>
      <c r="F110" t="s">
        <v>879</v>
      </c>
    </row>
    <row r="111" spans="5:6">
      <c r="E111" t="s">
        <v>813</v>
      </c>
      <c r="F111" t="s">
        <v>887</v>
      </c>
    </row>
    <row r="112" spans="5:6">
      <c r="E112" t="s">
        <v>813</v>
      </c>
      <c r="F112" t="s">
        <v>895</v>
      </c>
    </row>
    <row r="113" spans="5:6">
      <c r="E113" t="s">
        <v>813</v>
      </c>
      <c r="F113" t="s">
        <v>903</v>
      </c>
    </row>
    <row r="114" spans="5:6">
      <c r="E114" t="s">
        <v>813</v>
      </c>
      <c r="F114" t="s">
        <v>910</v>
      </c>
    </row>
    <row r="115" spans="5:6">
      <c r="E115" t="s">
        <v>813</v>
      </c>
      <c r="F115" t="s">
        <v>763</v>
      </c>
    </row>
    <row r="116" spans="5:6">
      <c r="E116" t="s">
        <v>816</v>
      </c>
      <c r="F116" t="s">
        <v>833</v>
      </c>
    </row>
    <row r="117" spans="5:6">
      <c r="E117" t="s">
        <v>816</v>
      </c>
      <c r="F117" t="s">
        <v>843</v>
      </c>
    </row>
    <row r="118" spans="5:6">
      <c r="E118" t="s">
        <v>816</v>
      </c>
      <c r="F118" t="s">
        <v>852</v>
      </c>
    </row>
    <row r="119" spans="5:6">
      <c r="E119" t="s">
        <v>816</v>
      </c>
      <c r="F119" t="s">
        <v>862</v>
      </c>
    </row>
    <row r="120" spans="5:6">
      <c r="E120" t="s">
        <v>816</v>
      </c>
      <c r="F120" t="s">
        <v>871</v>
      </c>
    </row>
    <row r="121" spans="5:6">
      <c r="E121" t="s">
        <v>816</v>
      </c>
      <c r="F121" t="s">
        <v>880</v>
      </c>
    </row>
    <row r="122" spans="5:6">
      <c r="E122" t="s">
        <v>816</v>
      </c>
      <c r="F122" t="s">
        <v>888</v>
      </c>
    </row>
    <row r="123" spans="5:6">
      <c r="E123" t="s">
        <v>816</v>
      </c>
      <c r="F123" t="s">
        <v>896</v>
      </c>
    </row>
    <row r="124" spans="5:6">
      <c r="E124" t="s">
        <v>819</v>
      </c>
      <c r="F124" t="s">
        <v>834</v>
      </c>
    </row>
    <row r="125" spans="5:6">
      <c r="E125" t="s">
        <v>819</v>
      </c>
      <c r="F125" t="s">
        <v>844</v>
      </c>
    </row>
    <row r="126" spans="5:6">
      <c r="E126" t="s">
        <v>819</v>
      </c>
      <c r="F126" t="s">
        <v>853</v>
      </c>
    </row>
    <row r="127" spans="5:6">
      <c r="E127" t="s">
        <v>819</v>
      </c>
      <c r="F127" t="s">
        <v>863</v>
      </c>
    </row>
    <row r="128" spans="5:6">
      <c r="E128" t="s">
        <v>819</v>
      </c>
      <c r="F128" t="s">
        <v>872</v>
      </c>
    </row>
  </sheetData>
  <mergeCells count="3">
    <mergeCell ref="K2:K3"/>
    <mergeCell ref="L2:P2"/>
    <mergeCell ref="Q2:AA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37838-3CA6-DC46-8665-FC9ED628928C}">
  <dimension ref="A1:N104"/>
  <sheetViews>
    <sheetView topLeftCell="D72" zoomScale="116" workbookViewId="0">
      <selection activeCell="J88" sqref="J88"/>
    </sheetView>
  </sheetViews>
  <sheetFormatPr defaultColWidth="11.42578125" defaultRowHeight="15.95"/>
  <cols>
    <col min="1" max="1" width="33.140625" style="746" bestFit="1" customWidth="1"/>
    <col min="2" max="2" width="15.7109375" style="727" customWidth="1"/>
    <col min="3" max="3" width="18.85546875" style="727" bestFit="1" customWidth="1"/>
    <col min="4" max="4" width="34.7109375" style="727" bestFit="1" customWidth="1"/>
    <col min="5" max="5" width="24.7109375" style="727" bestFit="1" customWidth="1"/>
    <col min="6" max="6" width="32.7109375" style="727" customWidth="1"/>
    <col min="7" max="7" width="12" style="727" customWidth="1"/>
    <col min="8" max="8" width="18.42578125" style="727" customWidth="1"/>
    <col min="9" max="9" width="23.85546875" style="727" customWidth="1"/>
    <col min="10" max="10" width="12.42578125" style="727" customWidth="1"/>
    <col min="11" max="256" width="10.85546875" style="727"/>
    <col min="257" max="257" width="33.140625" style="727" bestFit="1" customWidth="1"/>
    <col min="258" max="258" width="15.7109375" style="727" customWidth="1"/>
    <col min="259" max="259" width="18.85546875" style="727" bestFit="1" customWidth="1"/>
    <col min="260" max="260" width="34.7109375" style="727" bestFit="1" customWidth="1"/>
    <col min="261" max="261" width="24.7109375" style="727" bestFit="1" customWidth="1"/>
    <col min="262" max="262" width="32.7109375" style="727" customWidth="1"/>
    <col min="263" max="263" width="12" style="727" customWidth="1"/>
    <col min="264" max="264" width="18.42578125" style="727" customWidth="1"/>
    <col min="265" max="265" width="23.85546875" style="727" customWidth="1"/>
    <col min="266" max="266" width="12.42578125" style="727" customWidth="1"/>
    <col min="267" max="512" width="10.85546875" style="727"/>
    <col min="513" max="513" width="33.140625" style="727" bestFit="1" customWidth="1"/>
    <col min="514" max="514" width="15.7109375" style="727" customWidth="1"/>
    <col min="515" max="515" width="18.85546875" style="727" bestFit="1" customWidth="1"/>
    <col min="516" max="516" width="34.7109375" style="727" bestFit="1" customWidth="1"/>
    <col min="517" max="517" width="24.7109375" style="727" bestFit="1" customWidth="1"/>
    <col min="518" max="518" width="32.7109375" style="727" customWidth="1"/>
    <col min="519" max="519" width="12" style="727" customWidth="1"/>
    <col min="520" max="520" width="18.42578125" style="727" customWidth="1"/>
    <col min="521" max="521" width="23.85546875" style="727" customWidth="1"/>
    <col min="522" max="522" width="12.42578125" style="727" customWidth="1"/>
    <col min="523" max="768" width="10.85546875" style="727"/>
    <col min="769" max="769" width="33.140625" style="727" bestFit="1" customWidth="1"/>
    <col min="770" max="770" width="15.7109375" style="727" customWidth="1"/>
    <col min="771" max="771" width="18.85546875" style="727" bestFit="1" customWidth="1"/>
    <col min="772" max="772" width="34.7109375" style="727" bestFit="1" customWidth="1"/>
    <col min="773" max="773" width="24.7109375" style="727" bestFit="1" customWidth="1"/>
    <col min="774" max="774" width="32.7109375" style="727" customWidth="1"/>
    <col min="775" max="775" width="12" style="727" customWidth="1"/>
    <col min="776" max="776" width="18.42578125" style="727" customWidth="1"/>
    <col min="777" max="777" width="23.85546875" style="727" customWidth="1"/>
    <col min="778" max="778" width="12.42578125" style="727" customWidth="1"/>
    <col min="779" max="1024" width="10.85546875" style="727"/>
    <col min="1025" max="1025" width="33.140625" style="727" bestFit="1" customWidth="1"/>
    <col min="1026" max="1026" width="15.7109375" style="727" customWidth="1"/>
    <col min="1027" max="1027" width="18.85546875" style="727" bestFit="1" customWidth="1"/>
    <col min="1028" max="1028" width="34.7109375" style="727" bestFit="1" customWidth="1"/>
    <col min="1029" max="1029" width="24.7109375" style="727" bestFit="1" customWidth="1"/>
    <col min="1030" max="1030" width="32.7109375" style="727" customWidth="1"/>
    <col min="1031" max="1031" width="12" style="727" customWidth="1"/>
    <col min="1032" max="1032" width="18.42578125" style="727" customWidth="1"/>
    <col min="1033" max="1033" width="23.85546875" style="727" customWidth="1"/>
    <col min="1034" max="1034" width="12.42578125" style="727" customWidth="1"/>
    <col min="1035" max="1280" width="10.85546875" style="727"/>
    <col min="1281" max="1281" width="33.140625" style="727" bestFit="1" customWidth="1"/>
    <col min="1282" max="1282" width="15.7109375" style="727" customWidth="1"/>
    <col min="1283" max="1283" width="18.85546875" style="727" bestFit="1" customWidth="1"/>
    <col min="1284" max="1284" width="34.7109375" style="727" bestFit="1" customWidth="1"/>
    <col min="1285" max="1285" width="24.7109375" style="727" bestFit="1" customWidth="1"/>
    <col min="1286" max="1286" width="32.7109375" style="727" customWidth="1"/>
    <col min="1287" max="1287" width="12" style="727" customWidth="1"/>
    <col min="1288" max="1288" width="18.42578125" style="727" customWidth="1"/>
    <col min="1289" max="1289" width="23.85546875" style="727" customWidth="1"/>
    <col min="1290" max="1290" width="12.42578125" style="727" customWidth="1"/>
    <col min="1291" max="1536" width="10.85546875" style="727"/>
    <col min="1537" max="1537" width="33.140625" style="727" bestFit="1" customWidth="1"/>
    <col min="1538" max="1538" width="15.7109375" style="727" customWidth="1"/>
    <col min="1539" max="1539" width="18.85546875" style="727" bestFit="1" customWidth="1"/>
    <col min="1540" max="1540" width="34.7109375" style="727" bestFit="1" customWidth="1"/>
    <col min="1541" max="1541" width="24.7109375" style="727" bestFit="1" customWidth="1"/>
    <col min="1542" max="1542" width="32.7109375" style="727" customWidth="1"/>
    <col min="1543" max="1543" width="12" style="727" customWidth="1"/>
    <col min="1544" max="1544" width="18.42578125" style="727" customWidth="1"/>
    <col min="1545" max="1545" width="23.85546875" style="727" customWidth="1"/>
    <col min="1546" max="1546" width="12.42578125" style="727" customWidth="1"/>
    <col min="1547" max="1792" width="10.85546875" style="727"/>
    <col min="1793" max="1793" width="33.140625" style="727" bestFit="1" customWidth="1"/>
    <col min="1794" max="1794" width="15.7109375" style="727" customWidth="1"/>
    <col min="1795" max="1795" width="18.85546875" style="727" bestFit="1" customWidth="1"/>
    <col min="1796" max="1796" width="34.7109375" style="727" bestFit="1" customWidth="1"/>
    <col min="1797" max="1797" width="24.7109375" style="727" bestFit="1" customWidth="1"/>
    <col min="1798" max="1798" width="32.7109375" style="727" customWidth="1"/>
    <col min="1799" max="1799" width="12" style="727" customWidth="1"/>
    <col min="1800" max="1800" width="18.42578125" style="727" customWidth="1"/>
    <col min="1801" max="1801" width="23.85546875" style="727" customWidth="1"/>
    <col min="1802" max="1802" width="12.42578125" style="727" customWidth="1"/>
    <col min="1803" max="2048" width="10.85546875" style="727"/>
    <col min="2049" max="2049" width="33.140625" style="727" bestFit="1" customWidth="1"/>
    <col min="2050" max="2050" width="15.7109375" style="727" customWidth="1"/>
    <col min="2051" max="2051" width="18.85546875" style="727" bestFit="1" customWidth="1"/>
    <col min="2052" max="2052" width="34.7109375" style="727" bestFit="1" customWidth="1"/>
    <col min="2053" max="2053" width="24.7109375" style="727" bestFit="1" customWidth="1"/>
    <col min="2054" max="2054" width="32.7109375" style="727" customWidth="1"/>
    <col min="2055" max="2055" width="12" style="727" customWidth="1"/>
    <col min="2056" max="2056" width="18.42578125" style="727" customWidth="1"/>
    <col min="2057" max="2057" width="23.85546875" style="727" customWidth="1"/>
    <col min="2058" max="2058" width="12.42578125" style="727" customWidth="1"/>
    <col min="2059" max="2304" width="10.85546875" style="727"/>
    <col min="2305" max="2305" width="33.140625" style="727" bestFit="1" customWidth="1"/>
    <col min="2306" max="2306" width="15.7109375" style="727" customWidth="1"/>
    <col min="2307" max="2307" width="18.85546875" style="727" bestFit="1" customWidth="1"/>
    <col min="2308" max="2308" width="34.7109375" style="727" bestFit="1" customWidth="1"/>
    <col min="2309" max="2309" width="24.7109375" style="727" bestFit="1" customWidth="1"/>
    <col min="2310" max="2310" width="32.7109375" style="727" customWidth="1"/>
    <col min="2311" max="2311" width="12" style="727" customWidth="1"/>
    <col min="2312" max="2312" width="18.42578125" style="727" customWidth="1"/>
    <col min="2313" max="2313" width="23.85546875" style="727" customWidth="1"/>
    <col min="2314" max="2314" width="12.42578125" style="727" customWidth="1"/>
    <col min="2315" max="2560" width="10.85546875" style="727"/>
    <col min="2561" max="2561" width="33.140625" style="727" bestFit="1" customWidth="1"/>
    <col min="2562" max="2562" width="15.7109375" style="727" customWidth="1"/>
    <col min="2563" max="2563" width="18.85546875" style="727" bestFit="1" customWidth="1"/>
    <col min="2564" max="2564" width="34.7109375" style="727" bestFit="1" customWidth="1"/>
    <col min="2565" max="2565" width="24.7109375" style="727" bestFit="1" customWidth="1"/>
    <col min="2566" max="2566" width="32.7109375" style="727" customWidth="1"/>
    <col min="2567" max="2567" width="12" style="727" customWidth="1"/>
    <col min="2568" max="2568" width="18.42578125" style="727" customWidth="1"/>
    <col min="2569" max="2569" width="23.85546875" style="727" customWidth="1"/>
    <col min="2570" max="2570" width="12.42578125" style="727" customWidth="1"/>
    <col min="2571" max="2816" width="10.85546875" style="727"/>
    <col min="2817" max="2817" width="33.140625" style="727" bestFit="1" customWidth="1"/>
    <col min="2818" max="2818" width="15.7109375" style="727" customWidth="1"/>
    <col min="2819" max="2819" width="18.85546875" style="727" bestFit="1" customWidth="1"/>
    <col min="2820" max="2820" width="34.7109375" style="727" bestFit="1" customWidth="1"/>
    <col min="2821" max="2821" width="24.7109375" style="727" bestFit="1" customWidth="1"/>
    <col min="2822" max="2822" width="32.7109375" style="727" customWidth="1"/>
    <col min="2823" max="2823" width="12" style="727" customWidth="1"/>
    <col min="2824" max="2824" width="18.42578125" style="727" customWidth="1"/>
    <col min="2825" max="2825" width="23.85546875" style="727" customWidth="1"/>
    <col min="2826" max="2826" width="12.42578125" style="727" customWidth="1"/>
    <col min="2827" max="3072" width="10.85546875" style="727"/>
    <col min="3073" max="3073" width="33.140625" style="727" bestFit="1" customWidth="1"/>
    <col min="3074" max="3074" width="15.7109375" style="727" customWidth="1"/>
    <col min="3075" max="3075" width="18.85546875" style="727" bestFit="1" customWidth="1"/>
    <col min="3076" max="3076" width="34.7109375" style="727" bestFit="1" customWidth="1"/>
    <col min="3077" max="3077" width="24.7109375" style="727" bestFit="1" customWidth="1"/>
    <col min="3078" max="3078" width="32.7109375" style="727" customWidth="1"/>
    <col min="3079" max="3079" width="12" style="727" customWidth="1"/>
    <col min="3080" max="3080" width="18.42578125" style="727" customWidth="1"/>
    <col min="3081" max="3081" width="23.85546875" style="727" customWidth="1"/>
    <col min="3082" max="3082" width="12.42578125" style="727" customWidth="1"/>
    <col min="3083" max="3328" width="10.85546875" style="727"/>
    <col min="3329" max="3329" width="33.140625" style="727" bestFit="1" customWidth="1"/>
    <col min="3330" max="3330" width="15.7109375" style="727" customWidth="1"/>
    <col min="3331" max="3331" width="18.85546875" style="727" bestFit="1" customWidth="1"/>
    <col min="3332" max="3332" width="34.7109375" style="727" bestFit="1" customWidth="1"/>
    <col min="3333" max="3333" width="24.7109375" style="727" bestFit="1" customWidth="1"/>
    <col min="3334" max="3334" width="32.7109375" style="727" customWidth="1"/>
    <col min="3335" max="3335" width="12" style="727" customWidth="1"/>
    <col min="3336" max="3336" width="18.42578125" style="727" customWidth="1"/>
    <col min="3337" max="3337" width="23.85546875" style="727" customWidth="1"/>
    <col min="3338" max="3338" width="12.42578125" style="727" customWidth="1"/>
    <col min="3339" max="3584" width="10.85546875" style="727"/>
    <col min="3585" max="3585" width="33.140625" style="727" bestFit="1" customWidth="1"/>
    <col min="3586" max="3586" width="15.7109375" style="727" customWidth="1"/>
    <col min="3587" max="3587" width="18.85546875" style="727" bestFit="1" customWidth="1"/>
    <col min="3588" max="3588" width="34.7109375" style="727" bestFit="1" customWidth="1"/>
    <col min="3589" max="3589" width="24.7109375" style="727" bestFit="1" customWidth="1"/>
    <col min="3590" max="3590" width="32.7109375" style="727" customWidth="1"/>
    <col min="3591" max="3591" width="12" style="727" customWidth="1"/>
    <col min="3592" max="3592" width="18.42578125" style="727" customWidth="1"/>
    <col min="3593" max="3593" width="23.85546875" style="727" customWidth="1"/>
    <col min="3594" max="3594" width="12.42578125" style="727" customWidth="1"/>
    <col min="3595" max="3840" width="10.85546875" style="727"/>
    <col min="3841" max="3841" width="33.140625" style="727" bestFit="1" customWidth="1"/>
    <col min="3842" max="3842" width="15.7109375" style="727" customWidth="1"/>
    <col min="3843" max="3843" width="18.85546875" style="727" bestFit="1" customWidth="1"/>
    <col min="3844" max="3844" width="34.7109375" style="727" bestFit="1" customWidth="1"/>
    <col min="3845" max="3845" width="24.7109375" style="727" bestFit="1" customWidth="1"/>
    <col min="3846" max="3846" width="32.7109375" style="727" customWidth="1"/>
    <col min="3847" max="3847" width="12" style="727" customWidth="1"/>
    <col min="3848" max="3848" width="18.42578125" style="727" customWidth="1"/>
    <col min="3849" max="3849" width="23.85546875" style="727" customWidth="1"/>
    <col min="3850" max="3850" width="12.42578125" style="727" customWidth="1"/>
    <col min="3851" max="4096" width="10.85546875" style="727"/>
    <col min="4097" max="4097" width="33.140625" style="727" bestFit="1" customWidth="1"/>
    <col min="4098" max="4098" width="15.7109375" style="727" customWidth="1"/>
    <col min="4099" max="4099" width="18.85546875" style="727" bestFit="1" customWidth="1"/>
    <col min="4100" max="4100" width="34.7109375" style="727" bestFit="1" customWidth="1"/>
    <col min="4101" max="4101" width="24.7109375" style="727" bestFit="1" customWidth="1"/>
    <col min="4102" max="4102" width="32.7109375" style="727" customWidth="1"/>
    <col min="4103" max="4103" width="12" style="727" customWidth="1"/>
    <col min="4104" max="4104" width="18.42578125" style="727" customWidth="1"/>
    <col min="4105" max="4105" width="23.85546875" style="727" customWidth="1"/>
    <col min="4106" max="4106" width="12.42578125" style="727" customWidth="1"/>
    <col min="4107" max="4352" width="10.85546875" style="727"/>
    <col min="4353" max="4353" width="33.140625" style="727" bestFit="1" customWidth="1"/>
    <col min="4354" max="4354" width="15.7109375" style="727" customWidth="1"/>
    <col min="4355" max="4355" width="18.85546875" style="727" bestFit="1" customWidth="1"/>
    <col min="4356" max="4356" width="34.7109375" style="727" bestFit="1" customWidth="1"/>
    <col min="4357" max="4357" width="24.7109375" style="727" bestFit="1" customWidth="1"/>
    <col min="4358" max="4358" width="32.7109375" style="727" customWidth="1"/>
    <col min="4359" max="4359" width="12" style="727" customWidth="1"/>
    <col min="4360" max="4360" width="18.42578125" style="727" customWidth="1"/>
    <col min="4361" max="4361" width="23.85546875" style="727" customWidth="1"/>
    <col min="4362" max="4362" width="12.42578125" style="727" customWidth="1"/>
    <col min="4363" max="4608" width="10.85546875" style="727"/>
    <col min="4609" max="4609" width="33.140625" style="727" bestFit="1" customWidth="1"/>
    <col min="4610" max="4610" width="15.7109375" style="727" customWidth="1"/>
    <col min="4611" max="4611" width="18.85546875" style="727" bestFit="1" customWidth="1"/>
    <col min="4612" max="4612" width="34.7109375" style="727" bestFit="1" customWidth="1"/>
    <col min="4613" max="4613" width="24.7109375" style="727" bestFit="1" customWidth="1"/>
    <col min="4614" max="4614" width="32.7109375" style="727" customWidth="1"/>
    <col min="4615" max="4615" width="12" style="727" customWidth="1"/>
    <col min="4616" max="4616" width="18.42578125" style="727" customWidth="1"/>
    <col min="4617" max="4617" width="23.85546875" style="727" customWidth="1"/>
    <col min="4618" max="4618" width="12.42578125" style="727" customWidth="1"/>
    <col min="4619" max="4864" width="10.85546875" style="727"/>
    <col min="4865" max="4865" width="33.140625" style="727" bestFit="1" customWidth="1"/>
    <col min="4866" max="4866" width="15.7109375" style="727" customWidth="1"/>
    <col min="4867" max="4867" width="18.85546875" style="727" bestFit="1" customWidth="1"/>
    <col min="4868" max="4868" width="34.7109375" style="727" bestFit="1" customWidth="1"/>
    <col min="4869" max="4869" width="24.7109375" style="727" bestFit="1" customWidth="1"/>
    <col min="4870" max="4870" width="32.7109375" style="727" customWidth="1"/>
    <col min="4871" max="4871" width="12" style="727" customWidth="1"/>
    <col min="4872" max="4872" width="18.42578125" style="727" customWidth="1"/>
    <col min="4873" max="4873" width="23.85546875" style="727" customWidth="1"/>
    <col min="4874" max="4874" width="12.42578125" style="727" customWidth="1"/>
    <col min="4875" max="5120" width="10.85546875" style="727"/>
    <col min="5121" max="5121" width="33.140625" style="727" bestFit="1" customWidth="1"/>
    <col min="5122" max="5122" width="15.7109375" style="727" customWidth="1"/>
    <col min="5123" max="5123" width="18.85546875" style="727" bestFit="1" customWidth="1"/>
    <col min="5124" max="5124" width="34.7109375" style="727" bestFit="1" customWidth="1"/>
    <col min="5125" max="5125" width="24.7109375" style="727" bestFit="1" customWidth="1"/>
    <col min="5126" max="5126" width="32.7109375" style="727" customWidth="1"/>
    <col min="5127" max="5127" width="12" style="727" customWidth="1"/>
    <col min="5128" max="5128" width="18.42578125" style="727" customWidth="1"/>
    <col min="5129" max="5129" width="23.85546875" style="727" customWidth="1"/>
    <col min="5130" max="5130" width="12.42578125" style="727" customWidth="1"/>
    <col min="5131" max="5376" width="10.85546875" style="727"/>
    <col min="5377" max="5377" width="33.140625" style="727" bestFit="1" customWidth="1"/>
    <col min="5378" max="5378" width="15.7109375" style="727" customWidth="1"/>
    <col min="5379" max="5379" width="18.85546875" style="727" bestFit="1" customWidth="1"/>
    <col min="5380" max="5380" width="34.7109375" style="727" bestFit="1" customWidth="1"/>
    <col min="5381" max="5381" width="24.7109375" style="727" bestFit="1" customWidth="1"/>
    <col min="5382" max="5382" width="32.7109375" style="727" customWidth="1"/>
    <col min="5383" max="5383" width="12" style="727" customWidth="1"/>
    <col min="5384" max="5384" width="18.42578125" style="727" customWidth="1"/>
    <col min="5385" max="5385" width="23.85546875" style="727" customWidth="1"/>
    <col min="5386" max="5386" width="12.42578125" style="727" customWidth="1"/>
    <col min="5387" max="5632" width="10.85546875" style="727"/>
    <col min="5633" max="5633" width="33.140625" style="727" bestFit="1" customWidth="1"/>
    <col min="5634" max="5634" width="15.7109375" style="727" customWidth="1"/>
    <col min="5635" max="5635" width="18.85546875" style="727" bestFit="1" customWidth="1"/>
    <col min="5636" max="5636" width="34.7109375" style="727" bestFit="1" customWidth="1"/>
    <col min="5637" max="5637" width="24.7109375" style="727" bestFit="1" customWidth="1"/>
    <col min="5638" max="5638" width="32.7109375" style="727" customWidth="1"/>
    <col min="5639" max="5639" width="12" style="727" customWidth="1"/>
    <col min="5640" max="5640" width="18.42578125" style="727" customWidth="1"/>
    <col min="5641" max="5641" width="23.85546875" style="727" customWidth="1"/>
    <col min="5642" max="5642" width="12.42578125" style="727" customWidth="1"/>
    <col min="5643" max="5888" width="10.85546875" style="727"/>
    <col min="5889" max="5889" width="33.140625" style="727" bestFit="1" customWidth="1"/>
    <col min="5890" max="5890" width="15.7109375" style="727" customWidth="1"/>
    <col min="5891" max="5891" width="18.85546875" style="727" bestFit="1" customWidth="1"/>
    <col min="5892" max="5892" width="34.7109375" style="727" bestFit="1" customWidth="1"/>
    <col min="5893" max="5893" width="24.7109375" style="727" bestFit="1" customWidth="1"/>
    <col min="5894" max="5894" width="32.7109375" style="727" customWidth="1"/>
    <col min="5895" max="5895" width="12" style="727" customWidth="1"/>
    <col min="5896" max="5896" width="18.42578125" style="727" customWidth="1"/>
    <col min="5897" max="5897" width="23.85546875" style="727" customWidth="1"/>
    <col min="5898" max="5898" width="12.42578125" style="727" customWidth="1"/>
    <col min="5899" max="6144" width="10.85546875" style="727"/>
    <col min="6145" max="6145" width="33.140625" style="727" bestFit="1" customWidth="1"/>
    <col min="6146" max="6146" width="15.7109375" style="727" customWidth="1"/>
    <col min="6147" max="6147" width="18.85546875" style="727" bestFit="1" customWidth="1"/>
    <col min="6148" max="6148" width="34.7109375" style="727" bestFit="1" customWidth="1"/>
    <col min="6149" max="6149" width="24.7109375" style="727" bestFit="1" customWidth="1"/>
    <col min="6150" max="6150" width="32.7109375" style="727" customWidth="1"/>
    <col min="6151" max="6151" width="12" style="727" customWidth="1"/>
    <col min="6152" max="6152" width="18.42578125" style="727" customWidth="1"/>
    <col min="6153" max="6153" width="23.85546875" style="727" customWidth="1"/>
    <col min="6154" max="6154" width="12.42578125" style="727" customWidth="1"/>
    <col min="6155" max="6400" width="10.85546875" style="727"/>
    <col min="6401" max="6401" width="33.140625" style="727" bestFit="1" customWidth="1"/>
    <col min="6402" max="6402" width="15.7109375" style="727" customWidth="1"/>
    <col min="6403" max="6403" width="18.85546875" style="727" bestFit="1" customWidth="1"/>
    <col min="6404" max="6404" width="34.7109375" style="727" bestFit="1" customWidth="1"/>
    <col min="6405" max="6405" width="24.7109375" style="727" bestFit="1" customWidth="1"/>
    <col min="6406" max="6406" width="32.7109375" style="727" customWidth="1"/>
    <col min="6407" max="6407" width="12" style="727" customWidth="1"/>
    <col min="6408" max="6408" width="18.42578125" style="727" customWidth="1"/>
    <col min="6409" max="6409" width="23.85546875" style="727" customWidth="1"/>
    <col min="6410" max="6410" width="12.42578125" style="727" customWidth="1"/>
    <col min="6411" max="6656" width="10.85546875" style="727"/>
    <col min="6657" max="6657" width="33.140625" style="727" bestFit="1" customWidth="1"/>
    <col min="6658" max="6658" width="15.7109375" style="727" customWidth="1"/>
    <col min="6659" max="6659" width="18.85546875" style="727" bestFit="1" customWidth="1"/>
    <col min="6660" max="6660" width="34.7109375" style="727" bestFit="1" customWidth="1"/>
    <col min="6661" max="6661" width="24.7109375" style="727" bestFit="1" customWidth="1"/>
    <col min="6662" max="6662" width="32.7109375" style="727" customWidth="1"/>
    <col min="6663" max="6663" width="12" style="727" customWidth="1"/>
    <col min="6664" max="6664" width="18.42578125" style="727" customWidth="1"/>
    <col min="6665" max="6665" width="23.85546875" style="727" customWidth="1"/>
    <col min="6666" max="6666" width="12.42578125" style="727" customWidth="1"/>
    <col min="6667" max="6912" width="10.85546875" style="727"/>
    <col min="6913" max="6913" width="33.140625" style="727" bestFit="1" customWidth="1"/>
    <col min="6914" max="6914" width="15.7109375" style="727" customWidth="1"/>
    <col min="6915" max="6915" width="18.85546875" style="727" bestFit="1" customWidth="1"/>
    <col min="6916" max="6916" width="34.7109375" style="727" bestFit="1" customWidth="1"/>
    <col min="6917" max="6917" width="24.7109375" style="727" bestFit="1" customWidth="1"/>
    <col min="6918" max="6918" width="32.7109375" style="727" customWidth="1"/>
    <col min="6919" max="6919" width="12" style="727" customWidth="1"/>
    <col min="6920" max="6920" width="18.42578125" style="727" customWidth="1"/>
    <col min="6921" max="6921" width="23.85546875" style="727" customWidth="1"/>
    <col min="6922" max="6922" width="12.42578125" style="727" customWidth="1"/>
    <col min="6923" max="7168" width="10.85546875" style="727"/>
    <col min="7169" max="7169" width="33.140625" style="727" bestFit="1" customWidth="1"/>
    <col min="7170" max="7170" width="15.7109375" style="727" customWidth="1"/>
    <col min="7171" max="7171" width="18.85546875" style="727" bestFit="1" customWidth="1"/>
    <col min="7172" max="7172" width="34.7109375" style="727" bestFit="1" customWidth="1"/>
    <col min="7173" max="7173" width="24.7109375" style="727" bestFit="1" customWidth="1"/>
    <col min="7174" max="7174" width="32.7109375" style="727" customWidth="1"/>
    <col min="7175" max="7175" width="12" style="727" customWidth="1"/>
    <col min="7176" max="7176" width="18.42578125" style="727" customWidth="1"/>
    <col min="7177" max="7177" width="23.85546875" style="727" customWidth="1"/>
    <col min="7178" max="7178" width="12.42578125" style="727" customWidth="1"/>
    <col min="7179" max="7424" width="10.85546875" style="727"/>
    <col min="7425" max="7425" width="33.140625" style="727" bestFit="1" customWidth="1"/>
    <col min="7426" max="7426" width="15.7109375" style="727" customWidth="1"/>
    <col min="7427" max="7427" width="18.85546875" style="727" bestFit="1" customWidth="1"/>
    <col min="7428" max="7428" width="34.7109375" style="727" bestFit="1" customWidth="1"/>
    <col min="7429" max="7429" width="24.7109375" style="727" bestFit="1" customWidth="1"/>
    <col min="7430" max="7430" width="32.7109375" style="727" customWidth="1"/>
    <col min="7431" max="7431" width="12" style="727" customWidth="1"/>
    <col min="7432" max="7432" width="18.42578125" style="727" customWidth="1"/>
    <col min="7433" max="7433" width="23.85546875" style="727" customWidth="1"/>
    <col min="7434" max="7434" width="12.42578125" style="727" customWidth="1"/>
    <col min="7435" max="7680" width="10.85546875" style="727"/>
    <col min="7681" max="7681" width="33.140625" style="727" bestFit="1" customWidth="1"/>
    <col min="7682" max="7682" width="15.7109375" style="727" customWidth="1"/>
    <col min="7683" max="7683" width="18.85546875" style="727" bestFit="1" customWidth="1"/>
    <col min="7684" max="7684" width="34.7109375" style="727" bestFit="1" customWidth="1"/>
    <col min="7685" max="7685" width="24.7109375" style="727" bestFit="1" customWidth="1"/>
    <col min="7686" max="7686" width="32.7109375" style="727" customWidth="1"/>
    <col min="7687" max="7687" width="12" style="727" customWidth="1"/>
    <col min="7688" max="7688" width="18.42578125" style="727" customWidth="1"/>
    <col min="7689" max="7689" width="23.85546875" style="727" customWidth="1"/>
    <col min="7690" max="7690" width="12.42578125" style="727" customWidth="1"/>
    <col min="7691" max="7936" width="10.85546875" style="727"/>
    <col min="7937" max="7937" width="33.140625" style="727" bestFit="1" customWidth="1"/>
    <col min="7938" max="7938" width="15.7109375" style="727" customWidth="1"/>
    <col min="7939" max="7939" width="18.85546875" style="727" bestFit="1" customWidth="1"/>
    <col min="7940" max="7940" width="34.7109375" style="727" bestFit="1" customWidth="1"/>
    <col min="7941" max="7941" width="24.7109375" style="727" bestFit="1" customWidth="1"/>
    <col min="7942" max="7942" width="32.7109375" style="727" customWidth="1"/>
    <col min="7943" max="7943" width="12" style="727" customWidth="1"/>
    <col min="7944" max="7944" width="18.42578125" style="727" customWidth="1"/>
    <col min="7945" max="7945" width="23.85546875" style="727" customWidth="1"/>
    <col min="7946" max="7946" width="12.42578125" style="727" customWidth="1"/>
    <col min="7947" max="8192" width="10.85546875" style="727"/>
    <col min="8193" max="8193" width="33.140625" style="727" bestFit="1" customWidth="1"/>
    <col min="8194" max="8194" width="15.7109375" style="727" customWidth="1"/>
    <col min="8195" max="8195" width="18.85546875" style="727" bestFit="1" customWidth="1"/>
    <col min="8196" max="8196" width="34.7109375" style="727" bestFit="1" customWidth="1"/>
    <col min="8197" max="8197" width="24.7109375" style="727" bestFit="1" customWidth="1"/>
    <col min="8198" max="8198" width="32.7109375" style="727" customWidth="1"/>
    <col min="8199" max="8199" width="12" style="727" customWidth="1"/>
    <col min="8200" max="8200" width="18.42578125" style="727" customWidth="1"/>
    <col min="8201" max="8201" width="23.85546875" style="727" customWidth="1"/>
    <col min="8202" max="8202" width="12.42578125" style="727" customWidth="1"/>
    <col min="8203" max="8448" width="10.85546875" style="727"/>
    <col min="8449" max="8449" width="33.140625" style="727" bestFit="1" customWidth="1"/>
    <col min="8450" max="8450" width="15.7109375" style="727" customWidth="1"/>
    <col min="8451" max="8451" width="18.85546875" style="727" bestFit="1" customWidth="1"/>
    <col min="8452" max="8452" width="34.7109375" style="727" bestFit="1" customWidth="1"/>
    <col min="8453" max="8453" width="24.7109375" style="727" bestFit="1" customWidth="1"/>
    <col min="8454" max="8454" width="32.7109375" style="727" customWidth="1"/>
    <col min="8455" max="8455" width="12" style="727" customWidth="1"/>
    <col min="8456" max="8456" width="18.42578125" style="727" customWidth="1"/>
    <col min="8457" max="8457" width="23.85546875" style="727" customWidth="1"/>
    <col min="8458" max="8458" width="12.42578125" style="727" customWidth="1"/>
    <col min="8459" max="8704" width="10.85546875" style="727"/>
    <col min="8705" max="8705" width="33.140625" style="727" bestFit="1" customWidth="1"/>
    <col min="8706" max="8706" width="15.7109375" style="727" customWidth="1"/>
    <col min="8707" max="8707" width="18.85546875" style="727" bestFit="1" customWidth="1"/>
    <col min="8708" max="8708" width="34.7109375" style="727" bestFit="1" customWidth="1"/>
    <col min="8709" max="8709" width="24.7109375" style="727" bestFit="1" customWidth="1"/>
    <col min="8710" max="8710" width="32.7109375" style="727" customWidth="1"/>
    <col min="8711" max="8711" width="12" style="727" customWidth="1"/>
    <col min="8712" max="8712" width="18.42578125" style="727" customWidth="1"/>
    <col min="8713" max="8713" width="23.85546875" style="727" customWidth="1"/>
    <col min="8714" max="8714" width="12.42578125" style="727" customWidth="1"/>
    <col min="8715" max="8960" width="10.85546875" style="727"/>
    <col min="8961" max="8961" width="33.140625" style="727" bestFit="1" customWidth="1"/>
    <col min="8962" max="8962" width="15.7109375" style="727" customWidth="1"/>
    <col min="8963" max="8963" width="18.85546875" style="727" bestFit="1" customWidth="1"/>
    <col min="8964" max="8964" width="34.7109375" style="727" bestFit="1" customWidth="1"/>
    <col min="8965" max="8965" width="24.7109375" style="727" bestFit="1" customWidth="1"/>
    <col min="8966" max="8966" width="32.7109375" style="727" customWidth="1"/>
    <col min="8967" max="8967" width="12" style="727" customWidth="1"/>
    <col min="8968" max="8968" width="18.42578125" style="727" customWidth="1"/>
    <col min="8969" max="8969" width="23.85546875" style="727" customWidth="1"/>
    <col min="8970" max="8970" width="12.42578125" style="727" customWidth="1"/>
    <col min="8971" max="9216" width="10.85546875" style="727"/>
    <col min="9217" max="9217" width="33.140625" style="727" bestFit="1" customWidth="1"/>
    <col min="9218" max="9218" width="15.7109375" style="727" customWidth="1"/>
    <col min="9219" max="9219" width="18.85546875" style="727" bestFit="1" customWidth="1"/>
    <col min="9220" max="9220" width="34.7109375" style="727" bestFit="1" customWidth="1"/>
    <col min="9221" max="9221" width="24.7109375" style="727" bestFit="1" customWidth="1"/>
    <col min="9222" max="9222" width="32.7109375" style="727" customWidth="1"/>
    <col min="9223" max="9223" width="12" style="727" customWidth="1"/>
    <col min="9224" max="9224" width="18.42578125" style="727" customWidth="1"/>
    <col min="9225" max="9225" width="23.85546875" style="727" customWidth="1"/>
    <col min="9226" max="9226" width="12.42578125" style="727" customWidth="1"/>
    <col min="9227" max="9472" width="10.85546875" style="727"/>
    <col min="9473" max="9473" width="33.140625" style="727" bestFit="1" customWidth="1"/>
    <col min="9474" max="9474" width="15.7109375" style="727" customWidth="1"/>
    <col min="9475" max="9475" width="18.85546875" style="727" bestFit="1" customWidth="1"/>
    <col min="9476" max="9476" width="34.7109375" style="727" bestFit="1" customWidth="1"/>
    <col min="9477" max="9477" width="24.7109375" style="727" bestFit="1" customWidth="1"/>
    <col min="9478" max="9478" width="32.7109375" style="727" customWidth="1"/>
    <col min="9479" max="9479" width="12" style="727" customWidth="1"/>
    <col min="9480" max="9480" width="18.42578125" style="727" customWidth="1"/>
    <col min="9481" max="9481" width="23.85546875" style="727" customWidth="1"/>
    <col min="9482" max="9482" width="12.42578125" style="727" customWidth="1"/>
    <col min="9483" max="9728" width="10.85546875" style="727"/>
    <col min="9729" max="9729" width="33.140625" style="727" bestFit="1" customWidth="1"/>
    <col min="9730" max="9730" width="15.7109375" style="727" customWidth="1"/>
    <col min="9731" max="9731" width="18.85546875" style="727" bestFit="1" customWidth="1"/>
    <col min="9732" max="9732" width="34.7109375" style="727" bestFit="1" customWidth="1"/>
    <col min="9733" max="9733" width="24.7109375" style="727" bestFit="1" customWidth="1"/>
    <col min="9734" max="9734" width="32.7109375" style="727" customWidth="1"/>
    <col min="9735" max="9735" width="12" style="727" customWidth="1"/>
    <col min="9736" max="9736" width="18.42578125" style="727" customWidth="1"/>
    <col min="9737" max="9737" width="23.85546875" style="727" customWidth="1"/>
    <col min="9738" max="9738" width="12.42578125" style="727" customWidth="1"/>
    <col min="9739" max="9984" width="10.85546875" style="727"/>
    <col min="9985" max="9985" width="33.140625" style="727" bestFit="1" customWidth="1"/>
    <col min="9986" max="9986" width="15.7109375" style="727" customWidth="1"/>
    <col min="9987" max="9987" width="18.85546875" style="727" bestFit="1" customWidth="1"/>
    <col min="9988" max="9988" width="34.7109375" style="727" bestFit="1" customWidth="1"/>
    <col min="9989" max="9989" width="24.7109375" style="727" bestFit="1" customWidth="1"/>
    <col min="9990" max="9990" width="32.7109375" style="727" customWidth="1"/>
    <col min="9991" max="9991" width="12" style="727" customWidth="1"/>
    <col min="9992" max="9992" width="18.42578125" style="727" customWidth="1"/>
    <col min="9993" max="9993" width="23.85546875" style="727" customWidth="1"/>
    <col min="9994" max="9994" width="12.42578125" style="727" customWidth="1"/>
    <col min="9995" max="10240" width="10.85546875" style="727"/>
    <col min="10241" max="10241" width="33.140625" style="727" bestFit="1" customWidth="1"/>
    <col min="10242" max="10242" width="15.7109375" style="727" customWidth="1"/>
    <col min="10243" max="10243" width="18.85546875" style="727" bestFit="1" customWidth="1"/>
    <col min="10244" max="10244" width="34.7109375" style="727" bestFit="1" customWidth="1"/>
    <col min="10245" max="10245" width="24.7109375" style="727" bestFit="1" customWidth="1"/>
    <col min="10246" max="10246" width="32.7109375" style="727" customWidth="1"/>
    <col min="10247" max="10247" width="12" style="727" customWidth="1"/>
    <col min="10248" max="10248" width="18.42578125" style="727" customWidth="1"/>
    <col min="10249" max="10249" width="23.85546875" style="727" customWidth="1"/>
    <col min="10250" max="10250" width="12.42578125" style="727" customWidth="1"/>
    <col min="10251" max="10496" width="10.85546875" style="727"/>
    <col min="10497" max="10497" width="33.140625" style="727" bestFit="1" customWidth="1"/>
    <col min="10498" max="10498" width="15.7109375" style="727" customWidth="1"/>
    <col min="10499" max="10499" width="18.85546875" style="727" bestFit="1" customWidth="1"/>
    <col min="10500" max="10500" width="34.7109375" style="727" bestFit="1" customWidth="1"/>
    <col min="10501" max="10501" width="24.7109375" style="727" bestFit="1" customWidth="1"/>
    <col min="10502" max="10502" width="32.7109375" style="727" customWidth="1"/>
    <col min="10503" max="10503" width="12" style="727" customWidth="1"/>
    <col min="10504" max="10504" width="18.42578125" style="727" customWidth="1"/>
    <col min="10505" max="10505" width="23.85546875" style="727" customWidth="1"/>
    <col min="10506" max="10506" width="12.42578125" style="727" customWidth="1"/>
    <col min="10507" max="10752" width="10.85546875" style="727"/>
    <col min="10753" max="10753" width="33.140625" style="727" bestFit="1" customWidth="1"/>
    <col min="10754" max="10754" width="15.7109375" style="727" customWidth="1"/>
    <col min="10755" max="10755" width="18.85546875" style="727" bestFit="1" customWidth="1"/>
    <col min="10756" max="10756" width="34.7109375" style="727" bestFit="1" customWidth="1"/>
    <col min="10757" max="10757" width="24.7109375" style="727" bestFit="1" customWidth="1"/>
    <col min="10758" max="10758" width="32.7109375" style="727" customWidth="1"/>
    <col min="10759" max="10759" width="12" style="727" customWidth="1"/>
    <col min="10760" max="10760" width="18.42578125" style="727" customWidth="1"/>
    <col min="10761" max="10761" width="23.85546875" style="727" customWidth="1"/>
    <col min="10762" max="10762" width="12.42578125" style="727" customWidth="1"/>
    <col min="10763" max="11008" width="10.85546875" style="727"/>
    <col min="11009" max="11009" width="33.140625" style="727" bestFit="1" customWidth="1"/>
    <col min="11010" max="11010" width="15.7109375" style="727" customWidth="1"/>
    <col min="11011" max="11011" width="18.85546875" style="727" bestFit="1" customWidth="1"/>
    <col min="11012" max="11012" width="34.7109375" style="727" bestFit="1" customWidth="1"/>
    <col min="11013" max="11013" width="24.7109375" style="727" bestFit="1" customWidth="1"/>
    <col min="11014" max="11014" width="32.7109375" style="727" customWidth="1"/>
    <col min="11015" max="11015" width="12" style="727" customWidth="1"/>
    <col min="11016" max="11016" width="18.42578125" style="727" customWidth="1"/>
    <col min="11017" max="11017" width="23.85546875" style="727" customWidth="1"/>
    <col min="11018" max="11018" width="12.42578125" style="727" customWidth="1"/>
    <col min="11019" max="11264" width="10.85546875" style="727"/>
    <col min="11265" max="11265" width="33.140625" style="727" bestFit="1" customWidth="1"/>
    <col min="11266" max="11266" width="15.7109375" style="727" customWidth="1"/>
    <col min="11267" max="11267" width="18.85546875" style="727" bestFit="1" customWidth="1"/>
    <col min="11268" max="11268" width="34.7109375" style="727" bestFit="1" customWidth="1"/>
    <col min="11269" max="11269" width="24.7109375" style="727" bestFit="1" customWidth="1"/>
    <col min="11270" max="11270" width="32.7109375" style="727" customWidth="1"/>
    <col min="11271" max="11271" width="12" style="727" customWidth="1"/>
    <col min="11272" max="11272" width="18.42578125" style="727" customWidth="1"/>
    <col min="11273" max="11273" width="23.85546875" style="727" customWidth="1"/>
    <col min="11274" max="11274" width="12.42578125" style="727" customWidth="1"/>
    <col min="11275" max="11520" width="10.85546875" style="727"/>
    <col min="11521" max="11521" width="33.140625" style="727" bestFit="1" customWidth="1"/>
    <col min="11522" max="11522" width="15.7109375" style="727" customWidth="1"/>
    <col min="11523" max="11523" width="18.85546875" style="727" bestFit="1" customWidth="1"/>
    <col min="11524" max="11524" width="34.7109375" style="727" bestFit="1" customWidth="1"/>
    <col min="11525" max="11525" width="24.7109375" style="727" bestFit="1" customWidth="1"/>
    <col min="11526" max="11526" width="32.7109375" style="727" customWidth="1"/>
    <col min="11527" max="11527" width="12" style="727" customWidth="1"/>
    <col min="11528" max="11528" width="18.42578125" style="727" customWidth="1"/>
    <col min="11529" max="11529" width="23.85546875" style="727" customWidth="1"/>
    <col min="11530" max="11530" width="12.42578125" style="727" customWidth="1"/>
    <col min="11531" max="11776" width="10.85546875" style="727"/>
    <col min="11777" max="11777" width="33.140625" style="727" bestFit="1" customWidth="1"/>
    <col min="11778" max="11778" width="15.7109375" style="727" customWidth="1"/>
    <col min="11779" max="11779" width="18.85546875" style="727" bestFit="1" customWidth="1"/>
    <col min="11780" max="11780" width="34.7109375" style="727" bestFit="1" customWidth="1"/>
    <col min="11781" max="11781" width="24.7109375" style="727" bestFit="1" customWidth="1"/>
    <col min="11782" max="11782" width="32.7109375" style="727" customWidth="1"/>
    <col min="11783" max="11783" width="12" style="727" customWidth="1"/>
    <col min="11784" max="11784" width="18.42578125" style="727" customWidth="1"/>
    <col min="11785" max="11785" width="23.85546875" style="727" customWidth="1"/>
    <col min="11786" max="11786" width="12.42578125" style="727" customWidth="1"/>
    <col min="11787" max="12032" width="10.85546875" style="727"/>
    <col min="12033" max="12033" width="33.140625" style="727" bestFit="1" customWidth="1"/>
    <col min="12034" max="12034" width="15.7109375" style="727" customWidth="1"/>
    <col min="12035" max="12035" width="18.85546875" style="727" bestFit="1" customWidth="1"/>
    <col min="12036" max="12036" width="34.7109375" style="727" bestFit="1" customWidth="1"/>
    <col min="12037" max="12037" width="24.7109375" style="727" bestFit="1" customWidth="1"/>
    <col min="12038" max="12038" width="32.7109375" style="727" customWidth="1"/>
    <col min="12039" max="12039" width="12" style="727" customWidth="1"/>
    <col min="12040" max="12040" width="18.42578125" style="727" customWidth="1"/>
    <col min="12041" max="12041" width="23.85546875" style="727" customWidth="1"/>
    <col min="12042" max="12042" width="12.42578125" style="727" customWidth="1"/>
    <col min="12043" max="12288" width="10.85546875" style="727"/>
    <col min="12289" max="12289" width="33.140625" style="727" bestFit="1" customWidth="1"/>
    <col min="12290" max="12290" width="15.7109375" style="727" customWidth="1"/>
    <col min="12291" max="12291" width="18.85546875" style="727" bestFit="1" customWidth="1"/>
    <col min="12292" max="12292" width="34.7109375" style="727" bestFit="1" customWidth="1"/>
    <col min="12293" max="12293" width="24.7109375" style="727" bestFit="1" customWidth="1"/>
    <col min="12294" max="12294" width="32.7109375" style="727" customWidth="1"/>
    <col min="12295" max="12295" width="12" style="727" customWidth="1"/>
    <col min="12296" max="12296" width="18.42578125" style="727" customWidth="1"/>
    <col min="12297" max="12297" width="23.85546875" style="727" customWidth="1"/>
    <col min="12298" max="12298" width="12.42578125" style="727" customWidth="1"/>
    <col min="12299" max="12544" width="10.85546875" style="727"/>
    <col min="12545" max="12545" width="33.140625" style="727" bestFit="1" customWidth="1"/>
    <col min="12546" max="12546" width="15.7109375" style="727" customWidth="1"/>
    <col min="12547" max="12547" width="18.85546875" style="727" bestFit="1" customWidth="1"/>
    <col min="12548" max="12548" width="34.7109375" style="727" bestFit="1" customWidth="1"/>
    <col min="12549" max="12549" width="24.7109375" style="727" bestFit="1" customWidth="1"/>
    <col min="12550" max="12550" width="32.7109375" style="727" customWidth="1"/>
    <col min="12551" max="12551" width="12" style="727" customWidth="1"/>
    <col min="12552" max="12552" width="18.42578125" style="727" customWidth="1"/>
    <col min="12553" max="12553" width="23.85546875" style="727" customWidth="1"/>
    <col min="12554" max="12554" width="12.42578125" style="727" customWidth="1"/>
    <col min="12555" max="12800" width="10.85546875" style="727"/>
    <col min="12801" max="12801" width="33.140625" style="727" bestFit="1" customWidth="1"/>
    <col min="12802" max="12802" width="15.7109375" style="727" customWidth="1"/>
    <col min="12803" max="12803" width="18.85546875" style="727" bestFit="1" customWidth="1"/>
    <col min="12804" max="12804" width="34.7109375" style="727" bestFit="1" customWidth="1"/>
    <col min="12805" max="12805" width="24.7109375" style="727" bestFit="1" customWidth="1"/>
    <col min="12806" max="12806" width="32.7109375" style="727" customWidth="1"/>
    <col min="12807" max="12807" width="12" style="727" customWidth="1"/>
    <col min="12808" max="12808" width="18.42578125" style="727" customWidth="1"/>
    <col min="12809" max="12809" width="23.85546875" style="727" customWidth="1"/>
    <col min="12810" max="12810" width="12.42578125" style="727" customWidth="1"/>
    <col min="12811" max="13056" width="10.85546875" style="727"/>
    <col min="13057" max="13057" width="33.140625" style="727" bestFit="1" customWidth="1"/>
    <col min="13058" max="13058" width="15.7109375" style="727" customWidth="1"/>
    <col min="13059" max="13059" width="18.85546875" style="727" bestFit="1" customWidth="1"/>
    <col min="13060" max="13060" width="34.7109375" style="727" bestFit="1" customWidth="1"/>
    <col min="13061" max="13061" width="24.7109375" style="727" bestFit="1" customWidth="1"/>
    <col min="13062" max="13062" width="32.7109375" style="727" customWidth="1"/>
    <col min="13063" max="13063" width="12" style="727" customWidth="1"/>
    <col min="13064" max="13064" width="18.42578125" style="727" customWidth="1"/>
    <col min="13065" max="13065" width="23.85546875" style="727" customWidth="1"/>
    <col min="13066" max="13066" width="12.42578125" style="727" customWidth="1"/>
    <col min="13067" max="13312" width="10.85546875" style="727"/>
    <col min="13313" max="13313" width="33.140625" style="727" bestFit="1" customWidth="1"/>
    <col min="13314" max="13314" width="15.7109375" style="727" customWidth="1"/>
    <col min="13315" max="13315" width="18.85546875" style="727" bestFit="1" customWidth="1"/>
    <col min="13316" max="13316" width="34.7109375" style="727" bestFit="1" customWidth="1"/>
    <col min="13317" max="13317" width="24.7109375" style="727" bestFit="1" customWidth="1"/>
    <col min="13318" max="13318" width="32.7109375" style="727" customWidth="1"/>
    <col min="13319" max="13319" width="12" style="727" customWidth="1"/>
    <col min="13320" max="13320" width="18.42578125" style="727" customWidth="1"/>
    <col min="13321" max="13321" width="23.85546875" style="727" customWidth="1"/>
    <col min="13322" max="13322" width="12.42578125" style="727" customWidth="1"/>
    <col min="13323" max="13568" width="10.85546875" style="727"/>
    <col min="13569" max="13569" width="33.140625" style="727" bestFit="1" customWidth="1"/>
    <col min="13570" max="13570" width="15.7109375" style="727" customWidth="1"/>
    <col min="13571" max="13571" width="18.85546875" style="727" bestFit="1" customWidth="1"/>
    <col min="13572" max="13572" width="34.7109375" style="727" bestFit="1" customWidth="1"/>
    <col min="13573" max="13573" width="24.7109375" style="727" bestFit="1" customWidth="1"/>
    <col min="13574" max="13574" width="32.7109375" style="727" customWidth="1"/>
    <col min="13575" max="13575" width="12" style="727" customWidth="1"/>
    <col min="13576" max="13576" width="18.42578125" style="727" customWidth="1"/>
    <col min="13577" max="13577" width="23.85546875" style="727" customWidth="1"/>
    <col min="13578" max="13578" width="12.42578125" style="727" customWidth="1"/>
    <col min="13579" max="13824" width="10.85546875" style="727"/>
    <col min="13825" max="13825" width="33.140625" style="727" bestFit="1" customWidth="1"/>
    <col min="13826" max="13826" width="15.7109375" style="727" customWidth="1"/>
    <col min="13827" max="13827" width="18.85546875" style="727" bestFit="1" customWidth="1"/>
    <col min="13828" max="13828" width="34.7109375" style="727" bestFit="1" customWidth="1"/>
    <col min="13829" max="13829" width="24.7109375" style="727" bestFit="1" customWidth="1"/>
    <col min="13830" max="13830" width="32.7109375" style="727" customWidth="1"/>
    <col min="13831" max="13831" width="12" style="727" customWidth="1"/>
    <col min="13832" max="13832" width="18.42578125" style="727" customWidth="1"/>
    <col min="13833" max="13833" width="23.85546875" style="727" customWidth="1"/>
    <col min="13834" max="13834" width="12.42578125" style="727" customWidth="1"/>
    <col min="13835" max="14080" width="10.85546875" style="727"/>
    <col min="14081" max="14081" width="33.140625" style="727" bestFit="1" customWidth="1"/>
    <col min="14082" max="14082" width="15.7109375" style="727" customWidth="1"/>
    <col min="14083" max="14083" width="18.85546875" style="727" bestFit="1" customWidth="1"/>
    <col min="14084" max="14084" width="34.7109375" style="727" bestFit="1" customWidth="1"/>
    <col min="14085" max="14085" width="24.7109375" style="727" bestFit="1" customWidth="1"/>
    <col min="14086" max="14086" width="32.7109375" style="727" customWidth="1"/>
    <col min="14087" max="14087" width="12" style="727" customWidth="1"/>
    <col min="14088" max="14088" width="18.42578125" style="727" customWidth="1"/>
    <col min="14089" max="14089" width="23.85546875" style="727" customWidth="1"/>
    <col min="14090" max="14090" width="12.42578125" style="727" customWidth="1"/>
    <col min="14091" max="14336" width="10.85546875" style="727"/>
    <col min="14337" max="14337" width="33.140625" style="727" bestFit="1" customWidth="1"/>
    <col min="14338" max="14338" width="15.7109375" style="727" customWidth="1"/>
    <col min="14339" max="14339" width="18.85546875" style="727" bestFit="1" customWidth="1"/>
    <col min="14340" max="14340" width="34.7109375" style="727" bestFit="1" customWidth="1"/>
    <col min="14341" max="14341" width="24.7109375" style="727" bestFit="1" customWidth="1"/>
    <col min="14342" max="14342" width="32.7109375" style="727" customWidth="1"/>
    <col min="14343" max="14343" width="12" style="727" customWidth="1"/>
    <col min="14344" max="14344" width="18.42578125" style="727" customWidth="1"/>
    <col min="14345" max="14345" width="23.85546875" style="727" customWidth="1"/>
    <col min="14346" max="14346" width="12.42578125" style="727" customWidth="1"/>
    <col min="14347" max="14592" width="10.85546875" style="727"/>
    <col min="14593" max="14593" width="33.140625" style="727" bestFit="1" customWidth="1"/>
    <col min="14594" max="14594" width="15.7109375" style="727" customWidth="1"/>
    <col min="14595" max="14595" width="18.85546875" style="727" bestFit="1" customWidth="1"/>
    <col min="14596" max="14596" width="34.7109375" style="727" bestFit="1" customWidth="1"/>
    <col min="14597" max="14597" width="24.7109375" style="727" bestFit="1" customWidth="1"/>
    <col min="14598" max="14598" width="32.7109375" style="727" customWidth="1"/>
    <col min="14599" max="14599" width="12" style="727" customWidth="1"/>
    <col min="14600" max="14600" width="18.42578125" style="727" customWidth="1"/>
    <col min="14601" max="14601" width="23.85546875" style="727" customWidth="1"/>
    <col min="14602" max="14602" width="12.42578125" style="727" customWidth="1"/>
    <col min="14603" max="14848" width="10.85546875" style="727"/>
    <col min="14849" max="14849" width="33.140625" style="727" bestFit="1" customWidth="1"/>
    <col min="14850" max="14850" width="15.7109375" style="727" customWidth="1"/>
    <col min="14851" max="14851" width="18.85546875" style="727" bestFit="1" customWidth="1"/>
    <col min="14852" max="14852" width="34.7109375" style="727" bestFit="1" customWidth="1"/>
    <col min="14853" max="14853" width="24.7109375" style="727" bestFit="1" customWidth="1"/>
    <col min="14854" max="14854" width="32.7109375" style="727" customWidth="1"/>
    <col min="14855" max="14855" width="12" style="727" customWidth="1"/>
    <col min="14856" max="14856" width="18.42578125" style="727" customWidth="1"/>
    <col min="14857" max="14857" width="23.85546875" style="727" customWidth="1"/>
    <col min="14858" max="14858" width="12.42578125" style="727" customWidth="1"/>
    <col min="14859" max="15104" width="10.85546875" style="727"/>
    <col min="15105" max="15105" width="33.140625" style="727" bestFit="1" customWidth="1"/>
    <col min="15106" max="15106" width="15.7109375" style="727" customWidth="1"/>
    <col min="15107" max="15107" width="18.85546875" style="727" bestFit="1" customWidth="1"/>
    <col min="15108" max="15108" width="34.7109375" style="727" bestFit="1" customWidth="1"/>
    <col min="15109" max="15109" width="24.7109375" style="727" bestFit="1" customWidth="1"/>
    <col min="15110" max="15110" width="32.7109375" style="727" customWidth="1"/>
    <col min="15111" max="15111" width="12" style="727" customWidth="1"/>
    <col min="15112" max="15112" width="18.42578125" style="727" customWidth="1"/>
    <col min="15113" max="15113" width="23.85546875" style="727" customWidth="1"/>
    <col min="15114" max="15114" width="12.42578125" style="727" customWidth="1"/>
    <col min="15115" max="15360" width="10.85546875" style="727"/>
    <col min="15361" max="15361" width="33.140625" style="727" bestFit="1" customWidth="1"/>
    <col min="15362" max="15362" width="15.7109375" style="727" customWidth="1"/>
    <col min="15363" max="15363" width="18.85546875" style="727" bestFit="1" customWidth="1"/>
    <col min="15364" max="15364" width="34.7109375" style="727" bestFit="1" customWidth="1"/>
    <col min="15365" max="15365" width="24.7109375" style="727" bestFit="1" customWidth="1"/>
    <col min="15366" max="15366" width="32.7109375" style="727" customWidth="1"/>
    <col min="15367" max="15367" width="12" style="727" customWidth="1"/>
    <col min="15368" max="15368" width="18.42578125" style="727" customWidth="1"/>
    <col min="15369" max="15369" width="23.85546875" style="727" customWidth="1"/>
    <col min="15370" max="15370" width="12.42578125" style="727" customWidth="1"/>
    <col min="15371" max="15616" width="10.85546875" style="727"/>
    <col min="15617" max="15617" width="33.140625" style="727" bestFit="1" customWidth="1"/>
    <col min="15618" max="15618" width="15.7109375" style="727" customWidth="1"/>
    <col min="15619" max="15619" width="18.85546875" style="727" bestFit="1" customWidth="1"/>
    <col min="15620" max="15620" width="34.7109375" style="727" bestFit="1" customWidth="1"/>
    <col min="15621" max="15621" width="24.7109375" style="727" bestFit="1" customWidth="1"/>
    <col min="15622" max="15622" width="32.7109375" style="727" customWidth="1"/>
    <col min="15623" max="15623" width="12" style="727" customWidth="1"/>
    <col min="15624" max="15624" width="18.42578125" style="727" customWidth="1"/>
    <col min="15625" max="15625" width="23.85546875" style="727" customWidth="1"/>
    <col min="15626" max="15626" width="12.42578125" style="727" customWidth="1"/>
    <col min="15627" max="15872" width="10.85546875" style="727"/>
    <col min="15873" max="15873" width="33.140625" style="727" bestFit="1" customWidth="1"/>
    <col min="15874" max="15874" width="15.7109375" style="727" customWidth="1"/>
    <col min="15875" max="15875" width="18.85546875" style="727" bestFit="1" customWidth="1"/>
    <col min="15876" max="15876" width="34.7109375" style="727" bestFit="1" customWidth="1"/>
    <col min="15877" max="15877" width="24.7109375" style="727" bestFit="1" customWidth="1"/>
    <col min="15878" max="15878" width="32.7109375" style="727" customWidth="1"/>
    <col min="15879" max="15879" width="12" style="727" customWidth="1"/>
    <col min="15880" max="15880" width="18.42578125" style="727" customWidth="1"/>
    <col min="15881" max="15881" width="23.85546875" style="727" customWidth="1"/>
    <col min="15882" max="15882" width="12.42578125" style="727" customWidth="1"/>
    <col min="15883" max="16128" width="10.85546875" style="727"/>
    <col min="16129" max="16129" width="33.140625" style="727" bestFit="1" customWidth="1"/>
    <col min="16130" max="16130" width="15.7109375" style="727" customWidth="1"/>
    <col min="16131" max="16131" width="18.85546875" style="727" bestFit="1" customWidth="1"/>
    <col min="16132" max="16132" width="34.7109375" style="727" bestFit="1" customWidth="1"/>
    <col min="16133" max="16133" width="24.7109375" style="727" bestFit="1" customWidth="1"/>
    <col min="16134" max="16134" width="32.7109375" style="727" customWidth="1"/>
    <col min="16135" max="16135" width="12" style="727" customWidth="1"/>
    <col min="16136" max="16136" width="18.42578125" style="727" customWidth="1"/>
    <col min="16137" max="16137" width="23.85546875" style="727" customWidth="1"/>
    <col min="16138" max="16138" width="12.42578125" style="727" customWidth="1"/>
    <col min="16139" max="16384" width="10.85546875" style="727"/>
  </cols>
  <sheetData>
    <row r="1" spans="1:14">
      <c r="A1" s="726" t="s">
        <v>659</v>
      </c>
      <c r="B1" s="1163">
        <v>44931</v>
      </c>
      <c r="C1" s="1164"/>
      <c r="D1" s="1164"/>
      <c r="E1" s="1164"/>
      <c r="F1" s="1164"/>
      <c r="G1" s="1164"/>
      <c r="H1" s="1165" t="s">
        <v>929</v>
      </c>
      <c r="I1" s="1166"/>
    </row>
    <row r="2" spans="1:14">
      <c r="A2" s="728" t="s">
        <v>660</v>
      </c>
      <c r="B2" s="1138" t="s">
        <v>661</v>
      </c>
      <c r="C2" s="1139"/>
      <c r="D2" s="1139"/>
      <c r="E2" s="1139"/>
      <c r="F2" s="1139"/>
      <c r="G2" s="1139"/>
      <c r="H2" s="1167"/>
      <c r="I2" s="1168"/>
    </row>
    <row r="3" spans="1:14">
      <c r="A3" s="728" t="s">
        <v>662</v>
      </c>
      <c r="B3" s="1171" t="s">
        <v>930</v>
      </c>
      <c r="C3" s="1172"/>
      <c r="D3" s="1172"/>
      <c r="E3" s="1173"/>
      <c r="F3" s="1171" t="s">
        <v>664</v>
      </c>
      <c r="G3" s="1172"/>
      <c r="H3" s="1167"/>
      <c r="I3" s="1168"/>
      <c r="J3" s="729"/>
    </row>
    <row r="4" spans="1:14">
      <c r="A4" s="728" t="s">
        <v>665</v>
      </c>
      <c r="B4" s="1151" t="s">
        <v>666</v>
      </c>
      <c r="C4" s="1152"/>
      <c r="D4" s="1152"/>
      <c r="E4" s="1152"/>
      <c r="F4" s="1152"/>
      <c r="G4" s="1152"/>
      <c r="H4" s="1167"/>
      <c r="I4" s="1168"/>
    </row>
    <row r="5" spans="1:14">
      <c r="A5" s="728" t="s">
        <v>667</v>
      </c>
      <c r="B5" s="1154" t="s">
        <v>668</v>
      </c>
      <c r="C5" s="1155"/>
      <c r="D5" s="1155"/>
      <c r="E5" s="1155"/>
      <c r="F5" s="1155"/>
      <c r="G5" s="1155"/>
      <c r="H5" s="1167"/>
      <c r="I5" s="1168"/>
    </row>
    <row r="6" spans="1:14" s="730" customFormat="1" ht="17.100000000000001" thickBot="1">
      <c r="A6" s="728" t="s">
        <v>669</v>
      </c>
      <c r="B6" s="1174" t="s">
        <v>670</v>
      </c>
      <c r="C6" s="1139"/>
      <c r="D6" s="1139"/>
      <c r="E6" s="1139"/>
      <c r="F6" s="1139"/>
      <c r="G6" s="1139"/>
      <c r="H6" s="1169"/>
      <c r="I6" s="1170"/>
    </row>
    <row r="7" spans="1:14">
      <c r="A7" s="731" t="s">
        <v>671</v>
      </c>
      <c r="B7" s="1141" t="s">
        <v>672</v>
      </c>
      <c r="C7" s="1142"/>
      <c r="D7" s="1142"/>
      <c r="E7" s="1142"/>
      <c r="F7" s="1142"/>
      <c r="G7" s="1162"/>
    </row>
    <row r="8" spans="1:14" s="737" customFormat="1" ht="42" customHeight="1">
      <c r="A8" s="732" t="s">
        <v>931</v>
      </c>
      <c r="B8" s="733" t="s">
        <v>932</v>
      </c>
      <c r="C8" s="734" t="s">
        <v>933</v>
      </c>
      <c r="D8" s="734" t="s">
        <v>934</v>
      </c>
      <c r="E8" s="733" t="s">
        <v>492</v>
      </c>
      <c r="F8" s="735" t="s">
        <v>935</v>
      </c>
      <c r="G8" s="735" t="s">
        <v>936</v>
      </c>
      <c r="H8" s="735" t="s">
        <v>937</v>
      </c>
      <c r="I8" s="735" t="s">
        <v>938</v>
      </c>
      <c r="J8" s="735" t="s">
        <v>939</v>
      </c>
      <c r="K8" s="735" t="s">
        <v>940</v>
      </c>
      <c r="L8" s="735" t="s">
        <v>941</v>
      </c>
      <c r="M8" s="735" t="s">
        <v>942</v>
      </c>
      <c r="N8" s="736" t="s">
        <v>943</v>
      </c>
    </row>
    <row r="9" spans="1:14">
      <c r="A9" s="738" t="s">
        <v>679</v>
      </c>
      <c r="B9" s="739">
        <v>58</v>
      </c>
      <c r="C9" s="740">
        <v>1053.1300000000001</v>
      </c>
      <c r="D9" s="740">
        <v>1557.1160000000004</v>
      </c>
      <c r="E9" s="794">
        <v>0.67633368355344103</v>
      </c>
      <c r="F9" s="795">
        <v>2363.3980000000001</v>
      </c>
      <c r="G9" s="794">
        <v>1.5178047107601484</v>
      </c>
      <c r="H9" s="740">
        <v>2099.3209999999999</v>
      </c>
      <c r="I9" s="740">
        <v>701.91599999999926</v>
      </c>
      <c r="J9" s="740">
        <v>1441.347999999999</v>
      </c>
      <c r="K9" s="794">
        <v>2.9908436337111595</v>
      </c>
      <c r="L9" s="794">
        <v>1.4564983612562694</v>
      </c>
      <c r="M9" s="794">
        <v>1.3482110517135522</v>
      </c>
      <c r="N9" s="741">
        <v>9.3488853578428122E-2</v>
      </c>
    </row>
    <row r="10" spans="1:14">
      <c r="A10" s="738" t="s">
        <v>680</v>
      </c>
      <c r="B10" s="739">
        <v>77</v>
      </c>
      <c r="C10" s="740">
        <v>10261.133999999996</v>
      </c>
      <c r="D10" s="740">
        <v>14514.276000000003</v>
      </c>
      <c r="E10" s="794">
        <v>0.70696836686859155</v>
      </c>
      <c r="F10" s="795">
        <v>27906.122999999992</v>
      </c>
      <c r="G10" s="794">
        <v>1.9226672415489403</v>
      </c>
      <c r="H10" s="740">
        <v>26339.715999999993</v>
      </c>
      <c r="I10" s="740">
        <v>11777.548000000003</v>
      </c>
      <c r="J10" s="740">
        <v>7574.2989999999954</v>
      </c>
      <c r="K10" s="794">
        <v>2.236434612705462</v>
      </c>
      <c r="L10" s="794">
        <v>3.4775120443489236</v>
      </c>
      <c r="M10" s="794">
        <v>1.8147454271918204</v>
      </c>
      <c r="N10" s="741">
        <v>3.7667223768941376E-2</v>
      </c>
    </row>
    <row r="11" spans="1:14">
      <c r="A11" s="738" t="s">
        <v>681</v>
      </c>
      <c r="B11" s="739">
        <v>21</v>
      </c>
      <c r="C11" s="740">
        <v>0</v>
      </c>
      <c r="D11" s="740">
        <v>-3270.3099999999995</v>
      </c>
      <c r="E11" s="794">
        <v>0</v>
      </c>
      <c r="F11" s="795">
        <v>402.29300000000001</v>
      </c>
      <c r="G11" s="794" t="s">
        <v>944</v>
      </c>
      <c r="H11" s="740">
        <v>-143.95900000000006</v>
      </c>
      <c r="I11" s="740">
        <v>-7598.894999999995</v>
      </c>
      <c r="J11" s="740">
        <v>-21052.221999999994</v>
      </c>
      <c r="K11" s="794" t="s">
        <v>944</v>
      </c>
      <c r="L11" s="794" t="s">
        <v>944</v>
      </c>
      <c r="M11" s="794">
        <v>4.4019985872898924E-2</v>
      </c>
      <c r="N11" s="741">
        <v>0.14899071469326405</v>
      </c>
    </row>
    <row r="12" spans="1:14">
      <c r="A12" s="738" t="s">
        <v>682</v>
      </c>
      <c r="B12" s="739">
        <v>39</v>
      </c>
      <c r="C12" s="740">
        <v>1985.6799999999998</v>
      </c>
      <c r="D12" s="740">
        <v>3655.799</v>
      </c>
      <c r="E12" s="794">
        <v>0.54315896470238101</v>
      </c>
      <c r="F12" s="795">
        <v>8007.9700000000012</v>
      </c>
      <c r="G12" s="794">
        <v>2.1904842142579506</v>
      </c>
      <c r="H12" s="740">
        <v>7841.4590000000007</v>
      </c>
      <c r="I12" s="740">
        <v>-2499.1609999999996</v>
      </c>
      <c r="J12" s="740">
        <v>-1233.1489999999994</v>
      </c>
      <c r="K12" s="794" t="s">
        <v>944</v>
      </c>
      <c r="L12" s="794" t="s">
        <v>944</v>
      </c>
      <c r="M12" s="794">
        <v>2.144937125919669</v>
      </c>
      <c r="N12" s="741">
        <v>6.0170317847693479E-2</v>
      </c>
    </row>
    <row r="13" spans="1:14">
      <c r="A13" s="738" t="s">
        <v>683</v>
      </c>
      <c r="B13" s="739">
        <v>31</v>
      </c>
      <c r="C13" s="740">
        <v>2124.5000000000005</v>
      </c>
      <c r="D13" s="740">
        <v>20137.8</v>
      </c>
      <c r="E13" s="794">
        <v>0.10549811796720597</v>
      </c>
      <c r="F13" s="795">
        <v>4627.0460000000003</v>
      </c>
      <c r="G13" s="794">
        <v>0.22976919027897785</v>
      </c>
      <c r="H13" s="740">
        <v>-7894.9660000000003</v>
      </c>
      <c r="I13" s="740">
        <v>2434.3090000000084</v>
      </c>
      <c r="J13" s="740">
        <v>-3779.6929999999993</v>
      </c>
      <c r="K13" s="794">
        <v>-3.2432061829455394</v>
      </c>
      <c r="L13" s="794" t="s">
        <v>944</v>
      </c>
      <c r="M13" s="794">
        <v>-0.39204709551192291</v>
      </c>
      <c r="N13" s="741">
        <v>8.6707773582228378E-2</v>
      </c>
    </row>
    <row r="14" spans="1:14">
      <c r="A14" s="738" t="s">
        <v>684</v>
      </c>
      <c r="B14" s="739">
        <v>37</v>
      </c>
      <c r="C14" s="740">
        <v>694.39799999999991</v>
      </c>
      <c r="D14" s="740">
        <v>1869.7009999999993</v>
      </c>
      <c r="E14" s="794">
        <v>0.37139521238957468</v>
      </c>
      <c r="F14" s="795">
        <v>1616.7359999999999</v>
      </c>
      <c r="G14" s="794">
        <v>0.86470296587529261</v>
      </c>
      <c r="H14" s="740">
        <v>1567.8719999999998</v>
      </c>
      <c r="I14" s="740">
        <v>-1796.6990000000023</v>
      </c>
      <c r="J14" s="740">
        <v>-246.25200000000586</v>
      </c>
      <c r="K14" s="794" t="s">
        <v>944</v>
      </c>
      <c r="L14" s="794" t="s">
        <v>944</v>
      </c>
      <c r="M14" s="794">
        <v>0.83856830584141551</v>
      </c>
      <c r="N14" s="741">
        <v>7.1275726876243464E-2</v>
      </c>
    </row>
    <row r="15" spans="1:14">
      <c r="A15" s="738" t="s">
        <v>685</v>
      </c>
      <c r="B15" s="739">
        <v>7</v>
      </c>
      <c r="C15" s="740">
        <v>29107.115999999998</v>
      </c>
      <c r="D15" s="740">
        <v>102625.92</v>
      </c>
      <c r="E15" s="794">
        <v>0.2836234354829657</v>
      </c>
      <c r="F15" s="795">
        <v>40359</v>
      </c>
      <c r="G15" s="794">
        <v>0.39326322239060074</v>
      </c>
      <c r="H15" s="740">
        <v>40338</v>
      </c>
      <c r="I15" s="740">
        <v>141352.91999999998</v>
      </c>
      <c r="J15" s="740">
        <v>280520.92</v>
      </c>
      <c r="K15" s="794">
        <v>0.28537082926903812</v>
      </c>
      <c r="L15" s="794">
        <v>0.14379676210957815</v>
      </c>
      <c r="M15" s="794">
        <v>0.39305859572318574</v>
      </c>
      <c r="N15" s="741">
        <v>0.44301926004171199</v>
      </c>
    </row>
    <row r="16" spans="1:14">
      <c r="A16" s="738" t="s">
        <v>686</v>
      </c>
      <c r="B16" s="739">
        <v>557</v>
      </c>
      <c r="C16" s="740">
        <v>19659.992319999994</v>
      </c>
      <c r="D16" s="740">
        <v>67543.369999999937</v>
      </c>
      <c r="E16" s="794">
        <v>0.29107212625014139</v>
      </c>
      <c r="F16" s="795">
        <v>36122.305999999982</v>
      </c>
      <c r="G16" s="794">
        <v>0.53480165410757585</v>
      </c>
      <c r="H16" s="740">
        <v>32945.142999999982</v>
      </c>
      <c r="I16" s="740">
        <v>58434.707999999941</v>
      </c>
      <c r="J16" s="740">
        <v>192772.17699999997</v>
      </c>
      <c r="K16" s="794">
        <v>0.56379408963590638</v>
      </c>
      <c r="L16" s="794">
        <v>0.17090196060814308</v>
      </c>
      <c r="M16" s="794">
        <v>0.48776279596354183</v>
      </c>
      <c r="N16" s="741">
        <v>0.1765640030797172</v>
      </c>
    </row>
    <row r="17" spans="1:14">
      <c r="A17" s="738" t="s">
        <v>687</v>
      </c>
      <c r="B17" s="739">
        <v>23</v>
      </c>
      <c r="C17" s="740">
        <v>1270.5999999999999</v>
      </c>
      <c r="D17" s="740">
        <v>1608.2900000000002</v>
      </c>
      <c r="E17" s="794">
        <v>0.79003164852109986</v>
      </c>
      <c r="F17" s="795">
        <v>2848.614</v>
      </c>
      <c r="G17" s="794">
        <v>1.7712066853614707</v>
      </c>
      <c r="H17" s="740">
        <v>2592.3069999999998</v>
      </c>
      <c r="I17" s="740">
        <v>-195.70500000000055</v>
      </c>
      <c r="J17" s="740">
        <v>-105.86599999999999</v>
      </c>
      <c r="K17" s="794" t="s">
        <v>944</v>
      </c>
      <c r="L17" s="794" t="s">
        <v>944</v>
      </c>
      <c r="M17" s="794">
        <v>1.6118405262732465</v>
      </c>
      <c r="N17" s="741">
        <v>1.8550558673249666E-2</v>
      </c>
    </row>
    <row r="18" spans="1:14">
      <c r="A18" s="738" t="s">
        <v>688</v>
      </c>
      <c r="B18" s="739">
        <v>31</v>
      </c>
      <c r="C18" s="740">
        <v>12915.352000000001</v>
      </c>
      <c r="D18" s="740">
        <v>22852.321000000004</v>
      </c>
      <c r="E18" s="794">
        <v>0.56516587527367568</v>
      </c>
      <c r="F18" s="795">
        <v>16206.483</v>
      </c>
      <c r="G18" s="794">
        <v>0.70918323788642723</v>
      </c>
      <c r="H18" s="740">
        <v>15024.785</v>
      </c>
      <c r="I18" s="740">
        <v>21780.180000000008</v>
      </c>
      <c r="J18" s="740">
        <v>25887.173000000013</v>
      </c>
      <c r="K18" s="794">
        <v>0.68983750363862906</v>
      </c>
      <c r="L18" s="794">
        <v>0.58039497012671071</v>
      </c>
      <c r="M18" s="794">
        <v>0.65747304179737354</v>
      </c>
      <c r="N18" s="741">
        <v>2.655230937298967E-2</v>
      </c>
    </row>
    <row r="19" spans="1:14">
      <c r="A19" s="738" t="s">
        <v>689</v>
      </c>
      <c r="B19" s="739">
        <v>26</v>
      </c>
      <c r="C19" s="740">
        <v>1266.3099999999997</v>
      </c>
      <c r="D19" s="740">
        <v>8817.2500000000036</v>
      </c>
      <c r="E19" s="794">
        <v>0.14361734100768372</v>
      </c>
      <c r="F19" s="795">
        <v>3476.6859999999988</v>
      </c>
      <c r="G19" s="794">
        <v>0.39430502707760329</v>
      </c>
      <c r="H19" s="740">
        <v>3464.8299999999986</v>
      </c>
      <c r="I19" s="740">
        <v>-5822.6019999999953</v>
      </c>
      <c r="J19" s="740">
        <v>-7578.3809999999994</v>
      </c>
      <c r="K19" s="794" t="s">
        <v>944</v>
      </c>
      <c r="L19" s="794" t="s">
        <v>944</v>
      </c>
      <c r="M19" s="794">
        <v>0.39296039014431905</v>
      </c>
      <c r="N19" s="741">
        <v>0.10393630501139743</v>
      </c>
    </row>
    <row r="20" spans="1:14">
      <c r="A20" s="738" t="s">
        <v>690</v>
      </c>
      <c r="B20" s="739">
        <v>30</v>
      </c>
      <c r="C20" s="740">
        <v>11022.991</v>
      </c>
      <c r="D20" s="740">
        <v>38423.511000000013</v>
      </c>
      <c r="E20" s="794">
        <v>0.2868814096660765</v>
      </c>
      <c r="F20" s="795">
        <v>24277.15</v>
      </c>
      <c r="G20" s="794">
        <v>0.63183059975961053</v>
      </c>
      <c r="H20" s="740">
        <v>23872.690000000002</v>
      </c>
      <c r="I20" s="740">
        <v>100348.33000000002</v>
      </c>
      <c r="J20" s="740">
        <v>171525.17299999998</v>
      </c>
      <c r="K20" s="794">
        <v>0.23789822909858091</v>
      </c>
      <c r="L20" s="794">
        <v>0.13917892973062329</v>
      </c>
      <c r="M20" s="794">
        <v>0.62130423219262798</v>
      </c>
      <c r="N20" s="741">
        <v>0.30759698309671335</v>
      </c>
    </row>
    <row r="21" spans="1:14">
      <c r="A21" s="738" t="s">
        <v>691</v>
      </c>
      <c r="B21" s="739">
        <v>45</v>
      </c>
      <c r="C21" s="740">
        <v>1861.5349999999992</v>
      </c>
      <c r="D21" s="740">
        <v>14370.389000000005</v>
      </c>
      <c r="E21" s="794">
        <v>0.12953963876691149</v>
      </c>
      <c r="F21" s="795">
        <v>11996.662999999999</v>
      </c>
      <c r="G21" s="794">
        <v>0.83481825022273193</v>
      </c>
      <c r="H21" s="740">
        <v>11720.667999999998</v>
      </c>
      <c r="I21" s="740">
        <v>9419.2190000000082</v>
      </c>
      <c r="J21" s="740">
        <v>13041.201000000001</v>
      </c>
      <c r="K21" s="794">
        <v>1.2443354380018117</v>
      </c>
      <c r="L21" s="794">
        <v>0.8987414579378078</v>
      </c>
      <c r="M21" s="794">
        <v>0.8156124374921232</v>
      </c>
      <c r="N21" s="741">
        <v>4.4413028827024706E-2</v>
      </c>
    </row>
    <row r="22" spans="1:14">
      <c r="A22" s="738" t="s">
        <v>692</v>
      </c>
      <c r="B22" s="739">
        <v>164</v>
      </c>
      <c r="C22" s="740">
        <v>3112.873</v>
      </c>
      <c r="D22" s="740">
        <v>11028.555999999986</v>
      </c>
      <c r="E22" s="794">
        <v>0.28225571869971045</v>
      </c>
      <c r="F22" s="795">
        <v>12512.879999999997</v>
      </c>
      <c r="G22" s="794">
        <v>1.1345891520159133</v>
      </c>
      <c r="H22" s="740">
        <v>8943.9909999999982</v>
      </c>
      <c r="I22" s="740">
        <v>11231.013999999992</v>
      </c>
      <c r="J22" s="740">
        <v>16410.593999999997</v>
      </c>
      <c r="K22" s="794">
        <v>0.79636540387181465</v>
      </c>
      <c r="L22" s="794">
        <v>0.5450132396182612</v>
      </c>
      <c r="M22" s="794">
        <v>0.81098477443465944</v>
      </c>
      <c r="N22" s="741">
        <v>4.8045201312521844E-2</v>
      </c>
    </row>
    <row r="23" spans="1:14">
      <c r="A23" s="738" t="s">
        <v>693</v>
      </c>
      <c r="B23" s="739">
        <v>10</v>
      </c>
      <c r="C23" s="740">
        <v>5128.3999999999996</v>
      </c>
      <c r="D23" s="740">
        <v>17653.3</v>
      </c>
      <c r="E23" s="794">
        <v>0.29050659083570779</v>
      </c>
      <c r="F23" s="795">
        <v>36881.299999999996</v>
      </c>
      <c r="G23" s="794">
        <v>2.0892014524196609</v>
      </c>
      <c r="H23" s="740">
        <v>36832.999999999993</v>
      </c>
      <c r="I23" s="740">
        <v>18830.079999999994</v>
      </c>
      <c r="J23" s="740">
        <v>28294.379999999994</v>
      </c>
      <c r="K23" s="794">
        <v>1.9560724118006936</v>
      </c>
      <c r="L23" s="794">
        <v>1.3017779502501912</v>
      </c>
      <c r="M23" s="794">
        <v>2.0864654200631039</v>
      </c>
      <c r="N23" s="741">
        <v>1.4652309221875827E-2</v>
      </c>
    </row>
    <row r="24" spans="1:14">
      <c r="A24" s="738" t="s">
        <v>694</v>
      </c>
      <c r="B24" s="739">
        <v>38</v>
      </c>
      <c r="C24" s="740">
        <v>4333.8000000000011</v>
      </c>
      <c r="D24" s="740">
        <v>15819.509999999998</v>
      </c>
      <c r="E24" s="794">
        <v>0.27395285947542003</v>
      </c>
      <c r="F24" s="795">
        <v>9664.3940000000002</v>
      </c>
      <c r="G24" s="794">
        <v>0.6109161408918482</v>
      </c>
      <c r="H24" s="740">
        <v>9181.996000000001</v>
      </c>
      <c r="I24" s="740">
        <v>9847.0449999999964</v>
      </c>
      <c r="J24" s="740">
        <v>6877.9069999999965</v>
      </c>
      <c r="K24" s="794">
        <v>0.93246207364747535</v>
      </c>
      <c r="L24" s="794">
        <v>1.3349985686052466</v>
      </c>
      <c r="M24" s="794">
        <v>0.58042227603762708</v>
      </c>
      <c r="N24" s="741">
        <v>4.5382199797510112E-2</v>
      </c>
    </row>
    <row r="25" spans="1:14">
      <c r="A25" s="738" t="s">
        <v>695</v>
      </c>
      <c r="B25" s="739">
        <v>4</v>
      </c>
      <c r="C25" s="740">
        <v>330</v>
      </c>
      <c r="D25" s="740">
        <v>2259.2399999999998</v>
      </c>
      <c r="E25" s="794">
        <v>0.14606681893025975</v>
      </c>
      <c r="F25" s="795">
        <v>1751.1</v>
      </c>
      <c r="G25" s="794">
        <v>0.77508365645084187</v>
      </c>
      <c r="H25" s="740">
        <v>1683.1</v>
      </c>
      <c r="I25" s="740">
        <v>1824.0719999999999</v>
      </c>
      <c r="J25" s="740">
        <v>1901.9080000000001</v>
      </c>
      <c r="K25" s="794">
        <v>0.92271576999153537</v>
      </c>
      <c r="L25" s="794">
        <v>0.88495342571775282</v>
      </c>
      <c r="M25" s="794">
        <v>0.74498503921672776</v>
      </c>
      <c r="N25" s="741">
        <v>9.8248914040228272E-2</v>
      </c>
    </row>
    <row r="26" spans="1:14">
      <c r="A26" s="738" t="s">
        <v>696</v>
      </c>
      <c r="B26" s="739">
        <v>76</v>
      </c>
      <c r="C26" s="740">
        <v>7557.405999999999</v>
      </c>
      <c r="D26" s="740">
        <v>18677.567000000006</v>
      </c>
      <c r="E26" s="794">
        <v>0.40462475653279661</v>
      </c>
      <c r="F26" s="795">
        <v>20111.846999999994</v>
      </c>
      <c r="G26" s="794">
        <v>1.076791586398806</v>
      </c>
      <c r="H26" s="740">
        <v>19090.449999999993</v>
      </c>
      <c r="I26" s="740">
        <v>5618.0560000000078</v>
      </c>
      <c r="J26" s="740">
        <v>25052.168000000023</v>
      </c>
      <c r="K26" s="794">
        <v>3.3980526360007746</v>
      </c>
      <c r="L26" s="794">
        <v>0.76202786122143107</v>
      </c>
      <c r="M26" s="794">
        <v>1.0221058235261578</v>
      </c>
      <c r="N26" s="741">
        <v>4.9966819284392533E-2</v>
      </c>
    </row>
    <row r="27" spans="1:14">
      <c r="A27" s="738" t="s">
        <v>697</v>
      </c>
      <c r="B27" s="739">
        <v>19</v>
      </c>
      <c r="C27" s="740">
        <v>513.95500000000004</v>
      </c>
      <c r="D27" s="740">
        <v>2515.23</v>
      </c>
      <c r="E27" s="794">
        <v>0.20433717791215913</v>
      </c>
      <c r="F27" s="795">
        <v>573.17100000000005</v>
      </c>
      <c r="G27" s="794">
        <v>0.22788015410121543</v>
      </c>
      <c r="H27" s="740">
        <v>-345.24999999999989</v>
      </c>
      <c r="I27" s="740">
        <v>2307.1929999999998</v>
      </c>
      <c r="J27" s="740">
        <v>1255.0989999999997</v>
      </c>
      <c r="K27" s="794">
        <v>-0.14964071059508238</v>
      </c>
      <c r="L27" s="794">
        <v>-0.275077902221259</v>
      </c>
      <c r="M27" s="794">
        <v>-0.13726378899742764</v>
      </c>
      <c r="N27" s="741">
        <v>0.12601748160559528</v>
      </c>
    </row>
    <row r="28" spans="1:14">
      <c r="A28" s="738" t="s">
        <v>698</v>
      </c>
      <c r="B28" s="739">
        <v>80</v>
      </c>
      <c r="C28" s="740">
        <v>7172.6609999999982</v>
      </c>
      <c r="D28" s="740">
        <v>7664.5090000000037</v>
      </c>
      <c r="E28" s="794">
        <v>0.93582785276917213</v>
      </c>
      <c r="F28" s="795">
        <v>13409.186999999998</v>
      </c>
      <c r="G28" s="794">
        <v>1.7495167661751054</v>
      </c>
      <c r="H28" s="740">
        <v>12895.073999999999</v>
      </c>
      <c r="I28" s="740">
        <v>7927.0280000000075</v>
      </c>
      <c r="J28" s="740">
        <v>13115.963000000025</v>
      </c>
      <c r="K28" s="794">
        <v>1.6267223983566081</v>
      </c>
      <c r="L28" s="794">
        <v>0.98315876615388242</v>
      </c>
      <c r="M28" s="794">
        <v>1.6824396709560903</v>
      </c>
      <c r="N28" s="741">
        <v>5.2114354259030375E-2</v>
      </c>
    </row>
    <row r="29" spans="1:14">
      <c r="A29" s="738" t="s">
        <v>699</v>
      </c>
      <c r="B29" s="739">
        <v>42</v>
      </c>
      <c r="C29" s="740">
        <v>18124.950000000004</v>
      </c>
      <c r="D29" s="740">
        <v>106948.53700000004</v>
      </c>
      <c r="E29" s="794">
        <v>0.16947356652480433</v>
      </c>
      <c r="F29" s="795">
        <v>124125.576</v>
      </c>
      <c r="G29" s="794">
        <v>1.1606103223272699</v>
      </c>
      <c r="H29" s="740">
        <v>123564.499</v>
      </c>
      <c r="I29" s="740">
        <v>107732.42000000004</v>
      </c>
      <c r="J29" s="740">
        <v>105646.15400000004</v>
      </c>
      <c r="K29" s="794">
        <v>1.1469574247009391</v>
      </c>
      <c r="L29" s="794">
        <v>1.1696071680943534</v>
      </c>
      <c r="M29" s="794">
        <v>1.1553640888046925</v>
      </c>
      <c r="N29" s="741">
        <v>1.7944827521250071E-2</v>
      </c>
    </row>
    <row r="30" spans="1:14">
      <c r="A30" s="738" t="s">
        <v>700</v>
      </c>
      <c r="B30" s="739">
        <v>49</v>
      </c>
      <c r="C30" s="740">
        <v>4538.9599999999982</v>
      </c>
      <c r="D30" s="740">
        <v>14115.59</v>
      </c>
      <c r="E30" s="794">
        <v>0.32155652013128733</v>
      </c>
      <c r="F30" s="795">
        <v>12688.434999999998</v>
      </c>
      <c r="G30" s="794">
        <v>0.89889512234345126</v>
      </c>
      <c r="H30" s="740">
        <v>12082.062999999998</v>
      </c>
      <c r="I30" s="740">
        <v>4323.0430000000024</v>
      </c>
      <c r="J30" s="740">
        <v>10297.30599999999</v>
      </c>
      <c r="K30" s="794">
        <v>2.794805186994437</v>
      </c>
      <c r="L30" s="794">
        <v>1.1733227117850058</v>
      </c>
      <c r="M30" s="794">
        <v>0.85593751306179888</v>
      </c>
      <c r="N30" s="741">
        <v>4.153892916080696E-2</v>
      </c>
    </row>
    <row r="31" spans="1:14">
      <c r="A31" s="738" t="s">
        <v>701</v>
      </c>
      <c r="B31" s="739">
        <v>23</v>
      </c>
      <c r="C31" s="740">
        <v>6865.3540000000012</v>
      </c>
      <c r="D31" s="740">
        <v>4556.3100000000004</v>
      </c>
      <c r="E31" s="794">
        <v>1.5067793894620867</v>
      </c>
      <c r="F31" s="795">
        <v>25049.29</v>
      </c>
      <c r="G31" s="794">
        <v>5.4977141590453673</v>
      </c>
      <c r="H31" s="740">
        <v>23473.133000000002</v>
      </c>
      <c r="I31" s="740">
        <v>-8333.0159999999942</v>
      </c>
      <c r="J31" s="740">
        <v>-28355.903999999995</v>
      </c>
      <c r="K31" s="794" t="s">
        <v>944</v>
      </c>
      <c r="L31" s="794" t="s">
        <v>944</v>
      </c>
      <c r="M31" s="794">
        <v>5.1517857652354646</v>
      </c>
      <c r="N31" s="741">
        <v>4.6739475865868324E-2</v>
      </c>
    </row>
    <row r="32" spans="1:14">
      <c r="A32" s="738" t="s">
        <v>702</v>
      </c>
      <c r="B32" s="739">
        <v>598</v>
      </c>
      <c r="C32" s="740">
        <v>17685</v>
      </c>
      <c r="D32" s="740">
        <v>1336.6159999999957</v>
      </c>
      <c r="E32" s="794">
        <v>5.6919254543125089E-4</v>
      </c>
      <c r="F32" s="795">
        <v>37299.359000000011</v>
      </c>
      <c r="G32" s="794">
        <v>27.905815133142301</v>
      </c>
      <c r="H32" s="740">
        <v>13735.232000000018</v>
      </c>
      <c r="I32" s="740">
        <v>6456.4889999999214</v>
      </c>
      <c r="J32" s="740">
        <v>513.2669999999016</v>
      </c>
      <c r="K32" s="794">
        <v>2.1273531171508515</v>
      </c>
      <c r="L32" s="794">
        <v>26.760403454737304</v>
      </c>
      <c r="M32" s="794">
        <v>10.276124182263315</v>
      </c>
      <c r="N32" s="741">
        <v>7.1437251488811804E-2</v>
      </c>
    </row>
    <row r="33" spans="1:14">
      <c r="A33" s="738" t="s">
        <v>703</v>
      </c>
      <c r="B33" s="739">
        <v>281</v>
      </c>
      <c r="C33" s="740">
        <v>37183.449999999997</v>
      </c>
      <c r="D33" s="740">
        <v>72397.570000000051</v>
      </c>
      <c r="E33" s="794">
        <v>0.51360080179486645</v>
      </c>
      <c r="F33" s="795">
        <v>57540.930000000008</v>
      </c>
      <c r="G33" s="794">
        <v>0.79479090251233531</v>
      </c>
      <c r="H33" s="740">
        <v>50169.941000000006</v>
      </c>
      <c r="I33" s="740">
        <v>75076.595000000045</v>
      </c>
      <c r="J33" s="740">
        <v>72293.140000000058</v>
      </c>
      <c r="K33" s="794">
        <v>0.66825008512972617</v>
      </c>
      <c r="L33" s="794">
        <v>0.6939792765952616</v>
      </c>
      <c r="M33" s="794">
        <v>0.69297824498805649</v>
      </c>
      <c r="N33" s="741">
        <v>2.5649637421181277E-2</v>
      </c>
    </row>
    <row r="34" spans="1:14">
      <c r="A34" s="738" t="s">
        <v>704</v>
      </c>
      <c r="B34" s="739">
        <v>33</v>
      </c>
      <c r="C34" s="740">
        <v>90</v>
      </c>
      <c r="D34" s="740">
        <v>516.07699999999988</v>
      </c>
      <c r="E34" s="794">
        <v>0.17439258095206728</v>
      </c>
      <c r="F34" s="795">
        <v>2641.9349999999995</v>
      </c>
      <c r="G34" s="794">
        <v>5.1192651484177754</v>
      </c>
      <c r="H34" s="740">
        <v>2104.6249999999995</v>
      </c>
      <c r="I34" s="740">
        <v>407.23199999999997</v>
      </c>
      <c r="J34" s="740">
        <v>-685.19100000000117</v>
      </c>
      <c r="K34" s="794">
        <v>5.1681228390696203</v>
      </c>
      <c r="L34" s="794" t="s">
        <v>944</v>
      </c>
      <c r="M34" s="794">
        <v>4.0781220631804942</v>
      </c>
      <c r="N34" s="741">
        <v>9.9048605897792408E-2</v>
      </c>
    </row>
    <row r="35" spans="1:14">
      <c r="A35" s="738" t="s">
        <v>705</v>
      </c>
      <c r="B35" s="739">
        <v>110</v>
      </c>
      <c r="C35" s="740">
        <v>2409.1900000000005</v>
      </c>
      <c r="D35" s="740">
        <v>6991.1729999999916</v>
      </c>
      <c r="E35" s="794">
        <v>0.34460454633292631</v>
      </c>
      <c r="F35" s="795">
        <v>6707.2340000000004</v>
      </c>
      <c r="G35" s="794">
        <v>0.95938607155051214</v>
      </c>
      <c r="H35" s="740">
        <v>3687.4279999999994</v>
      </c>
      <c r="I35" s="740">
        <v>-116.23100000001068</v>
      </c>
      <c r="J35" s="740">
        <v>10494.277999999986</v>
      </c>
      <c r="K35" s="794" t="s">
        <v>944</v>
      </c>
      <c r="L35" s="794">
        <v>0.35137510174592329</v>
      </c>
      <c r="M35" s="794">
        <v>0.52744053108112243</v>
      </c>
      <c r="N35" s="741">
        <v>5.0721749418674862E-2</v>
      </c>
    </row>
    <row r="36" spans="1:14">
      <c r="A36" s="738" t="s">
        <v>706</v>
      </c>
      <c r="B36" s="739">
        <v>16</v>
      </c>
      <c r="C36" s="740">
        <v>0</v>
      </c>
      <c r="D36" s="740">
        <v>39.38900000000001</v>
      </c>
      <c r="E36" s="794">
        <v>0</v>
      </c>
      <c r="F36" s="795">
        <v>298.971</v>
      </c>
      <c r="G36" s="794">
        <v>7.5902155424103155</v>
      </c>
      <c r="H36" s="740">
        <v>230.06300000000002</v>
      </c>
      <c r="I36" s="740">
        <v>-353.9140000000001</v>
      </c>
      <c r="J36" s="740">
        <v>-344.21299999999997</v>
      </c>
      <c r="K36" s="794" t="s">
        <v>944</v>
      </c>
      <c r="L36" s="794" t="s">
        <v>944</v>
      </c>
      <c r="M36" s="794">
        <v>5.8407931148290118</v>
      </c>
      <c r="N36" s="741">
        <v>0.15076516748919444</v>
      </c>
    </row>
    <row r="37" spans="1:14">
      <c r="A37" s="738" t="s">
        <v>707</v>
      </c>
      <c r="B37" s="739">
        <v>138</v>
      </c>
      <c r="C37" s="740">
        <v>916.42800000000011</v>
      </c>
      <c r="D37" s="740">
        <v>8638.3120000000072</v>
      </c>
      <c r="E37" s="794">
        <v>0.10608878216021826</v>
      </c>
      <c r="F37" s="795">
        <v>7675.7719999999999</v>
      </c>
      <c r="G37" s="794">
        <v>0.88857313790008896</v>
      </c>
      <c r="H37" s="740">
        <v>4921.2440000000006</v>
      </c>
      <c r="I37" s="740">
        <v>486.36700000000928</v>
      </c>
      <c r="J37" s="740">
        <v>7877.6560000000172</v>
      </c>
      <c r="K37" s="794">
        <v>10.118375629925358</v>
      </c>
      <c r="L37" s="794">
        <v>0.62470917745075305</v>
      </c>
      <c r="M37" s="794">
        <v>0.56969972837285765</v>
      </c>
      <c r="N37" s="741">
        <v>5.6857387672521964E-2</v>
      </c>
    </row>
    <row r="38" spans="1:14">
      <c r="A38" s="738" t="s">
        <v>708</v>
      </c>
      <c r="B38" s="739">
        <v>43</v>
      </c>
      <c r="C38" s="740">
        <v>432.09999999999997</v>
      </c>
      <c r="D38" s="740">
        <v>2558.9629999999997</v>
      </c>
      <c r="E38" s="794">
        <v>0.16885746296448992</v>
      </c>
      <c r="F38" s="795">
        <v>2907.779</v>
      </c>
      <c r="G38" s="794">
        <v>1.1363114667933847</v>
      </c>
      <c r="H38" s="740">
        <v>2727.694</v>
      </c>
      <c r="I38" s="740">
        <v>-1888.0099999999993</v>
      </c>
      <c r="J38" s="740">
        <v>3697.7970000000023</v>
      </c>
      <c r="K38" s="794" t="s">
        <v>944</v>
      </c>
      <c r="L38" s="794">
        <v>0.73765379765303452</v>
      </c>
      <c r="M38" s="794">
        <v>1.0659372566152774</v>
      </c>
      <c r="N38" s="741">
        <v>4.9237983688661585E-2</v>
      </c>
    </row>
    <row r="39" spans="1:14">
      <c r="A39" s="738" t="s">
        <v>709</v>
      </c>
      <c r="B39" s="739">
        <v>110</v>
      </c>
      <c r="C39" s="740">
        <v>959.83999999999992</v>
      </c>
      <c r="D39" s="740">
        <v>1903.6689999999994</v>
      </c>
      <c r="E39" s="794">
        <v>0.50420530039623501</v>
      </c>
      <c r="F39" s="795">
        <v>3381.1719999999996</v>
      </c>
      <c r="G39" s="794">
        <v>1.7761344015162304</v>
      </c>
      <c r="H39" s="740">
        <v>2560.0719999999997</v>
      </c>
      <c r="I39" s="740">
        <v>5417.9789999999957</v>
      </c>
      <c r="J39" s="740">
        <v>-1283.6759999999995</v>
      </c>
      <c r="K39" s="794">
        <v>0.47251419763716351</v>
      </c>
      <c r="L39" s="794" t="s">
        <v>944</v>
      </c>
      <c r="M39" s="794">
        <v>1.3448094180238268</v>
      </c>
      <c r="N39" s="741">
        <v>6.9023482536863676E-2</v>
      </c>
    </row>
    <row r="40" spans="1:14">
      <c r="A40" s="738" t="s">
        <v>710</v>
      </c>
      <c r="B40" s="739">
        <v>62</v>
      </c>
      <c r="C40" s="740">
        <v>2146.6999999999998</v>
      </c>
      <c r="D40" s="740">
        <v>4640.6050000000014</v>
      </c>
      <c r="E40" s="794">
        <v>0.46259054584477655</v>
      </c>
      <c r="F40" s="795">
        <v>4481.5159999999987</v>
      </c>
      <c r="G40" s="794">
        <v>0.96571804753905954</v>
      </c>
      <c r="H40" s="740">
        <v>3975.3119999999985</v>
      </c>
      <c r="I40" s="740">
        <v>3314.6110000000049</v>
      </c>
      <c r="J40" s="740">
        <v>8304.5399999999972</v>
      </c>
      <c r="K40" s="794">
        <v>1.1993298761151738</v>
      </c>
      <c r="L40" s="794">
        <v>0.47869141457564174</v>
      </c>
      <c r="M40" s="794">
        <v>0.85663658079065064</v>
      </c>
      <c r="N40" s="741">
        <v>8.1137078092717446E-3</v>
      </c>
    </row>
    <row r="41" spans="1:14">
      <c r="A41" s="738" t="s">
        <v>711</v>
      </c>
      <c r="B41" s="739">
        <v>39</v>
      </c>
      <c r="C41" s="740">
        <v>3015.71</v>
      </c>
      <c r="D41" s="740">
        <v>14341.238999999998</v>
      </c>
      <c r="E41" s="794">
        <v>0.21028238912969796</v>
      </c>
      <c r="F41" s="795">
        <v>8457.15</v>
      </c>
      <c r="G41" s="794">
        <v>0.58970846242782793</v>
      </c>
      <c r="H41" s="740">
        <v>8068.0169999999998</v>
      </c>
      <c r="I41" s="740">
        <v>-4214.1320000000014</v>
      </c>
      <c r="J41" s="740">
        <v>4957.7920000000086</v>
      </c>
      <c r="K41" s="794" t="s">
        <v>944</v>
      </c>
      <c r="L41" s="794">
        <v>1.6273407597575666</v>
      </c>
      <c r="M41" s="794">
        <v>0.56257461436909328</v>
      </c>
      <c r="N41" s="741">
        <v>2.3316489175641959E-2</v>
      </c>
    </row>
    <row r="42" spans="1:14">
      <c r="A42" s="738" t="s">
        <v>712</v>
      </c>
      <c r="B42" s="739">
        <v>223</v>
      </c>
      <c r="C42" s="740">
        <v>13017.300200000005</v>
      </c>
      <c r="D42" s="740">
        <v>95373.685999999987</v>
      </c>
      <c r="E42" s="794">
        <v>0.13648733467216531</v>
      </c>
      <c r="F42" s="795">
        <v>62501.149000000012</v>
      </c>
      <c r="G42" s="794">
        <v>0.65532907053629053</v>
      </c>
      <c r="H42" s="740">
        <v>60726.687000000013</v>
      </c>
      <c r="I42" s="740">
        <v>86528.702999999994</v>
      </c>
      <c r="J42" s="740">
        <v>-162222.92099999962</v>
      </c>
      <c r="K42" s="794">
        <v>0.70180974514318117</v>
      </c>
      <c r="L42" s="794" t="s">
        <v>944</v>
      </c>
      <c r="M42" s="794">
        <v>0.63672370804668299</v>
      </c>
      <c r="N42" s="741">
        <v>2.23635951229793E-2</v>
      </c>
    </row>
    <row r="43" spans="1:14">
      <c r="A43" s="738" t="s">
        <v>713</v>
      </c>
      <c r="B43" s="739">
        <v>92</v>
      </c>
      <c r="C43" s="740">
        <v>10574.619999999995</v>
      </c>
      <c r="D43" s="740">
        <v>19663.081000000017</v>
      </c>
      <c r="E43" s="794">
        <v>0.53779059344768942</v>
      </c>
      <c r="F43" s="795">
        <v>17404.519999999997</v>
      </c>
      <c r="G43" s="794">
        <v>0.88513697319356932</v>
      </c>
      <c r="H43" s="740">
        <v>15571.875999999997</v>
      </c>
      <c r="I43" s="740">
        <v>11098.263000000017</v>
      </c>
      <c r="J43" s="740">
        <v>9624.50900000002</v>
      </c>
      <c r="K43" s="794">
        <v>1.4030912765357941</v>
      </c>
      <c r="L43" s="794">
        <v>1.6179397826943653</v>
      </c>
      <c r="M43" s="794">
        <v>0.79193469222854662</v>
      </c>
      <c r="N43" s="741">
        <v>1.87364939663376E-2</v>
      </c>
    </row>
    <row r="44" spans="1:14">
      <c r="A44" s="738" t="s">
        <v>714</v>
      </c>
      <c r="B44" s="739">
        <v>14</v>
      </c>
      <c r="C44" s="740">
        <v>1021.6</v>
      </c>
      <c r="D44" s="740">
        <v>2343.4140000000002</v>
      </c>
      <c r="E44" s="794">
        <v>0.43594516376534403</v>
      </c>
      <c r="F44" s="795">
        <v>1909.99</v>
      </c>
      <c r="G44" s="794">
        <v>0.81504591164856055</v>
      </c>
      <c r="H44" s="740">
        <v>1699.521</v>
      </c>
      <c r="I44" s="740">
        <v>-1201.2810000000004</v>
      </c>
      <c r="J44" s="740">
        <v>-540.28299999999945</v>
      </c>
      <c r="K44" s="794" t="s">
        <v>944</v>
      </c>
      <c r="L44" s="794" t="s">
        <v>944</v>
      </c>
      <c r="M44" s="794">
        <v>0.72523292939275763</v>
      </c>
      <c r="N44" s="741">
        <v>1.2964298755208017E-2</v>
      </c>
    </row>
    <row r="45" spans="1:14">
      <c r="A45" s="738" t="s">
        <v>715</v>
      </c>
      <c r="B45" s="739">
        <v>32</v>
      </c>
      <c r="C45" s="740">
        <v>796.42499999999995</v>
      </c>
      <c r="D45" s="740">
        <v>1170.874</v>
      </c>
      <c r="E45" s="794">
        <v>0.68019701522110831</v>
      </c>
      <c r="F45" s="795">
        <v>4007.0700000000006</v>
      </c>
      <c r="G45" s="794">
        <v>3.4222896742091811</v>
      </c>
      <c r="H45" s="740">
        <v>3857.9070000000006</v>
      </c>
      <c r="I45" s="740">
        <v>-1718.2510000000007</v>
      </c>
      <c r="J45" s="740">
        <v>507.54600000000573</v>
      </c>
      <c r="K45" s="794" t="s">
        <v>944</v>
      </c>
      <c r="L45" s="794">
        <v>7.6010982255794683</v>
      </c>
      <c r="M45" s="794">
        <v>3.2948950954586067</v>
      </c>
      <c r="N45" s="741">
        <v>5.9473625852007939E-2</v>
      </c>
    </row>
    <row r="46" spans="1:14">
      <c r="A46" s="738" t="s">
        <v>716</v>
      </c>
      <c r="B46" s="739">
        <v>19</v>
      </c>
      <c r="C46" s="740">
        <v>657.02200000000005</v>
      </c>
      <c r="D46" s="740">
        <v>1155.759</v>
      </c>
      <c r="E46" s="794">
        <v>0.56847664608279069</v>
      </c>
      <c r="F46" s="795">
        <v>208.39100000000002</v>
      </c>
      <c r="G46" s="794">
        <v>0.18030662101701134</v>
      </c>
      <c r="H46" s="740">
        <v>196.86500000000001</v>
      </c>
      <c r="I46" s="740">
        <v>-392.33000000000027</v>
      </c>
      <c r="J46" s="740">
        <v>2042.746000000001</v>
      </c>
      <c r="K46" s="794" t="s">
        <v>944</v>
      </c>
      <c r="L46" s="794">
        <v>9.6372725732910461E-2</v>
      </c>
      <c r="M46" s="794">
        <v>0.17033395370488139</v>
      </c>
      <c r="N46" s="741">
        <v>4.379247523402989E-2</v>
      </c>
    </row>
    <row r="47" spans="1:14">
      <c r="A47" s="738" t="s">
        <v>717</v>
      </c>
      <c r="B47" s="739">
        <v>254</v>
      </c>
      <c r="C47" s="740">
        <v>6570.3100000000013</v>
      </c>
      <c r="D47" s="740">
        <v>14242.59499999999</v>
      </c>
      <c r="E47" s="794">
        <v>0.4613141074361804</v>
      </c>
      <c r="F47" s="795">
        <v>18381.617999999995</v>
      </c>
      <c r="G47" s="794">
        <v>1.2906087689778447</v>
      </c>
      <c r="H47" s="740">
        <v>14559.378999999995</v>
      </c>
      <c r="I47" s="740">
        <v>8342.2579999999871</v>
      </c>
      <c r="J47" s="740">
        <v>21726.145999999997</v>
      </c>
      <c r="K47" s="794">
        <v>1.7452563802270342</v>
      </c>
      <c r="L47" s="794">
        <v>0.67013169293808472</v>
      </c>
      <c r="M47" s="794">
        <v>1.0222420141835111</v>
      </c>
      <c r="N47" s="741">
        <v>3.1994527781721203E-2</v>
      </c>
    </row>
    <row r="48" spans="1:14">
      <c r="A48" s="738" t="s">
        <v>718</v>
      </c>
      <c r="B48" s="739">
        <v>131</v>
      </c>
      <c r="C48" s="740">
        <v>13557.735000000002</v>
      </c>
      <c r="D48" s="740">
        <v>41031.688999999991</v>
      </c>
      <c r="E48" s="794">
        <v>0.33042108015587673</v>
      </c>
      <c r="F48" s="795">
        <v>49102.030000000013</v>
      </c>
      <c r="G48" s="794">
        <v>1.1966855666116991</v>
      </c>
      <c r="H48" s="740">
        <v>44679.361000000019</v>
      </c>
      <c r="I48" s="740">
        <v>39997.549000000006</v>
      </c>
      <c r="J48" s="740">
        <v>35170.619999999988</v>
      </c>
      <c r="K48" s="794">
        <v>1.117052472390246</v>
      </c>
      <c r="L48" s="794">
        <v>1.2703603462207955</v>
      </c>
      <c r="M48" s="794">
        <v>1.0888988995797864</v>
      </c>
      <c r="N48" s="741">
        <v>8.0849129295955585E-2</v>
      </c>
    </row>
    <row r="49" spans="1:14">
      <c r="A49" s="738" t="s">
        <v>719</v>
      </c>
      <c r="B49" s="739">
        <v>138</v>
      </c>
      <c r="C49" s="740">
        <v>1581.92</v>
      </c>
      <c r="D49" s="740">
        <v>-529.77900000000216</v>
      </c>
      <c r="E49" s="794">
        <v>4.3282833182668018E-4</v>
      </c>
      <c r="F49" s="795">
        <v>10197.432000000004</v>
      </c>
      <c r="G49" s="794" t="s">
        <v>944</v>
      </c>
      <c r="H49" s="740">
        <v>8491.1030000000046</v>
      </c>
      <c r="I49" s="740">
        <v>-3101.0589999999938</v>
      </c>
      <c r="J49" s="740">
        <v>4235.2150000000256</v>
      </c>
      <c r="K49" s="794" t="s">
        <v>944</v>
      </c>
      <c r="L49" s="794">
        <v>2.004881216183819</v>
      </c>
      <c r="M49" s="794">
        <v>-16.027632276855009</v>
      </c>
      <c r="N49" s="741">
        <v>2.9861395459020352E-2</v>
      </c>
    </row>
    <row r="50" spans="1:14">
      <c r="A50" s="738" t="s">
        <v>720</v>
      </c>
      <c r="B50" s="739">
        <v>32</v>
      </c>
      <c r="C50" s="740">
        <v>1361.39</v>
      </c>
      <c r="D50" s="740">
        <v>24986.040000000005</v>
      </c>
      <c r="E50" s="794">
        <v>5.4486024996357962E-2</v>
      </c>
      <c r="F50" s="795">
        <v>8113.8299999999981</v>
      </c>
      <c r="G50" s="794">
        <v>0.32473453176253608</v>
      </c>
      <c r="H50" s="740">
        <v>7894.7529999999979</v>
      </c>
      <c r="I50" s="740">
        <v>9262.75</v>
      </c>
      <c r="J50" s="740">
        <v>10501.207000000002</v>
      </c>
      <c r="K50" s="794">
        <v>0.8523120023751044</v>
      </c>
      <c r="L50" s="794">
        <v>0.75179481749097954</v>
      </c>
      <c r="M50" s="794">
        <v>0.31596655572471655</v>
      </c>
      <c r="N50" s="741">
        <v>9.3127543900187543E-2</v>
      </c>
    </row>
    <row r="51" spans="1:14">
      <c r="A51" s="738" t="s">
        <v>721</v>
      </c>
      <c r="B51" s="739">
        <v>34</v>
      </c>
      <c r="C51" s="740">
        <v>948.99999999999989</v>
      </c>
      <c r="D51" s="740">
        <v>6999.9600000000009</v>
      </c>
      <c r="E51" s="794">
        <v>0.13557220326973293</v>
      </c>
      <c r="F51" s="795">
        <v>9977.2139999999999</v>
      </c>
      <c r="G51" s="794">
        <v>1.4253244304253165</v>
      </c>
      <c r="H51" s="740">
        <v>9476.7870000000003</v>
      </c>
      <c r="I51" s="740">
        <v>2703.8850000000007</v>
      </c>
      <c r="J51" s="740">
        <v>9327.1079999999947</v>
      </c>
      <c r="K51" s="794">
        <v>3.5048779811271551</v>
      </c>
      <c r="L51" s="794">
        <v>1.0160477395565706</v>
      </c>
      <c r="M51" s="794">
        <v>1.3538344504825741</v>
      </c>
      <c r="N51" s="741">
        <v>1.8538212587318761E-2</v>
      </c>
    </row>
    <row r="52" spans="1:14">
      <c r="A52" s="738" t="s">
        <v>722</v>
      </c>
      <c r="B52" s="739">
        <v>69</v>
      </c>
      <c r="C52" s="740">
        <v>793.83299999999997</v>
      </c>
      <c r="D52" s="740">
        <v>1606.1259999999988</v>
      </c>
      <c r="E52" s="794">
        <v>0.49425325285811983</v>
      </c>
      <c r="F52" s="795">
        <v>17201.466999999993</v>
      </c>
      <c r="G52" s="794">
        <v>10.70991130210208</v>
      </c>
      <c r="H52" s="740">
        <v>15579.422999999993</v>
      </c>
      <c r="I52" s="740">
        <v>4108.8379999999988</v>
      </c>
      <c r="J52" s="740">
        <v>1538.0040000000081</v>
      </c>
      <c r="K52" s="794">
        <v>3.7916858732322858</v>
      </c>
      <c r="L52" s="794">
        <v>10.12963750419369</v>
      </c>
      <c r="M52" s="794">
        <v>9.7000004980929297</v>
      </c>
      <c r="N52" s="741">
        <v>8.2200350685883675E-2</v>
      </c>
    </row>
    <row r="53" spans="1:14">
      <c r="A53" s="738" t="s">
        <v>723</v>
      </c>
      <c r="B53" s="739">
        <v>127</v>
      </c>
      <c r="C53" s="740">
        <v>14431.342000000001</v>
      </c>
      <c r="D53" s="740">
        <v>22657.091999999982</v>
      </c>
      <c r="E53" s="794">
        <v>0.63694590638551551</v>
      </c>
      <c r="F53" s="795">
        <v>22391.329000000009</v>
      </c>
      <c r="G53" s="794">
        <v>0.9882702069621303</v>
      </c>
      <c r="H53" s="740">
        <v>19606.336000000007</v>
      </c>
      <c r="I53" s="740">
        <v>17895.417999999987</v>
      </c>
      <c r="J53" s="740">
        <v>24106.837999999996</v>
      </c>
      <c r="K53" s="794">
        <v>1.0956064842967077</v>
      </c>
      <c r="L53" s="794">
        <v>0.81331014876360019</v>
      </c>
      <c r="M53" s="794">
        <v>0.86535094618497477</v>
      </c>
      <c r="N53" s="741">
        <v>2.2054657954777637E-2</v>
      </c>
    </row>
    <row r="54" spans="1:14">
      <c r="A54" s="738" t="s">
        <v>724</v>
      </c>
      <c r="B54" s="739">
        <v>73</v>
      </c>
      <c r="C54" s="740">
        <v>10475.088</v>
      </c>
      <c r="D54" s="740">
        <v>37313.930000000008</v>
      </c>
      <c r="E54" s="794">
        <v>0.28072861797189408</v>
      </c>
      <c r="F54" s="795">
        <v>48778.195999999967</v>
      </c>
      <c r="G54" s="794">
        <v>1.3072382351577536</v>
      </c>
      <c r="H54" s="740">
        <v>46377.007999999965</v>
      </c>
      <c r="I54" s="740">
        <v>41679.417000000001</v>
      </c>
      <c r="J54" s="740">
        <v>56500.603000000032</v>
      </c>
      <c r="K54" s="794">
        <v>1.1127076945438072</v>
      </c>
      <c r="L54" s="794">
        <v>0.82082323970949367</v>
      </c>
      <c r="M54" s="794">
        <v>1.2428872541702243</v>
      </c>
      <c r="N54" s="741">
        <v>4.0524175559670791E-2</v>
      </c>
    </row>
    <row r="55" spans="1:14">
      <c r="A55" s="738" t="s">
        <v>725</v>
      </c>
      <c r="B55" s="739">
        <v>21</v>
      </c>
      <c r="C55" s="740">
        <v>3403.4079999999999</v>
      </c>
      <c r="D55" s="740">
        <v>20197.720000000005</v>
      </c>
      <c r="E55" s="794">
        <v>0.16850456388146776</v>
      </c>
      <c r="F55" s="795">
        <v>13786.245999999999</v>
      </c>
      <c r="G55" s="794">
        <v>0.6825644676725886</v>
      </c>
      <c r="H55" s="740">
        <v>13417.337</v>
      </c>
      <c r="I55" s="740">
        <v>11622.087000000005</v>
      </c>
      <c r="J55" s="740">
        <v>16243.714000000005</v>
      </c>
      <c r="K55" s="794">
        <v>1.1544688144220563</v>
      </c>
      <c r="L55" s="794">
        <v>0.82600179983469268</v>
      </c>
      <c r="M55" s="794">
        <v>0.66429958430951597</v>
      </c>
      <c r="N55" s="741">
        <v>2.6949929115194532E-2</v>
      </c>
    </row>
    <row r="56" spans="1:14">
      <c r="A56" s="738" t="s">
        <v>726</v>
      </c>
      <c r="B56" s="739">
        <v>27</v>
      </c>
      <c r="C56" s="740">
        <v>5853.4510000000009</v>
      </c>
      <c r="D56" s="740">
        <v>15306.226000000002</v>
      </c>
      <c r="E56" s="794">
        <v>0.38242287811508857</v>
      </c>
      <c r="F56" s="795">
        <v>19119.079000000002</v>
      </c>
      <c r="G56" s="794">
        <v>1.2491047107235969</v>
      </c>
      <c r="H56" s="740">
        <v>18439.954000000002</v>
      </c>
      <c r="I56" s="740">
        <v>15021.271000000002</v>
      </c>
      <c r="J56" s="740">
        <v>10250.871000000003</v>
      </c>
      <c r="K56" s="794">
        <v>1.2275894629688793</v>
      </c>
      <c r="L56" s="794">
        <v>1.7988670426152076</v>
      </c>
      <c r="M56" s="794">
        <v>1.2047355108960236</v>
      </c>
      <c r="N56" s="741">
        <v>0.16873839578331887</v>
      </c>
    </row>
    <row r="57" spans="1:14">
      <c r="A57" s="738" t="s">
        <v>727</v>
      </c>
      <c r="B57" s="739">
        <v>51</v>
      </c>
      <c r="C57" s="740">
        <v>7922.51</v>
      </c>
      <c r="D57" s="740">
        <v>10805.474</v>
      </c>
      <c r="E57" s="794">
        <v>0.73319411994328065</v>
      </c>
      <c r="F57" s="795">
        <v>16682.03</v>
      </c>
      <c r="G57" s="794">
        <v>1.5438499042244698</v>
      </c>
      <c r="H57" s="740">
        <v>16179.259999999998</v>
      </c>
      <c r="I57" s="740">
        <v>7392.6280000000033</v>
      </c>
      <c r="J57" s="740">
        <v>8226.3910000000142</v>
      </c>
      <c r="K57" s="794">
        <v>2.1885667721952182</v>
      </c>
      <c r="L57" s="794">
        <v>1.9667506686711063</v>
      </c>
      <c r="M57" s="794">
        <v>1.4973207098550234</v>
      </c>
      <c r="N57" s="741">
        <v>5.1581418326943157E-2</v>
      </c>
    </row>
    <row r="58" spans="1:14">
      <c r="A58" s="738" t="s">
        <v>728</v>
      </c>
      <c r="B58" s="739">
        <v>600</v>
      </c>
      <c r="C58" s="740">
        <v>15100.191000000006</v>
      </c>
      <c r="D58" s="740">
        <v>35375.450000000026</v>
      </c>
      <c r="E58" s="794">
        <v>0.42685509300941743</v>
      </c>
      <c r="F58" s="795">
        <v>31935.358000000007</v>
      </c>
      <c r="G58" s="794">
        <v>0.90275482008002683</v>
      </c>
      <c r="H58" s="740">
        <v>-17337.913</v>
      </c>
      <c r="I58" s="740">
        <v>32624.117000000024</v>
      </c>
      <c r="J58" s="740">
        <v>62520.160000000011</v>
      </c>
      <c r="K58" s="794">
        <v>-0.53144466714608662</v>
      </c>
      <c r="L58" s="794">
        <v>-0.27731715657797418</v>
      </c>
      <c r="M58" s="794">
        <v>-0.49011144734554579</v>
      </c>
      <c r="N58" s="741">
        <v>9.9361219655371313E-2</v>
      </c>
    </row>
    <row r="59" spans="1:14">
      <c r="A59" s="738" t="s">
        <v>729</v>
      </c>
      <c r="B59" s="739">
        <v>116</v>
      </c>
      <c r="C59" s="740">
        <v>5613.0829999999996</v>
      </c>
      <c r="D59" s="740">
        <v>15291.498000000007</v>
      </c>
      <c r="E59" s="794">
        <v>0.3670721468884211</v>
      </c>
      <c r="F59" s="795">
        <v>15025.431999999997</v>
      </c>
      <c r="G59" s="794">
        <v>0.98260039663870669</v>
      </c>
      <c r="H59" s="740">
        <v>13889.147999999997</v>
      </c>
      <c r="I59" s="740">
        <v>8070.1990000000151</v>
      </c>
      <c r="J59" s="740">
        <v>26845.629000000015</v>
      </c>
      <c r="K59" s="794">
        <v>1.7210415753068755</v>
      </c>
      <c r="L59" s="794">
        <v>0.51737092842935395</v>
      </c>
      <c r="M59" s="794">
        <v>0.90829217647610394</v>
      </c>
      <c r="N59" s="741">
        <v>3.1620151885439637E-2</v>
      </c>
    </row>
    <row r="60" spans="1:14">
      <c r="A60" s="738" t="s">
        <v>730</v>
      </c>
      <c r="B60" s="739">
        <v>68</v>
      </c>
      <c r="C60" s="740">
        <v>4009.4000000000005</v>
      </c>
      <c r="D60" s="740">
        <v>6414.9209999999966</v>
      </c>
      <c r="E60" s="794">
        <v>0.62501159406327877</v>
      </c>
      <c r="F60" s="795">
        <v>6803.6090000000004</v>
      </c>
      <c r="G60" s="794">
        <v>1.0605912372108719</v>
      </c>
      <c r="H60" s="740">
        <v>6402.7220000000007</v>
      </c>
      <c r="I60" s="740">
        <v>3994.4340000000002</v>
      </c>
      <c r="J60" s="740">
        <v>5889.0839999999989</v>
      </c>
      <c r="K60" s="794">
        <v>1.602910950587743</v>
      </c>
      <c r="L60" s="794">
        <v>1.0872186574346709</v>
      </c>
      <c r="M60" s="794">
        <v>0.99809833979249374</v>
      </c>
      <c r="N60" s="741">
        <v>8.9071410334220336E-2</v>
      </c>
    </row>
    <row r="61" spans="1:14">
      <c r="A61" s="738" t="s">
        <v>731</v>
      </c>
      <c r="B61" s="739">
        <v>16</v>
      </c>
      <c r="C61" s="740">
        <v>392.5</v>
      </c>
      <c r="D61" s="740">
        <v>473.13000000000005</v>
      </c>
      <c r="E61" s="794">
        <v>0.82958172172552991</v>
      </c>
      <c r="F61" s="795">
        <v>613.32300000000009</v>
      </c>
      <c r="G61" s="794">
        <v>1.2963096823283242</v>
      </c>
      <c r="H61" s="740">
        <v>576.86400000000003</v>
      </c>
      <c r="I61" s="740">
        <v>-167.90900000000011</v>
      </c>
      <c r="J61" s="740">
        <v>929.14699999999948</v>
      </c>
      <c r="K61" s="794" t="s">
        <v>944</v>
      </c>
      <c r="L61" s="794">
        <v>0.62085332030346152</v>
      </c>
      <c r="M61" s="794">
        <v>1.219250523112041</v>
      </c>
      <c r="N61" s="741">
        <v>7.1772032633234992E-2</v>
      </c>
    </row>
    <row r="62" spans="1:14">
      <c r="A62" s="738" t="s">
        <v>732</v>
      </c>
      <c r="B62" s="739">
        <v>4</v>
      </c>
      <c r="C62" s="740">
        <v>26119.360000000001</v>
      </c>
      <c r="D62" s="740">
        <v>99099.3</v>
      </c>
      <c r="E62" s="794">
        <v>0.26356755294941536</v>
      </c>
      <c r="F62" s="795">
        <v>40681.1</v>
      </c>
      <c r="G62" s="794">
        <v>0.41050844960559757</v>
      </c>
      <c r="H62" s="740">
        <v>40345.1</v>
      </c>
      <c r="I62" s="740">
        <v>111781.8</v>
      </c>
      <c r="J62" s="740">
        <v>75992.900000000009</v>
      </c>
      <c r="K62" s="794">
        <v>0.36092727080794901</v>
      </c>
      <c r="L62" s="794">
        <v>0.53090617676124996</v>
      </c>
      <c r="M62" s="794">
        <v>0.40711791102459854</v>
      </c>
      <c r="N62" s="741">
        <v>4.9056001104084736E-2</v>
      </c>
    </row>
    <row r="63" spans="1:14">
      <c r="A63" s="738" t="s">
        <v>733</v>
      </c>
      <c r="B63" s="739">
        <v>174</v>
      </c>
      <c r="C63" s="740">
        <v>20127.071800000002</v>
      </c>
      <c r="D63" s="740">
        <v>86953.772999999899</v>
      </c>
      <c r="E63" s="794">
        <v>0.23146864253952529</v>
      </c>
      <c r="F63" s="795">
        <v>43823.143000000004</v>
      </c>
      <c r="G63" s="794">
        <v>0.5039820756254022</v>
      </c>
      <c r="H63" s="740">
        <v>41719.954000000005</v>
      </c>
      <c r="I63" s="740">
        <v>59398.570999999902</v>
      </c>
      <c r="J63" s="740">
        <v>46696.460999999908</v>
      </c>
      <c r="K63" s="794">
        <v>0.70237302510190147</v>
      </c>
      <c r="L63" s="794">
        <v>0.89342860479298603</v>
      </c>
      <c r="M63" s="794">
        <v>0.47979463754839086</v>
      </c>
      <c r="N63" s="741">
        <v>3.8114747359291025E-2</v>
      </c>
    </row>
    <row r="64" spans="1:14">
      <c r="A64" s="738" t="s">
        <v>734</v>
      </c>
      <c r="B64" s="739">
        <v>23</v>
      </c>
      <c r="C64" s="740">
        <v>8450.9</v>
      </c>
      <c r="D64" s="740">
        <v>2683.1000000000004</v>
      </c>
      <c r="E64" s="794">
        <v>3.1496776117177885</v>
      </c>
      <c r="F64" s="795">
        <v>10131.725</v>
      </c>
      <c r="G64" s="794">
        <v>3.7761264954716554</v>
      </c>
      <c r="H64" s="740">
        <v>9512.8250000000007</v>
      </c>
      <c r="I64" s="740">
        <v>-192.45600000000218</v>
      </c>
      <c r="J64" s="740">
        <v>1748.8839999999836</v>
      </c>
      <c r="K64" s="794" t="s">
        <v>944</v>
      </c>
      <c r="L64" s="794">
        <v>5.4393687631655903</v>
      </c>
      <c r="M64" s="794">
        <v>3.5454604748238974</v>
      </c>
      <c r="N64" s="741">
        <v>1.6703538781858748E-2</v>
      </c>
    </row>
    <row r="65" spans="1:14">
      <c r="A65" s="738" t="s">
        <v>735</v>
      </c>
      <c r="B65" s="739">
        <v>101</v>
      </c>
      <c r="C65" s="740">
        <v>7323.1059999999998</v>
      </c>
      <c r="D65" s="740">
        <v>41659.689999999988</v>
      </c>
      <c r="E65" s="794">
        <v>0.17578397726915398</v>
      </c>
      <c r="F65" s="795">
        <v>26426.484</v>
      </c>
      <c r="G65" s="794">
        <v>0.63434183019604817</v>
      </c>
      <c r="H65" s="740">
        <v>25266.852999999999</v>
      </c>
      <c r="I65" s="740">
        <v>34325.065999999992</v>
      </c>
      <c r="J65" s="740">
        <v>24456.819000000003</v>
      </c>
      <c r="K65" s="794">
        <v>0.73610500850894223</v>
      </c>
      <c r="L65" s="794">
        <v>1.0331209876476575</v>
      </c>
      <c r="M65" s="794">
        <v>0.60650602536888787</v>
      </c>
      <c r="N65" s="741">
        <v>6.9065997248052916E-2</v>
      </c>
    </row>
    <row r="66" spans="1:14">
      <c r="A66" s="738" t="s">
        <v>736</v>
      </c>
      <c r="B66" s="739">
        <v>25</v>
      </c>
      <c r="C66" s="740">
        <v>2718.4100000000003</v>
      </c>
      <c r="D66" s="740">
        <v>9491.2660000000014</v>
      </c>
      <c r="E66" s="794">
        <v>0.28641173896085093</v>
      </c>
      <c r="F66" s="795">
        <v>9036.0950000000012</v>
      </c>
      <c r="G66" s="794">
        <v>0.9520431731657294</v>
      </c>
      <c r="H66" s="740">
        <v>8916.465000000002</v>
      </c>
      <c r="I66" s="740">
        <v>2669.6470000000031</v>
      </c>
      <c r="J66" s="740">
        <v>2600.7410000000054</v>
      </c>
      <c r="K66" s="794">
        <v>3.3399415727996966</v>
      </c>
      <c r="L66" s="794">
        <v>3.428432512118655</v>
      </c>
      <c r="M66" s="794">
        <v>0.93943895366540153</v>
      </c>
      <c r="N66" s="741">
        <v>3.0228141722146131E-2</v>
      </c>
    </row>
    <row r="67" spans="1:14">
      <c r="A67" s="738" t="s">
        <v>737</v>
      </c>
      <c r="B67" s="739">
        <v>7</v>
      </c>
      <c r="C67" s="740">
        <v>99</v>
      </c>
      <c r="D67" s="740">
        <v>1255.7</v>
      </c>
      <c r="E67" s="794">
        <v>7.8840487377558333E-2</v>
      </c>
      <c r="F67" s="795">
        <v>1317.7</v>
      </c>
      <c r="G67" s="794">
        <v>1.0493748506808951</v>
      </c>
      <c r="H67" s="740">
        <v>1313.6100000000001</v>
      </c>
      <c r="I67" s="740">
        <v>921.50599999999986</v>
      </c>
      <c r="J67" s="740">
        <v>905.05899999999986</v>
      </c>
      <c r="K67" s="794">
        <v>1.425503469320873</v>
      </c>
      <c r="L67" s="794">
        <v>1.4514081402427912</v>
      </c>
      <c r="M67" s="794">
        <v>1.0461177032730749</v>
      </c>
      <c r="N67" s="741">
        <v>7.5671084905858985E-2</v>
      </c>
    </row>
    <row r="68" spans="1:14">
      <c r="A68" s="738" t="s">
        <v>738</v>
      </c>
      <c r="B68" s="739">
        <v>48</v>
      </c>
      <c r="C68" s="740">
        <v>21251.453999999994</v>
      </c>
      <c r="D68" s="740">
        <v>35093.37000000001</v>
      </c>
      <c r="E68" s="794">
        <v>0.60556891515405864</v>
      </c>
      <c r="F68" s="795">
        <v>24354.299999999996</v>
      </c>
      <c r="G68" s="794">
        <v>0.69398578705892278</v>
      </c>
      <c r="H68" s="740">
        <v>13635.403999999997</v>
      </c>
      <c r="I68" s="740">
        <v>-35714.936999999969</v>
      </c>
      <c r="J68" s="740">
        <v>17634.524000000005</v>
      </c>
      <c r="K68" s="794" t="s">
        <v>944</v>
      </c>
      <c r="L68" s="794">
        <v>0.77322211815867514</v>
      </c>
      <c r="M68" s="794">
        <v>0.38854644053848331</v>
      </c>
      <c r="N68" s="741">
        <v>1.0296600450838659E-2</v>
      </c>
    </row>
    <row r="69" spans="1:14">
      <c r="A69" s="738" t="s">
        <v>739</v>
      </c>
      <c r="B69" s="739">
        <v>74</v>
      </c>
      <c r="C69" s="740">
        <v>1943.3512999999998</v>
      </c>
      <c r="D69" s="740">
        <v>1211.8420000000008</v>
      </c>
      <c r="E69" s="794">
        <v>1.6036342196424935</v>
      </c>
      <c r="F69" s="795">
        <v>2335.4650000000001</v>
      </c>
      <c r="G69" s="794">
        <v>1.9272025561087986</v>
      </c>
      <c r="H69" s="740">
        <v>1658.2050000000002</v>
      </c>
      <c r="I69" s="740">
        <v>243.92799999999892</v>
      </c>
      <c r="J69" s="740">
        <v>1104.4279999999992</v>
      </c>
      <c r="K69" s="794">
        <v>6.7979280771375468</v>
      </c>
      <c r="L69" s="794">
        <v>1.5014152122184528</v>
      </c>
      <c r="M69" s="794">
        <v>1.3683343208107981</v>
      </c>
      <c r="N69" s="741">
        <v>7.4262155460789667E-2</v>
      </c>
    </row>
    <row r="70" spans="1:14">
      <c r="A70" s="738" t="s">
        <v>740</v>
      </c>
      <c r="B70" s="739">
        <v>20</v>
      </c>
      <c r="C70" s="740">
        <v>407.9</v>
      </c>
      <c r="D70" s="740">
        <v>778.8399999999998</v>
      </c>
      <c r="E70" s="794">
        <v>0.52372759488470044</v>
      </c>
      <c r="F70" s="795">
        <v>1027.414</v>
      </c>
      <c r="G70" s="794">
        <v>1.3191592624929385</v>
      </c>
      <c r="H70" s="740">
        <v>989.16599999999994</v>
      </c>
      <c r="I70" s="740">
        <v>715.57599999999968</v>
      </c>
      <c r="J70" s="740">
        <v>1365.9699999999984</v>
      </c>
      <c r="K70" s="794">
        <v>1.3823353494247996</v>
      </c>
      <c r="L70" s="794">
        <v>0.72414913943937353</v>
      </c>
      <c r="M70" s="794">
        <v>1.2700503312618769</v>
      </c>
      <c r="N70" s="741">
        <v>7.3486465244431906E-2</v>
      </c>
    </row>
    <row r="71" spans="1:14">
      <c r="A71" s="738" t="s">
        <v>741</v>
      </c>
      <c r="B71" s="739">
        <v>223</v>
      </c>
      <c r="C71" s="740">
        <v>51601.829000000005</v>
      </c>
      <c r="D71" s="740">
        <v>47868.788999999932</v>
      </c>
      <c r="E71" s="794">
        <v>1.0779848431093604</v>
      </c>
      <c r="F71" s="795">
        <v>45691.621000000014</v>
      </c>
      <c r="G71" s="794">
        <v>0.95451800545863152</v>
      </c>
      <c r="H71" s="740">
        <v>1818.5179999999964</v>
      </c>
      <c r="I71" s="740">
        <v>88400.758999999962</v>
      </c>
      <c r="J71" s="740">
        <v>150282.43999999762</v>
      </c>
      <c r="K71" s="794">
        <v>2.0571293963663785E-2</v>
      </c>
      <c r="L71" s="794">
        <v>1.2100668581106517E-2</v>
      </c>
      <c r="M71" s="794">
        <v>3.7989638718455968E-2</v>
      </c>
      <c r="N71" s="741">
        <v>1.8257812982754706E-2</v>
      </c>
    </row>
    <row r="72" spans="1:14">
      <c r="A72" s="738" t="s">
        <v>742</v>
      </c>
      <c r="B72" s="739">
        <v>18</v>
      </c>
      <c r="C72" s="740">
        <v>0</v>
      </c>
      <c r="D72" s="740">
        <v>538.85700000000008</v>
      </c>
      <c r="E72" s="794">
        <v>0</v>
      </c>
      <c r="F72" s="795">
        <v>510.262</v>
      </c>
      <c r="G72" s="794">
        <v>0.94693397320624939</v>
      </c>
      <c r="H72" s="740">
        <v>469.86599999999999</v>
      </c>
      <c r="I72" s="740">
        <v>787.35</v>
      </c>
      <c r="J72" s="740">
        <v>879.39599999999996</v>
      </c>
      <c r="K72" s="794">
        <v>0.59676890836349772</v>
      </c>
      <c r="L72" s="794">
        <v>0.53430536413629359</v>
      </c>
      <c r="M72" s="794">
        <v>0.87196788758427546</v>
      </c>
      <c r="N72" s="741">
        <v>6.9451076941643597E-2</v>
      </c>
    </row>
    <row r="73" spans="1:14">
      <c r="A73" s="738" t="s">
        <v>743</v>
      </c>
      <c r="B73" s="739">
        <v>12</v>
      </c>
      <c r="C73" s="740">
        <v>48.099999999999994</v>
      </c>
      <c r="D73" s="740">
        <v>144.88</v>
      </c>
      <c r="E73" s="794">
        <v>0.33199889563776919</v>
      </c>
      <c r="F73" s="795">
        <v>89.504999999999995</v>
      </c>
      <c r="G73" s="794">
        <v>0.61778713418001108</v>
      </c>
      <c r="H73" s="740">
        <v>89.504999999999995</v>
      </c>
      <c r="I73" s="740">
        <v>60.369</v>
      </c>
      <c r="J73" s="740">
        <v>160.86000000000001</v>
      </c>
      <c r="K73" s="794">
        <v>1.4826318143417978</v>
      </c>
      <c r="L73" s="794">
        <v>0.55641551659828414</v>
      </c>
      <c r="M73" s="794">
        <v>0.61778713418001108</v>
      </c>
      <c r="N73" s="741">
        <v>8.5365153569522081E-2</v>
      </c>
    </row>
    <row r="74" spans="1:14">
      <c r="A74" s="738" t="s">
        <v>744</v>
      </c>
      <c r="B74" s="739">
        <v>60</v>
      </c>
      <c r="C74" s="740">
        <v>229.56299999999999</v>
      </c>
      <c r="D74" s="740">
        <v>-830.15200000000004</v>
      </c>
      <c r="E74" s="794">
        <v>3.3508867332228652E-3</v>
      </c>
      <c r="F74" s="795">
        <v>4736.7729999999992</v>
      </c>
      <c r="G74" s="794" t="s">
        <v>944</v>
      </c>
      <c r="H74" s="740">
        <v>4494.0119999999988</v>
      </c>
      <c r="I74" s="740">
        <v>2587.4900000000016</v>
      </c>
      <c r="J74" s="740">
        <v>2975.0999999999767</v>
      </c>
      <c r="K74" s="794">
        <v>1.7368229442432612</v>
      </c>
      <c r="L74" s="794">
        <v>1.5105414944035609</v>
      </c>
      <c r="M74" s="794">
        <v>-5.413480904701788</v>
      </c>
      <c r="N74" s="741">
        <v>8.1379435050841789E-2</v>
      </c>
    </row>
    <row r="75" spans="1:14">
      <c r="A75" s="738" t="s">
        <v>745</v>
      </c>
      <c r="B75" s="739">
        <v>57</v>
      </c>
      <c r="C75" s="740">
        <v>1069.8209999999999</v>
      </c>
      <c r="D75" s="740">
        <v>784.68300000000022</v>
      </c>
      <c r="E75" s="794">
        <v>1.3633798616766255</v>
      </c>
      <c r="F75" s="795">
        <v>4051.509</v>
      </c>
      <c r="G75" s="794">
        <v>5.1632429911187048</v>
      </c>
      <c r="H75" s="740">
        <v>1160.8630000000012</v>
      </c>
      <c r="I75" s="740">
        <v>-4087.9259999999995</v>
      </c>
      <c r="J75" s="740">
        <v>-1988.6539999999968</v>
      </c>
      <c r="K75" s="794" t="s">
        <v>944</v>
      </c>
      <c r="L75" s="794" t="s">
        <v>944</v>
      </c>
      <c r="M75" s="794">
        <v>1.4794037847130637</v>
      </c>
      <c r="N75" s="741">
        <v>5.1786361462363033E-2</v>
      </c>
    </row>
    <row r="76" spans="1:14">
      <c r="A76" s="738" t="s">
        <v>746</v>
      </c>
      <c r="B76" s="739">
        <v>1</v>
      </c>
      <c r="C76" s="740">
        <v>201</v>
      </c>
      <c r="D76" s="740">
        <v>575</v>
      </c>
      <c r="E76" s="794">
        <v>0.34956521739130436</v>
      </c>
      <c r="F76" s="795">
        <v>306</v>
      </c>
      <c r="G76" s="794">
        <v>0.53217391304347827</v>
      </c>
      <c r="H76" s="740">
        <v>306</v>
      </c>
      <c r="I76" s="740">
        <v>533.29999999999995</v>
      </c>
      <c r="J76" s="740">
        <v>1264.3</v>
      </c>
      <c r="K76" s="794">
        <v>0.57378586161635103</v>
      </c>
      <c r="L76" s="794">
        <v>0.2420311634896781</v>
      </c>
      <c r="M76" s="794">
        <v>0.53217391304347827</v>
      </c>
      <c r="N76" s="741">
        <v>0.25486977918133502</v>
      </c>
    </row>
    <row r="77" spans="1:14">
      <c r="A77" s="738" t="s">
        <v>747</v>
      </c>
      <c r="B77" s="739">
        <v>70</v>
      </c>
      <c r="C77" s="740">
        <v>8430.2840000000015</v>
      </c>
      <c r="D77" s="740">
        <v>13628.138000000003</v>
      </c>
      <c r="E77" s="794">
        <v>0.61859397079777145</v>
      </c>
      <c r="F77" s="795">
        <v>22197.825000000004</v>
      </c>
      <c r="G77" s="794">
        <v>1.62882302776799</v>
      </c>
      <c r="H77" s="740">
        <v>20501.448000000004</v>
      </c>
      <c r="I77" s="740">
        <v>10248.102000000006</v>
      </c>
      <c r="J77" s="740">
        <v>15970.865000000007</v>
      </c>
      <c r="K77" s="794">
        <v>2.0005117045087952</v>
      </c>
      <c r="L77" s="794">
        <v>1.2836779974033965</v>
      </c>
      <c r="M77" s="794">
        <v>1.5043469621455257</v>
      </c>
      <c r="N77" s="741">
        <v>1.7235635807217261E-2</v>
      </c>
    </row>
    <row r="78" spans="1:14">
      <c r="A78" s="738" t="s">
        <v>748</v>
      </c>
      <c r="B78" s="739">
        <v>30</v>
      </c>
      <c r="C78" s="740">
        <v>738.7700000000001</v>
      </c>
      <c r="D78" s="740">
        <v>11025.240999999998</v>
      </c>
      <c r="E78" s="794">
        <v>6.7007152043207063E-2</v>
      </c>
      <c r="F78" s="795">
        <v>14746.480000000001</v>
      </c>
      <c r="G78" s="794">
        <v>1.337519968951246</v>
      </c>
      <c r="H78" s="740">
        <v>12507.544000000002</v>
      </c>
      <c r="I78" s="740">
        <v>7563.7839999999987</v>
      </c>
      <c r="J78" s="740">
        <v>22789.963999999949</v>
      </c>
      <c r="K78" s="794">
        <v>1.6536093574327353</v>
      </c>
      <c r="L78" s="794">
        <v>0.54881806746162609</v>
      </c>
      <c r="M78" s="794">
        <v>1.1344463127835485</v>
      </c>
      <c r="N78" s="741">
        <v>1.8942366151700137E-2</v>
      </c>
    </row>
    <row r="79" spans="1:14">
      <c r="A79" s="738" t="s">
        <v>749</v>
      </c>
      <c r="B79" s="739">
        <v>15</v>
      </c>
      <c r="C79" s="740">
        <v>10186.124999999998</v>
      </c>
      <c r="D79" s="740">
        <v>24750.588999999996</v>
      </c>
      <c r="E79" s="794">
        <v>0.41155081198269666</v>
      </c>
      <c r="F79" s="795">
        <v>37946.655000000006</v>
      </c>
      <c r="G79" s="794">
        <v>1.5331616956671217</v>
      </c>
      <c r="H79" s="740">
        <v>37174.050000000003</v>
      </c>
      <c r="I79" s="740">
        <v>12747.224999999995</v>
      </c>
      <c r="J79" s="740">
        <v>25674.247000000003</v>
      </c>
      <c r="K79" s="794">
        <v>2.9162464771744454</v>
      </c>
      <c r="L79" s="794">
        <v>1.4479119874479667</v>
      </c>
      <c r="M79" s="794">
        <v>1.5019460748994704</v>
      </c>
      <c r="N79" s="741">
        <v>1.4968542835664624E-2</v>
      </c>
    </row>
    <row r="80" spans="1:14">
      <c r="A80" s="738" t="s">
        <v>750</v>
      </c>
      <c r="B80" s="739">
        <v>69</v>
      </c>
      <c r="C80" s="740">
        <v>3130.0650000000005</v>
      </c>
      <c r="D80" s="740">
        <v>14460.392000000003</v>
      </c>
      <c r="E80" s="794">
        <v>0.21645782493310001</v>
      </c>
      <c r="F80" s="795">
        <v>8303.6929999999993</v>
      </c>
      <c r="G80" s="794">
        <v>0.57423706079337244</v>
      </c>
      <c r="H80" s="740">
        <v>8006.1319999999996</v>
      </c>
      <c r="I80" s="740">
        <v>-3931.7729999999992</v>
      </c>
      <c r="J80" s="740">
        <v>3217.1940000000031</v>
      </c>
      <c r="K80" s="794" t="s">
        <v>944</v>
      </c>
      <c r="L80" s="794">
        <v>2.488544986718237</v>
      </c>
      <c r="M80" s="794">
        <v>0.55365940287095938</v>
      </c>
      <c r="N80" s="741">
        <v>2.2524354628298306E-2</v>
      </c>
    </row>
    <row r="81" spans="1:14">
      <c r="A81" s="738" t="s">
        <v>751</v>
      </c>
      <c r="B81" s="739">
        <v>15</v>
      </c>
      <c r="C81" s="740">
        <v>10568.625</v>
      </c>
      <c r="D81" s="740">
        <v>26032.600000000002</v>
      </c>
      <c r="E81" s="794">
        <v>0.40597654479383538</v>
      </c>
      <c r="F81" s="795">
        <v>33519.866999999998</v>
      </c>
      <c r="G81" s="794">
        <v>1.2876111875110436</v>
      </c>
      <c r="H81" s="740">
        <v>33456.718999999997</v>
      </c>
      <c r="I81" s="740">
        <v>-5214.1800000000039</v>
      </c>
      <c r="J81" s="740">
        <v>12954.653999999999</v>
      </c>
      <c r="K81" s="794" t="s">
        <v>944</v>
      </c>
      <c r="L81" s="794">
        <v>2.5826022833184119</v>
      </c>
      <c r="M81" s="794">
        <v>1.2851854597696732</v>
      </c>
      <c r="N81" s="741">
        <v>2.8245545382027257E-2</v>
      </c>
    </row>
    <row r="82" spans="1:14">
      <c r="A82" s="738" t="s">
        <v>752</v>
      </c>
      <c r="B82" s="739">
        <v>13</v>
      </c>
      <c r="C82" s="740">
        <v>1013.2529999999999</v>
      </c>
      <c r="D82" s="740">
        <v>5113.51</v>
      </c>
      <c r="E82" s="794">
        <v>0.19815214989312624</v>
      </c>
      <c r="F82" s="795">
        <v>2880.4660000000003</v>
      </c>
      <c r="G82" s="794">
        <v>0.56330504878253884</v>
      </c>
      <c r="H82" s="740">
        <v>2585.4760000000006</v>
      </c>
      <c r="I82" s="740">
        <v>2892.6890000000017</v>
      </c>
      <c r="J82" s="740">
        <v>1299.1360000000016</v>
      </c>
      <c r="K82" s="794">
        <v>0.8937967406796925</v>
      </c>
      <c r="L82" s="794">
        <v>1.9901503768658535</v>
      </c>
      <c r="M82" s="794">
        <v>0.50561668990575959</v>
      </c>
      <c r="N82" s="741">
        <v>5.5436020108825777E-2</v>
      </c>
    </row>
    <row r="83" spans="1:14">
      <c r="A83" s="738" t="s">
        <v>753</v>
      </c>
      <c r="B83" s="739">
        <v>63</v>
      </c>
      <c r="C83" s="740">
        <v>513.4</v>
      </c>
      <c r="D83" s="740">
        <v>3688.5480000000007</v>
      </c>
      <c r="E83" s="794">
        <v>0.13918756106739016</v>
      </c>
      <c r="F83" s="795">
        <v>13914.337999999994</v>
      </c>
      <c r="G83" s="794">
        <v>3.7723076939760554</v>
      </c>
      <c r="H83" s="740">
        <v>12759.241999999995</v>
      </c>
      <c r="I83" s="740">
        <v>-51160.770999999993</v>
      </c>
      <c r="J83" s="740">
        <v>-39972.873999999982</v>
      </c>
      <c r="K83" s="794" t="s">
        <v>944</v>
      </c>
      <c r="L83" s="794" t="s">
        <v>944</v>
      </c>
      <c r="M83" s="794">
        <v>3.4591503214815131</v>
      </c>
      <c r="N83" s="741">
        <v>4.1175209963425691E-2</v>
      </c>
    </row>
    <row r="84" spans="1:14">
      <c r="A84" s="738" t="s">
        <v>754</v>
      </c>
      <c r="B84" s="739">
        <v>78</v>
      </c>
      <c r="C84" s="740">
        <v>5685.9080000000022</v>
      </c>
      <c r="D84" s="740">
        <v>17547.905000000002</v>
      </c>
      <c r="E84" s="794">
        <v>0.32402204137758905</v>
      </c>
      <c r="F84" s="795">
        <v>22632.616999999998</v>
      </c>
      <c r="G84" s="794">
        <v>1.2897617692824297</v>
      </c>
      <c r="H84" s="740">
        <v>22107.181999999997</v>
      </c>
      <c r="I84" s="740">
        <v>3438.4869999999992</v>
      </c>
      <c r="J84" s="740">
        <v>8185.5960000000086</v>
      </c>
      <c r="K84" s="794">
        <v>6.4293341809929778</v>
      </c>
      <c r="L84" s="794">
        <v>2.7007418885564318</v>
      </c>
      <c r="M84" s="794">
        <v>1.2598188786638629</v>
      </c>
      <c r="N84" s="741">
        <v>4.0041704683196455E-2</v>
      </c>
    </row>
    <row r="85" spans="1:14">
      <c r="A85" s="738" t="s">
        <v>755</v>
      </c>
      <c r="B85" s="739">
        <v>3</v>
      </c>
      <c r="C85" s="740">
        <v>0</v>
      </c>
      <c r="D85" s="740">
        <v>864.12200000000007</v>
      </c>
      <c r="E85" s="794">
        <v>0</v>
      </c>
      <c r="F85" s="795">
        <v>0</v>
      </c>
      <c r="G85" s="794">
        <v>0</v>
      </c>
      <c r="H85" s="740">
        <v>-1.46</v>
      </c>
      <c r="I85" s="740">
        <v>-352.39199999999983</v>
      </c>
      <c r="J85" s="740">
        <v>295.70099999999911</v>
      </c>
      <c r="K85" s="794" t="s">
        <v>944</v>
      </c>
      <c r="L85" s="794">
        <v>-4.937419893744033E-3</v>
      </c>
      <c r="M85" s="794">
        <v>-1.6895762403919814E-3</v>
      </c>
      <c r="N85" s="741">
        <v>9.9691021624217765E-2</v>
      </c>
    </row>
    <row r="86" spans="1:14">
      <c r="A86" s="738" t="s">
        <v>756</v>
      </c>
      <c r="B86" s="739">
        <v>68</v>
      </c>
      <c r="C86" s="740">
        <v>23911.23</v>
      </c>
      <c r="D86" s="740">
        <v>72801.989000000001</v>
      </c>
      <c r="E86" s="794">
        <v>0.32844198803414559</v>
      </c>
      <c r="F86" s="795">
        <v>67067.744000000006</v>
      </c>
      <c r="G86" s="794">
        <v>0.92123505032259501</v>
      </c>
      <c r="H86" s="740">
        <v>62269.758000000009</v>
      </c>
      <c r="I86" s="740">
        <v>36738.156000000025</v>
      </c>
      <c r="J86" s="740">
        <v>41487.001000000026</v>
      </c>
      <c r="K86" s="794">
        <v>1.694961445533629</v>
      </c>
      <c r="L86" s="794">
        <v>1.5009462361475578</v>
      </c>
      <c r="M86" s="794">
        <v>0.85533044983152873</v>
      </c>
      <c r="N86" s="741">
        <v>3.3748762158634794E-2</v>
      </c>
    </row>
    <row r="87" spans="1:14">
      <c r="A87" s="738" t="s">
        <v>757</v>
      </c>
      <c r="B87" s="739">
        <v>30</v>
      </c>
      <c r="C87" s="740">
        <v>2591.8000000000002</v>
      </c>
      <c r="D87" s="740">
        <v>18191.870000000006</v>
      </c>
      <c r="E87" s="794">
        <v>0.14247023533039754</v>
      </c>
      <c r="F87" s="795">
        <v>17103.580000000005</v>
      </c>
      <c r="G87" s="794">
        <v>0.94017712307750656</v>
      </c>
      <c r="H87" s="740">
        <v>16041.224000000006</v>
      </c>
      <c r="I87" s="740">
        <v>8840.6850000000068</v>
      </c>
      <c r="J87" s="740">
        <v>20856.582000000009</v>
      </c>
      <c r="K87" s="794">
        <v>1.8144774980671738</v>
      </c>
      <c r="L87" s="794">
        <v>0.769120462787239</v>
      </c>
      <c r="M87" s="794">
        <v>0.88177982802207799</v>
      </c>
      <c r="N87" s="741">
        <v>4.4292965648447258E-2</v>
      </c>
    </row>
    <row r="88" spans="1:14">
      <c r="A88" s="738" t="s">
        <v>758</v>
      </c>
      <c r="B88" s="739">
        <v>8</v>
      </c>
      <c r="C88" s="740">
        <v>256.3</v>
      </c>
      <c r="D88" s="740">
        <v>2071.7000000000003</v>
      </c>
      <c r="E88" s="794">
        <v>0.12371482357484191</v>
      </c>
      <c r="F88" s="795">
        <v>685.12800000000004</v>
      </c>
      <c r="G88" s="794">
        <v>0.33070811410918566</v>
      </c>
      <c r="H88" s="740">
        <v>629.33800000000008</v>
      </c>
      <c r="I88" s="740">
        <v>2064.4490000000001</v>
      </c>
      <c r="J88" s="740">
        <v>1634.4930000000004</v>
      </c>
      <c r="K88" s="794">
        <v>0.30484550599215582</v>
      </c>
      <c r="L88" s="794">
        <v>0.38503560431277462</v>
      </c>
      <c r="M88" s="794">
        <v>0.3037785393638075</v>
      </c>
      <c r="N88" s="741">
        <v>6.4392129906350806E-2</v>
      </c>
    </row>
    <row r="89" spans="1:14">
      <c r="A89" s="738" t="s">
        <v>759</v>
      </c>
      <c r="B89" s="739">
        <v>13</v>
      </c>
      <c r="C89" s="740">
        <v>2072.0459999999998</v>
      </c>
      <c r="D89" s="740">
        <v>7698.7</v>
      </c>
      <c r="E89" s="794">
        <v>0.26914232272981153</v>
      </c>
      <c r="F89" s="795">
        <v>1351.3019999999999</v>
      </c>
      <c r="G89" s="794">
        <v>0.17552340005455466</v>
      </c>
      <c r="H89" s="740">
        <v>1090.4089999999999</v>
      </c>
      <c r="I89" s="740">
        <v>6060.83</v>
      </c>
      <c r="J89" s="740">
        <v>8598.4689999999991</v>
      </c>
      <c r="K89" s="794">
        <v>0.17991083729456195</v>
      </c>
      <c r="L89" s="794">
        <v>0.12681432008419172</v>
      </c>
      <c r="M89" s="794">
        <v>0.14163547092366244</v>
      </c>
      <c r="N89" s="741">
        <v>3.4958749410353512E-2</v>
      </c>
    </row>
    <row r="90" spans="1:14">
      <c r="A90" s="738" t="s">
        <v>760</v>
      </c>
      <c r="B90" s="739">
        <v>91</v>
      </c>
      <c r="C90" s="740">
        <v>60.03</v>
      </c>
      <c r="D90" s="740">
        <v>91628.188999999984</v>
      </c>
      <c r="E90" s="794">
        <v>6.5514772970139145E-4</v>
      </c>
      <c r="F90" s="795">
        <v>106194.38899999998</v>
      </c>
      <c r="G90" s="794">
        <v>1.1589707289751192</v>
      </c>
      <c r="H90" s="740">
        <v>103663.72299999998</v>
      </c>
      <c r="I90" s="740">
        <v>56468.040999999997</v>
      </c>
      <c r="J90" s="740">
        <v>67774.870999999985</v>
      </c>
      <c r="K90" s="794">
        <v>1.8357945691794051</v>
      </c>
      <c r="L90" s="794">
        <v>1.5295303623669017</v>
      </c>
      <c r="M90" s="794">
        <v>1.1313518703289007</v>
      </c>
      <c r="N90" s="741">
        <v>3.071817066284499E-2</v>
      </c>
    </row>
    <row r="91" spans="1:14">
      <c r="A91" s="738" t="s">
        <v>761</v>
      </c>
      <c r="B91" s="739">
        <v>33</v>
      </c>
      <c r="C91" s="740">
        <v>0.33600000000000002</v>
      </c>
      <c r="D91" s="740">
        <v>-5178.8999999999996</v>
      </c>
      <c r="E91" s="794">
        <v>0</v>
      </c>
      <c r="F91" s="795">
        <v>4187.8380000000006</v>
      </c>
      <c r="G91" s="794" t="s">
        <v>944</v>
      </c>
      <c r="H91" s="740">
        <v>3398.9600000000005</v>
      </c>
      <c r="I91" s="740">
        <v>-7707.2199999999993</v>
      </c>
      <c r="J91" s="740">
        <v>-6077.91</v>
      </c>
      <c r="K91" s="794" t="s">
        <v>944</v>
      </c>
      <c r="L91" s="794" t="s">
        <v>944</v>
      </c>
      <c r="M91" s="794">
        <v>-0.65630925486107106</v>
      </c>
      <c r="N91" s="741">
        <v>3.2900020588293027E-2</v>
      </c>
    </row>
    <row r="92" spans="1:14">
      <c r="A92" s="738" t="s">
        <v>762</v>
      </c>
      <c r="B92" s="739">
        <v>390</v>
      </c>
      <c r="C92" s="740">
        <v>24238.726000000002</v>
      </c>
      <c r="D92" s="740">
        <v>71266.943000000058</v>
      </c>
      <c r="E92" s="794">
        <v>0.34011176822892464</v>
      </c>
      <c r="F92" s="795">
        <v>81788.361999999979</v>
      </c>
      <c r="G92" s="794">
        <v>1.14763393176553</v>
      </c>
      <c r="H92" s="740">
        <v>64479.063999999977</v>
      </c>
      <c r="I92" s="740">
        <v>48833.83300000005</v>
      </c>
      <c r="J92" s="740">
        <v>71160.036000000036</v>
      </c>
      <c r="K92" s="794">
        <v>1.3203768788741181</v>
      </c>
      <c r="L92" s="794">
        <v>0.90611342579984</v>
      </c>
      <c r="M92" s="794">
        <v>0.90475417193073548</v>
      </c>
      <c r="N92" s="741">
        <v>2.8066077148274141E-2</v>
      </c>
    </row>
    <row r="93" spans="1:14">
      <c r="A93" s="738" t="s">
        <v>763</v>
      </c>
      <c r="B93" s="739">
        <v>28</v>
      </c>
      <c r="C93" s="740">
        <v>1342.77</v>
      </c>
      <c r="D93" s="740">
        <v>25593.539999999997</v>
      </c>
      <c r="E93" s="794">
        <v>5.2465192388391764E-2</v>
      </c>
      <c r="F93" s="795">
        <v>9648.9889999999996</v>
      </c>
      <c r="G93" s="794">
        <v>0.37700876861895621</v>
      </c>
      <c r="H93" s="740">
        <v>9591.2379999999994</v>
      </c>
      <c r="I93" s="740">
        <v>18329.896999999997</v>
      </c>
      <c r="J93" s="740">
        <v>16980.165999999997</v>
      </c>
      <c r="K93" s="794">
        <v>0.52325651366180626</v>
      </c>
      <c r="L93" s="794">
        <v>0.56484948380363309</v>
      </c>
      <c r="M93" s="794">
        <v>0.37475230077589894</v>
      </c>
      <c r="N93" s="741">
        <v>8.8354278552709387E-2</v>
      </c>
    </row>
    <row r="94" spans="1:14">
      <c r="A94" s="738" t="s">
        <v>764</v>
      </c>
      <c r="B94" s="739">
        <v>16</v>
      </c>
      <c r="C94" s="740">
        <v>145.71</v>
      </c>
      <c r="D94" s="740">
        <v>2321.21</v>
      </c>
      <c r="E94" s="794">
        <v>6.2773294962541096E-2</v>
      </c>
      <c r="F94" s="795">
        <v>1034.7369999999999</v>
      </c>
      <c r="G94" s="794">
        <v>0.44577483295350262</v>
      </c>
      <c r="H94" s="740">
        <v>1011.0639999999999</v>
      </c>
      <c r="I94" s="740">
        <v>-3333.4219999999959</v>
      </c>
      <c r="J94" s="740">
        <v>-1972.8989999999949</v>
      </c>
      <c r="K94" s="794" t="s">
        <v>944</v>
      </c>
      <c r="L94" s="794" t="s">
        <v>944</v>
      </c>
      <c r="M94" s="794">
        <v>0.4355762727198314</v>
      </c>
      <c r="N94" s="741">
        <v>2.6437164736179304E-2</v>
      </c>
    </row>
    <row r="95" spans="1:14">
      <c r="A95" s="738" t="s">
        <v>765</v>
      </c>
      <c r="B95" s="739">
        <v>79</v>
      </c>
      <c r="C95" s="740">
        <v>7183.5780000000013</v>
      </c>
      <c r="D95" s="740">
        <v>14067.433999999994</v>
      </c>
      <c r="E95" s="794">
        <v>0.51065304447136584</v>
      </c>
      <c r="F95" s="795">
        <v>20791.182000000001</v>
      </c>
      <c r="G95" s="794">
        <v>1.477965491076767</v>
      </c>
      <c r="H95" s="740">
        <v>19482.921000000002</v>
      </c>
      <c r="I95" s="740">
        <v>9251.8459999999941</v>
      </c>
      <c r="J95" s="740">
        <v>11450.131999999994</v>
      </c>
      <c r="K95" s="794">
        <v>2.1058414720694674</v>
      </c>
      <c r="L95" s="794">
        <v>1.7015455367676122</v>
      </c>
      <c r="M95" s="794">
        <v>1.3849662276716572</v>
      </c>
      <c r="N95" s="741">
        <v>3.7911016791603691E-2</v>
      </c>
    </row>
    <row r="96" spans="1:14">
      <c r="A96" s="738" t="s">
        <v>766</v>
      </c>
      <c r="B96" s="739">
        <v>49</v>
      </c>
      <c r="C96" s="740">
        <v>21546.925000000007</v>
      </c>
      <c r="D96" s="740">
        <v>41509.338000000003</v>
      </c>
      <c r="E96" s="794">
        <v>0.51908621139657796</v>
      </c>
      <c r="F96" s="795">
        <v>13411.382</v>
      </c>
      <c r="G96" s="794">
        <v>0.32309313147803026</v>
      </c>
      <c r="H96" s="740">
        <v>13044.091</v>
      </c>
      <c r="I96" s="740">
        <v>38803.376000000018</v>
      </c>
      <c r="J96" s="740">
        <v>-4787.0699999999924</v>
      </c>
      <c r="K96" s="794">
        <v>0.3361586631018908</v>
      </c>
      <c r="L96" s="794" t="s">
        <v>944</v>
      </c>
      <c r="M96" s="794">
        <v>0.31424473693124183</v>
      </c>
      <c r="N96" s="741">
        <v>1.125298621890258E-2</v>
      </c>
    </row>
    <row r="97" spans="1:14">
      <c r="A97" s="738" t="s">
        <v>767</v>
      </c>
      <c r="B97" s="739">
        <v>15</v>
      </c>
      <c r="C97" s="740">
        <v>14569.3</v>
      </c>
      <c r="D97" s="740">
        <v>13594.152</v>
      </c>
      <c r="E97" s="794">
        <v>1.0717329039722374</v>
      </c>
      <c r="F97" s="795">
        <v>17679.399999999998</v>
      </c>
      <c r="G97" s="794">
        <v>1.3005151038475955</v>
      </c>
      <c r="H97" s="740">
        <v>17637.725999999999</v>
      </c>
      <c r="I97" s="740">
        <v>12523.432999999999</v>
      </c>
      <c r="J97" s="740">
        <v>11467.923999999999</v>
      </c>
      <c r="K97" s="794">
        <v>1.4083778784938603</v>
      </c>
      <c r="L97" s="794">
        <v>1.5380051350183346</v>
      </c>
      <c r="M97" s="794">
        <v>1.2974495209410635</v>
      </c>
      <c r="N97" s="741">
        <v>2.8404796925753654E-2</v>
      </c>
    </row>
    <row r="98" spans="1:14">
      <c r="A98" s="738" t="s">
        <v>768</v>
      </c>
      <c r="B98" s="739">
        <v>18</v>
      </c>
      <c r="C98" s="740">
        <v>6209.0999999999995</v>
      </c>
      <c r="D98" s="740">
        <v>18562.939999999999</v>
      </c>
      <c r="E98" s="794">
        <v>0.3344890410678481</v>
      </c>
      <c r="F98" s="795">
        <v>14374.3</v>
      </c>
      <c r="G98" s="794">
        <v>0.77435470889848268</v>
      </c>
      <c r="H98" s="740">
        <v>13749.071</v>
      </c>
      <c r="I98" s="740">
        <v>10682.412000000002</v>
      </c>
      <c r="J98" s="740">
        <v>10330.74</v>
      </c>
      <c r="K98" s="794">
        <v>1.2870755218952421</v>
      </c>
      <c r="L98" s="794">
        <v>1.3308892683389573</v>
      </c>
      <c r="M98" s="794">
        <v>0.74067313690611514</v>
      </c>
      <c r="N98" s="741">
        <v>6.2843539003580931E-2</v>
      </c>
    </row>
    <row r="99" spans="1:14">
      <c r="A99" s="738" t="s">
        <v>769</v>
      </c>
      <c r="B99" s="739">
        <v>4</v>
      </c>
      <c r="C99" s="740">
        <v>5115.982</v>
      </c>
      <c r="D99" s="740">
        <v>14258.8</v>
      </c>
      <c r="E99" s="794">
        <v>0.35879470923219348</v>
      </c>
      <c r="F99" s="795">
        <v>19554</v>
      </c>
      <c r="G99" s="794">
        <v>1.3713636491149326</v>
      </c>
      <c r="H99" s="740">
        <v>19545</v>
      </c>
      <c r="I99" s="740">
        <v>11470.980000000001</v>
      </c>
      <c r="J99" s="740">
        <v>18925.38</v>
      </c>
      <c r="K99" s="794">
        <v>1.7038648833839827</v>
      </c>
      <c r="L99" s="794">
        <v>1.0327401616242315</v>
      </c>
      <c r="M99" s="794">
        <v>1.3707324599545545</v>
      </c>
      <c r="N99" s="741">
        <v>1.4686917256493601E-2</v>
      </c>
    </row>
    <row r="100" spans="1:14">
      <c r="A100" s="738" t="s">
        <v>770</v>
      </c>
      <c r="B100" s="739">
        <v>35</v>
      </c>
      <c r="C100" s="740">
        <v>729.19200000000012</v>
      </c>
      <c r="D100" s="740">
        <v>2048.5369999999994</v>
      </c>
      <c r="E100" s="794">
        <v>0.35595744670464841</v>
      </c>
      <c r="F100" s="795">
        <v>9496.5119999999988</v>
      </c>
      <c r="G100" s="794">
        <v>4.6357532229098144</v>
      </c>
      <c r="H100" s="740">
        <v>9226.7929999999997</v>
      </c>
      <c r="I100" s="740">
        <v>-11721.857000000011</v>
      </c>
      <c r="J100" s="740">
        <v>-3931.0920000000187</v>
      </c>
      <c r="K100" s="794" t="s">
        <v>944</v>
      </c>
      <c r="L100" s="794" t="s">
        <v>944</v>
      </c>
      <c r="M100" s="794">
        <v>4.5040890157219531</v>
      </c>
      <c r="N100" s="741">
        <v>5.7218077552788967E-2</v>
      </c>
    </row>
    <row r="101" spans="1:14">
      <c r="A101" s="738" t="s">
        <v>771</v>
      </c>
      <c r="B101" s="739">
        <v>15</v>
      </c>
      <c r="C101" s="740">
        <v>9710.9999999999982</v>
      </c>
      <c r="D101" s="740">
        <v>16381.300000000001</v>
      </c>
      <c r="E101" s="794">
        <v>0.59281009443694932</v>
      </c>
      <c r="F101" s="795">
        <v>11145.699999999999</v>
      </c>
      <c r="G101" s="794">
        <v>0.68039166610708546</v>
      </c>
      <c r="H101" s="740">
        <v>8442.0999999999985</v>
      </c>
      <c r="I101" s="740">
        <v>-12850.019999999999</v>
      </c>
      <c r="J101" s="740">
        <v>-2207.7199999999866</v>
      </c>
      <c r="K101" s="794" t="s">
        <v>944</v>
      </c>
      <c r="L101" s="794" t="s">
        <v>944</v>
      </c>
      <c r="M101" s="794">
        <v>0.51534981961138604</v>
      </c>
      <c r="N101" s="741">
        <v>3.3127957239668755E-3</v>
      </c>
    </row>
    <row r="102" spans="1:14" s="730" customFormat="1">
      <c r="A102" s="738" t="s">
        <v>772</v>
      </c>
      <c r="B102" s="739">
        <v>16</v>
      </c>
      <c r="C102" s="740">
        <v>937.33</v>
      </c>
      <c r="D102" s="740">
        <v>2065.1099999999997</v>
      </c>
      <c r="E102" s="794">
        <v>0.34685422173962976</v>
      </c>
      <c r="F102" s="795">
        <v>959.12600000000009</v>
      </c>
      <c r="G102" s="794">
        <v>0.46444305630208571</v>
      </c>
      <c r="H102" s="740">
        <v>677.23500000000013</v>
      </c>
      <c r="I102" s="740">
        <v>-1100.0900000000006</v>
      </c>
      <c r="J102" s="740">
        <v>656.9719999999993</v>
      </c>
      <c r="K102" s="794" t="s">
        <v>944</v>
      </c>
      <c r="L102" s="794">
        <v>1.0308430191849893</v>
      </c>
      <c r="M102" s="794">
        <v>0.32794136874064833</v>
      </c>
      <c r="N102" s="741">
        <v>3.5347974849298789E-3</v>
      </c>
    </row>
    <row r="103" spans="1:14" s="730" customFormat="1">
      <c r="A103" s="738" t="s">
        <v>773</v>
      </c>
      <c r="B103" s="739">
        <v>7165</v>
      </c>
      <c r="C103" s="740">
        <v>636300.29461999901</v>
      </c>
      <c r="D103" s="740">
        <v>1834489.1159999932</v>
      </c>
      <c r="E103" s="794">
        <v>0.34685422173962976</v>
      </c>
      <c r="F103" s="795">
        <v>1709643.4870000002</v>
      </c>
      <c r="G103" s="794">
        <v>0.93194528770374374</v>
      </c>
      <c r="H103" s="740">
        <v>1464406.3220000009</v>
      </c>
      <c r="I103" s="740">
        <v>1330007.5189999882</v>
      </c>
      <c r="J103" s="740">
        <v>1727349.8130000215</v>
      </c>
      <c r="K103" s="794">
        <v>1.1010511602979998</v>
      </c>
      <c r="L103" s="794">
        <v>0.84777635136721585</v>
      </c>
      <c r="M103" s="794">
        <v>0.79826383772342113</v>
      </c>
      <c r="N103" s="741">
        <v>6.6630317524362631E-2</v>
      </c>
    </row>
    <row r="104" spans="1:14" s="730" customFormat="1">
      <c r="A104" s="742" t="s">
        <v>774</v>
      </c>
      <c r="B104" s="743">
        <v>5649</v>
      </c>
      <c r="C104" s="744">
        <v>531213.33509999886</v>
      </c>
      <c r="D104" s="744">
        <v>1448837.7589999933</v>
      </c>
      <c r="E104" s="796">
        <v>0.36664790919491858</v>
      </c>
      <c r="F104" s="797">
        <v>1464861.1690000002</v>
      </c>
      <c r="G104" s="796">
        <v>1.0110594922726659</v>
      </c>
      <c r="H104" s="744">
        <v>1275825.1640000008</v>
      </c>
      <c r="I104" s="744">
        <v>876682.75499998848</v>
      </c>
      <c r="J104" s="744">
        <v>1147513.3280000212</v>
      </c>
      <c r="K104" s="796">
        <v>1.4552871682756181</v>
      </c>
      <c r="L104" s="796">
        <v>1.1118172947268612</v>
      </c>
      <c r="M104" s="796">
        <v>0.88058525261005893</v>
      </c>
      <c r="N104" s="745">
        <v>3.7516689774389836E-2</v>
      </c>
    </row>
  </sheetData>
  <mergeCells count="9">
    <mergeCell ref="B7:G7"/>
    <mergeCell ref="B1:G1"/>
    <mergeCell ref="H1:I6"/>
    <mergeCell ref="B2:G2"/>
    <mergeCell ref="B3:E3"/>
    <mergeCell ref="F3:G3"/>
    <mergeCell ref="B4:G4"/>
    <mergeCell ref="B5:G5"/>
    <mergeCell ref="B6:G6"/>
  </mergeCells>
  <hyperlinks>
    <hyperlink ref="B2" r:id="rId1" xr:uid="{3A55D3E6-2C79-C644-BF23-BA9F9523579B}"/>
    <hyperlink ref="B4" r:id="rId2" xr:uid="{6B1AAF47-4018-3B4F-808A-E61A80BCA1C2}"/>
    <hyperlink ref="B5" r:id="rId3" display="http://www.stern.nyu.edu/~adamodar/New_Home_Page/data.html" xr:uid="{CD8C7165-1400-794C-8232-97BD6A6D937D}"/>
    <hyperlink ref="B6" r:id="rId4" xr:uid="{F98671AE-9AF1-E24F-A7F7-7C9837185D6C}"/>
    <hyperlink ref="B7" r:id="rId5" display="http://www.stern.nyu.edu/~adamodar/New_Home_Page/datafile/variable.htm" xr:uid="{1CE53E6D-1FB4-8943-A3F9-EC99A763DD37}"/>
  </hyperlinks>
  <pageMargins left="0.75" right="0.75" top="1" bottom="1" header="0.5" footer="0.5"/>
  <pageSetup orientation="portrait" horizontalDpi="4294967292" verticalDpi="4294967292"/>
  <headerFooter alignWithMargins="0"/>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81089C-6E2A-4FD7-A402-55E9C86C97B5}"/>
</file>

<file path=customXml/itemProps2.xml><?xml version="1.0" encoding="utf-8"?>
<ds:datastoreItem xmlns:ds="http://schemas.openxmlformats.org/officeDocument/2006/customXml" ds:itemID="{7F2201F8-AF86-4917-AB6F-F5C309BBED32}"/>
</file>

<file path=customXml/itemProps3.xml><?xml version="1.0" encoding="utf-8"?>
<ds:datastoreItem xmlns:ds="http://schemas.openxmlformats.org/officeDocument/2006/customXml" ds:itemID="{E4E33FEE-1117-4802-A5BB-FA073D1C6E04}"/>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Jorge Daniel Vieira Freitas</cp:lastModifiedBy>
  <cp:revision/>
  <dcterms:created xsi:type="dcterms:W3CDTF">2000-04-19T14:51:26Z</dcterms:created>
  <dcterms:modified xsi:type="dcterms:W3CDTF">2025-03-20T14:30:49Z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