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Pre-restructuring OPs/Retail 1- TL Henrique Albuquerque/Diageo PLC (DEO)/"/>
    </mc:Choice>
  </mc:AlternateContent>
  <xr:revisionPtr revIDLastSave="2603" documentId="109_{92B3CEB7-864B-4C5D-BF4A-ED3BBC91F7FC}" xr6:coauthVersionLast="47" xr6:coauthVersionMax="47" xr10:uidLastSave="{83D9CA33-3FD5-4D30-A84D-41779CB490AA}"/>
  <bookViews>
    <workbookView xWindow="10245" yWindow="0" windowWidth="10245" windowHeight="10920" tabRatio="644" activeTab="5" xr2:uid="{00000000-000D-0000-FFFF-FFFF00000000}"/>
  </bookViews>
  <sheets>
    <sheet name="OP" sheetId="1" r:id="rId1"/>
    <sheet name="Acuerdo" sheetId="11" state="hidden" r:id="rId2"/>
    <sheet name="Segments" sheetId="3" r:id="rId3"/>
    <sheet name="Peers" sheetId="24" r:id="rId4"/>
    <sheet name="ESG" sheetId="19" r:id="rId5"/>
    <sheet name="DCF" sheetId="4" r:id="rId6"/>
    <sheet name="Assumptions" sheetId="22" r:id="rId7"/>
    <sheet name="Sector Impact" sheetId="18" state="hidden" r:id="rId8"/>
    <sheet name="Fin. Data" sheetId="16" r:id="rId9"/>
    <sheet name="Inputs" sheetId="17" r:id="rId10"/>
  </sheets>
  <externalReferences>
    <externalReference r:id="rId11"/>
  </externalReferences>
  <definedNames>
    <definedName name="_xlnm.Print_Area" localSheetId="0">OP!$A$1:$M$78</definedName>
    <definedName name="_xlnm.Print_Area" localSheetId="2">Segments!#REF!</definedName>
    <definedName name="Sectors" localSheetId="6">'[1]Sector Impact'!$K$4:$K$16</definedName>
    <definedName name="Sectors">'Sector Impact'!$K$4:$K$16</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8" i="4" l="1"/>
  <c r="D19" i="17"/>
  <c r="C19" i="17"/>
  <c r="B19" i="17"/>
  <c r="G19" i="17"/>
  <c r="F19" i="17"/>
  <c r="E19" i="17"/>
  <c r="J19" i="17"/>
  <c r="I19" i="17"/>
  <c r="H19" i="17"/>
  <c r="K19" i="17"/>
  <c r="K10" i="17"/>
  <c r="J10" i="17"/>
  <c r="I10" i="17"/>
  <c r="H10" i="17"/>
  <c r="D10" i="17"/>
  <c r="C10" i="17"/>
  <c r="B10" i="17"/>
  <c r="G10" i="17"/>
  <c r="F10" i="17"/>
  <c r="E10" i="17"/>
  <c r="B56" i="17"/>
  <c r="K6" i="3"/>
  <c r="D168" i="22" l="1"/>
  <c r="E168" i="22"/>
  <c r="F168" i="22" s="1"/>
  <c r="H59" i="24"/>
  <c r="G59" i="24"/>
  <c r="F59" i="24"/>
  <c r="E59" i="24"/>
  <c r="X52" i="24"/>
  <c r="D59" i="24"/>
  <c r="F25" i="1"/>
  <c r="D27" i="4"/>
  <c r="L89" i="22"/>
  <c r="H89" i="22"/>
  <c r="I89" i="22"/>
  <c r="J89" i="22"/>
  <c r="K89" i="22"/>
  <c r="G89" i="22"/>
  <c r="G88" i="22"/>
  <c r="H88" i="22"/>
  <c r="I88" i="22"/>
  <c r="J88" i="22"/>
  <c r="K88" i="22"/>
  <c r="J59" i="4"/>
  <c r="J58" i="4"/>
  <c r="J57" i="4"/>
  <c r="J55" i="4"/>
  <c r="G81" i="22"/>
  <c r="G83" i="22" s="1"/>
  <c r="B82" i="17"/>
  <c r="E2" i="1"/>
  <c r="P8" i="1" s="1" a="1"/>
  <c r="P8" i="1" s="1"/>
  <c r="D55" i="4"/>
  <c r="L20" i="22"/>
  <c r="G9" i="4"/>
  <c r="G34" i="24"/>
  <c r="E28" i="24"/>
  <c r="E30" i="24" s="1" a="1"/>
  <c r="E30" i="24" s="1"/>
  <c r="E53" i="24" s="1"/>
  <c r="M20" i="1"/>
  <c r="M21" i="1" s="1"/>
  <c r="D221" i="22"/>
  <c r="E221" i="22" s="1"/>
  <c r="F221" i="22" s="1"/>
  <c r="G221" i="22" s="1"/>
  <c r="H221" i="22" s="1"/>
  <c r="I221" i="22" s="1"/>
  <c r="J221" i="22" s="1"/>
  <c r="K221" i="22" s="1"/>
  <c r="L221" i="22" s="1"/>
  <c r="M221" i="22" s="1"/>
  <c r="N221" i="22" s="1"/>
  <c r="O221" i="22" s="1"/>
  <c r="P221" i="22" s="1"/>
  <c r="Q221" i="22" s="1"/>
  <c r="R221" i="22" s="1"/>
  <c r="S221" i="22" s="1"/>
  <c r="T221" i="22" s="1"/>
  <c r="U221" i="22" s="1"/>
  <c r="V221" i="22" s="1"/>
  <c r="W221" i="22" s="1"/>
  <c r="X221" i="22" s="1"/>
  <c r="Y221" i="22" s="1"/>
  <c r="Z221" i="22" s="1"/>
  <c r="AA221" i="22" s="1"/>
  <c r="AB221" i="22" s="1"/>
  <c r="AC221" i="22" s="1"/>
  <c r="J70" i="22"/>
  <c r="I70" i="22"/>
  <c r="H70" i="22"/>
  <c r="G70" i="22"/>
  <c r="K70" i="22"/>
  <c r="J68" i="22"/>
  <c r="I68" i="22"/>
  <c r="H68" i="22"/>
  <c r="G68" i="22"/>
  <c r="K68" i="22"/>
  <c r="J67" i="22"/>
  <c r="I67" i="22"/>
  <c r="H67" i="22"/>
  <c r="G67" i="22"/>
  <c r="K67" i="22"/>
  <c r="B67" i="17"/>
  <c r="E56" i="4"/>
  <c r="J63" i="22"/>
  <c r="I63" i="22"/>
  <c r="H63" i="22"/>
  <c r="G63" i="22"/>
  <c r="K63" i="22"/>
  <c r="H166" i="22"/>
  <c r="G166" i="22"/>
  <c r="AD7" i="4"/>
  <c r="AF7" i="4" s="1"/>
  <c r="K13" i="3"/>
  <c r="D13" i="3"/>
  <c r="K15" i="3"/>
  <c r="L15" i="3"/>
  <c r="G18" i="3"/>
  <c r="H18" i="3"/>
  <c r="I18" i="3"/>
  <c r="O16" i="3"/>
  <c r="K17" i="3"/>
  <c r="M17" i="3"/>
  <c r="O17" i="3"/>
  <c r="L14" i="3"/>
  <c r="K16" i="3"/>
  <c r="L16" i="3"/>
  <c r="M16" i="3"/>
  <c r="M14" i="3"/>
  <c r="N14" i="3"/>
  <c r="L8" i="3"/>
  <c r="M8" i="3"/>
  <c r="N8" i="3"/>
  <c r="O8" i="3"/>
  <c r="K8" i="3"/>
  <c r="B11" i="3"/>
  <c r="E13" i="3"/>
  <c r="F13" i="3" s="1"/>
  <c r="G13" i="3" s="1"/>
  <c r="H13" i="3" s="1"/>
  <c r="I13" i="3" s="1"/>
  <c r="L13" i="3"/>
  <c r="M13" i="3" s="1"/>
  <c r="N13" i="3" s="1"/>
  <c r="O13" i="3" s="1"/>
  <c r="P13" i="3" s="1"/>
  <c r="F18" i="3"/>
  <c r="E9" i="3"/>
  <c r="F9" i="3"/>
  <c r="G9" i="3"/>
  <c r="H9" i="3"/>
  <c r="I9" i="3"/>
  <c r="D9" i="3"/>
  <c r="K48" i="22"/>
  <c r="J48" i="22"/>
  <c r="K49" i="22" s="1"/>
  <c r="J43" i="22"/>
  <c r="K42" i="22" s="1"/>
  <c r="L7" i="3"/>
  <c r="M7" i="3"/>
  <c r="N7" i="3"/>
  <c r="O7" i="3"/>
  <c r="H151" i="22"/>
  <c r="G151" i="22"/>
  <c r="H130" i="22"/>
  <c r="H164" i="22" s="1"/>
  <c r="H165" i="22" s="1"/>
  <c r="G130" i="22"/>
  <c r="Q9" i="19"/>
  <c r="Q8" i="19"/>
  <c r="Q7" i="19"/>
  <c r="Q6" i="19"/>
  <c r="P9" i="19"/>
  <c r="P8" i="19"/>
  <c r="P7" i="19"/>
  <c r="P6" i="19"/>
  <c r="O9" i="19"/>
  <c r="O8" i="19"/>
  <c r="O7" i="19"/>
  <c r="O6" i="19"/>
  <c r="N9" i="19"/>
  <c r="N8" i="19"/>
  <c r="N7" i="19"/>
  <c r="N6" i="19"/>
  <c r="M9" i="19"/>
  <c r="M8" i="19"/>
  <c r="M7" i="19"/>
  <c r="M6" i="19"/>
  <c r="L9" i="19"/>
  <c r="L8" i="19"/>
  <c r="L7" i="19"/>
  <c r="L6" i="19"/>
  <c r="P12" i="19"/>
  <c r="N11" i="19"/>
  <c r="M12" i="19"/>
  <c r="M11" i="19"/>
  <c r="F33" i="24"/>
  <c r="K55" i="22"/>
  <c r="K74" i="22" s="1"/>
  <c r="K75" i="22" s="1"/>
  <c r="C30" i="22" s="1"/>
  <c r="J55" i="22"/>
  <c r="J74" i="22" s="1"/>
  <c r="J75" i="22" s="1"/>
  <c r="D30" i="22" s="1"/>
  <c r="I55" i="22"/>
  <c r="I74" i="22" s="1"/>
  <c r="I75" i="22" s="1"/>
  <c r="E30" i="22" s="1"/>
  <c r="H55" i="22"/>
  <c r="H74" i="22" s="1"/>
  <c r="H75" i="22" s="1"/>
  <c r="F30" i="22" s="1"/>
  <c r="G55" i="22"/>
  <c r="G74" i="22" s="1"/>
  <c r="G75" i="22" s="1"/>
  <c r="K40" i="22"/>
  <c r="J40" i="22" s="1"/>
  <c r="I40" i="22" s="1"/>
  <c r="H40" i="22" s="1"/>
  <c r="G40" i="22" s="1"/>
  <c r="M40" i="22"/>
  <c r="N40" i="22" s="1"/>
  <c r="O40" i="22" s="1"/>
  <c r="P40" i="22" s="1"/>
  <c r="Q40" i="22" s="1"/>
  <c r="R40" i="22" s="1"/>
  <c r="S40" i="22" s="1"/>
  <c r="T40" i="22" s="1"/>
  <c r="U40" i="22" s="1"/>
  <c r="V40" i="22" s="1"/>
  <c r="W40" i="22" s="1"/>
  <c r="X40" i="22" s="1"/>
  <c r="Y40" i="22" s="1"/>
  <c r="Z40" i="22" s="1"/>
  <c r="AA40" i="22" s="1"/>
  <c r="AB40" i="22" s="1"/>
  <c r="AC40" i="22" s="1"/>
  <c r="AD40" i="22" s="1"/>
  <c r="AE40" i="22" s="1"/>
  <c r="AF40" i="22" s="1"/>
  <c r="AG40" i="22" s="1"/>
  <c r="AH40" i="22" s="1"/>
  <c r="AI40" i="22" s="1"/>
  <c r="AJ40" i="22" s="1"/>
  <c r="AK40" i="22" s="1"/>
  <c r="D58" i="4"/>
  <c r="E47" i="24"/>
  <c r="E51" i="24"/>
  <c r="E33" i="24"/>
  <c r="K7" i="3"/>
  <c r="K5" i="3"/>
  <c r="C69" i="24"/>
  <c r="D53" i="24"/>
  <c r="D90" i="24"/>
  <c r="D80" i="24"/>
  <c r="D78" i="24"/>
  <c r="M77" i="1"/>
  <c r="M76" i="1"/>
  <c r="M75" i="1"/>
  <c r="M74" i="1"/>
  <c r="M73" i="1"/>
  <c r="M71" i="1"/>
  <c r="M70" i="1"/>
  <c r="M69" i="1"/>
  <c r="M68" i="1"/>
  <c r="M67" i="1"/>
  <c r="M66" i="1"/>
  <c r="M65" i="1"/>
  <c r="M64" i="1"/>
  <c r="M63" i="1"/>
  <c r="M62" i="1"/>
  <c r="M72" i="1"/>
  <c r="E6" i="4"/>
  <c r="D6" i="4"/>
  <c r="F6" i="4"/>
  <c r="B47" i="17"/>
  <c r="B23" i="17"/>
  <c r="J69" i="22" l="1"/>
  <c r="D27" i="22" s="1"/>
  <c r="E65" i="24" a="1"/>
  <c r="E65" i="24" s="1"/>
  <c r="G69" i="22"/>
  <c r="G27" i="22" s="1"/>
  <c r="H69" i="22"/>
  <c r="F27" i="22" s="1"/>
  <c r="L75" i="22"/>
  <c r="G30" i="22"/>
  <c r="G56" i="22"/>
  <c r="G29" i="22" s="1"/>
  <c r="H56" i="22"/>
  <c r="F29" i="22" s="1"/>
  <c r="I56" i="22"/>
  <c r="E29" i="22" s="1"/>
  <c r="J56" i="22"/>
  <c r="D29" i="22" s="1"/>
  <c r="K56" i="22"/>
  <c r="K57" i="22" s="1"/>
  <c r="K69" i="22"/>
  <c r="C27" i="22" s="1"/>
  <c r="I69" i="22"/>
  <c r="E27" i="22" s="1"/>
  <c r="K71" i="22"/>
  <c r="C28" i="22" s="1"/>
  <c r="G71" i="22"/>
  <c r="G28" i="22" s="1"/>
  <c r="H71" i="22"/>
  <c r="F28" i="22" s="1"/>
  <c r="I71" i="22"/>
  <c r="E28" i="22" s="1"/>
  <c r="J71" i="22"/>
  <c r="D28" i="22" s="1"/>
  <c r="J103" i="1"/>
  <c r="K9" i="3"/>
  <c r="B6" i="3"/>
  <c r="I55" i="4" s="1"/>
  <c r="I56" i="4"/>
  <c r="B7" i="3"/>
  <c r="I57" i="4" s="1"/>
  <c r="B8" i="3"/>
  <c r="I59" i="4" s="1"/>
  <c r="B5" i="3"/>
  <c r="I54" i="4" s="1"/>
  <c r="O9" i="3"/>
  <c r="N9" i="3"/>
  <c r="M9" i="3"/>
  <c r="L9" i="3"/>
  <c r="E5" i="4"/>
  <c r="L42" i="22"/>
  <c r="K43" i="22"/>
  <c r="AE7" i="4"/>
  <c r="M42" i="22"/>
  <c r="L43" i="22"/>
  <c r="L48" i="22"/>
  <c r="L17" i="3"/>
  <c r="N15" i="3"/>
  <c r="N16" i="3"/>
  <c r="E18" i="3"/>
  <c r="L18" i="3" s="1"/>
  <c r="O18" i="3"/>
  <c r="N18" i="3"/>
  <c r="N17" i="3"/>
  <c r="M18" i="3"/>
  <c r="O15" i="3"/>
  <c r="M15" i="3"/>
  <c r="O14" i="3"/>
  <c r="G164" i="22"/>
  <c r="G165" i="22" s="1"/>
  <c r="B13" i="17"/>
  <c r="B14" i="17" s="1"/>
  <c r="H28" i="24"/>
  <c r="G28" i="24"/>
  <c r="F28" i="24"/>
  <c r="F65" i="24" s="1" a="1"/>
  <c r="F65" i="24" s="1"/>
  <c r="C92" i="24"/>
  <c r="C88" i="24"/>
  <c r="I68" i="24"/>
  <c r="I66" i="24"/>
  <c r="J66" i="24" s="1"/>
  <c r="I64" i="24"/>
  <c r="J64" i="24" s="1"/>
  <c r="I63" i="24"/>
  <c r="J63" i="24" s="1"/>
  <c r="C59" i="24"/>
  <c r="I58" i="24"/>
  <c r="I52" i="24"/>
  <c r="H51" i="24"/>
  <c r="G51" i="24"/>
  <c r="F51" i="24"/>
  <c r="D51" i="24"/>
  <c r="H50" i="24"/>
  <c r="G50" i="24"/>
  <c r="F50" i="24"/>
  <c r="E50" i="24"/>
  <c r="D50" i="24"/>
  <c r="H49" i="24"/>
  <c r="G49" i="24"/>
  <c r="F49" i="24"/>
  <c r="E49" i="24"/>
  <c r="D49" i="24"/>
  <c r="H48" i="24"/>
  <c r="G48" i="24"/>
  <c r="F48" i="24"/>
  <c r="E48" i="24"/>
  <c r="D48" i="24"/>
  <c r="H47" i="24"/>
  <c r="G47" i="24"/>
  <c r="F47" i="24"/>
  <c r="D47" i="24"/>
  <c r="I46" i="24"/>
  <c r="H45" i="24"/>
  <c r="G45" i="24"/>
  <c r="F45" i="24"/>
  <c r="E45" i="24"/>
  <c r="D45" i="24"/>
  <c r="H44" i="24"/>
  <c r="G44" i="24"/>
  <c r="F44" i="24"/>
  <c r="E44" i="24"/>
  <c r="D44" i="24"/>
  <c r="H42" i="24"/>
  <c r="G42" i="24"/>
  <c r="F42" i="24"/>
  <c r="E42" i="24"/>
  <c r="D42" i="24"/>
  <c r="H41" i="24"/>
  <c r="G41" i="24"/>
  <c r="F41" i="24"/>
  <c r="E41" i="24"/>
  <c r="D41" i="24"/>
  <c r="H40" i="24"/>
  <c r="G40" i="24"/>
  <c r="F40" i="24"/>
  <c r="E40" i="24"/>
  <c r="D40" i="24"/>
  <c r="I39" i="24"/>
  <c r="H38" i="24"/>
  <c r="G38" i="24"/>
  <c r="F38" i="24"/>
  <c r="E38" i="24"/>
  <c r="D38" i="24"/>
  <c r="H37" i="24"/>
  <c r="G37" i="24"/>
  <c r="F37" i="24"/>
  <c r="E37" i="24"/>
  <c r="D37" i="24"/>
  <c r="H36" i="24"/>
  <c r="G36" i="24"/>
  <c r="F36" i="24"/>
  <c r="E36" i="24"/>
  <c r="D36" i="24"/>
  <c r="H35" i="24"/>
  <c r="G35" i="24"/>
  <c r="F35" i="24"/>
  <c r="E35" i="24"/>
  <c r="D35" i="24"/>
  <c r="H34" i="24"/>
  <c r="F34" i="24"/>
  <c r="E34" i="24"/>
  <c r="D34" i="24"/>
  <c r="H33" i="24"/>
  <c r="G33" i="24"/>
  <c r="D33" i="24"/>
  <c r="I32" i="24"/>
  <c r="H31" i="24"/>
  <c r="H70" i="24" s="1"/>
  <c r="G31" i="24"/>
  <c r="G70" i="24" s="1"/>
  <c r="F31" i="24"/>
  <c r="F70" i="24" s="1"/>
  <c r="E31" i="24"/>
  <c r="E70" i="24" s="1"/>
  <c r="D31" i="24"/>
  <c r="D70" i="24" s="1"/>
  <c r="I29" i="24"/>
  <c r="D28" i="24"/>
  <c r="G57" i="22" l="1"/>
  <c r="H25" i="1"/>
  <c r="I58" i="4"/>
  <c r="I103" i="1"/>
  <c r="D65" i="24" a="1"/>
  <c r="D65" i="24" s="1"/>
  <c r="D67" i="24" s="1"/>
  <c r="L103" i="1"/>
  <c r="G65" i="24" a="1"/>
  <c r="G65" i="24" s="1"/>
  <c r="G67" i="24" s="1"/>
  <c r="M103" i="1"/>
  <c r="H65" i="24" a="1"/>
  <c r="H65" i="24" s="1"/>
  <c r="H67" i="24" s="1"/>
  <c r="K103" i="1"/>
  <c r="F30" i="24" a="1"/>
  <c r="F30" i="24" s="1"/>
  <c r="J57" i="22"/>
  <c r="C29" i="22"/>
  <c r="H57" i="22"/>
  <c r="I57" i="22"/>
  <c r="K28" i="22"/>
  <c r="D63" i="4" s="1"/>
  <c r="K29" i="22"/>
  <c r="D64" i="4" s="1"/>
  <c r="G6" i="4"/>
  <c r="G27" i="4" s="1"/>
  <c r="L50" i="22"/>
  <c r="N42" i="22"/>
  <c r="M43" i="22"/>
  <c r="M48" i="22" s="1"/>
  <c r="B9" i="3"/>
  <c r="C44" i="24"/>
  <c r="I44" i="24" s="1"/>
  <c r="J44" i="24" s="1"/>
  <c r="D72" i="24"/>
  <c r="E72" i="24"/>
  <c r="E67" i="24"/>
  <c r="F72" i="24"/>
  <c r="F67" i="24"/>
  <c r="G72" i="24"/>
  <c r="G30" i="24" a="1"/>
  <c r="G30" i="24" s="1"/>
  <c r="H72" i="24"/>
  <c r="H30" i="24" a="1"/>
  <c r="H30" i="24" s="1"/>
  <c r="X22" i="24" s="1"/>
  <c r="I59" i="24"/>
  <c r="J59" i="24" s="1"/>
  <c r="I69" i="24"/>
  <c r="J69" i="24" s="1"/>
  <c r="B87" i="17"/>
  <c r="L60" i="4" l="1"/>
  <c r="K60" i="4"/>
  <c r="G23" i="4"/>
  <c r="L28" i="22"/>
  <c r="E63" i="4" s="1"/>
  <c r="M50" i="22"/>
  <c r="H6" i="4"/>
  <c r="H27" i="4" s="1"/>
  <c r="O42" i="22"/>
  <c r="N43" i="22"/>
  <c r="N48" i="22" s="1"/>
  <c r="G5" i="4"/>
  <c r="H57" i="24"/>
  <c r="H56" i="24"/>
  <c r="H55" i="24"/>
  <c r="H54" i="24"/>
  <c r="H53" i="24"/>
  <c r="G57" i="24"/>
  <c r="G56" i="24"/>
  <c r="G55" i="24"/>
  <c r="G54" i="24"/>
  <c r="G53" i="24"/>
  <c r="F57" i="24"/>
  <c r="F56" i="24"/>
  <c r="F55" i="24"/>
  <c r="F54" i="24"/>
  <c r="E57" i="24"/>
  <c r="E56" i="24"/>
  <c r="E55" i="24"/>
  <c r="E54" i="24"/>
  <c r="D57" i="24"/>
  <c r="D56" i="24"/>
  <c r="D55" i="24"/>
  <c r="D54" i="24"/>
  <c r="O6" i="3"/>
  <c r="N6" i="3"/>
  <c r="M6" i="3"/>
  <c r="L6" i="3"/>
  <c r="I6" i="4" l="1"/>
  <c r="I27" i="4" s="1"/>
  <c r="N50" i="22"/>
  <c r="P42" i="22"/>
  <c r="O43" i="22"/>
  <c r="O48" i="22" s="1"/>
  <c r="G24" i="4"/>
  <c r="G40" i="4"/>
  <c r="I33" i="22"/>
  <c r="C17" i="22"/>
  <c r="C60" i="17"/>
  <c r="D60" i="17"/>
  <c r="E60" i="17"/>
  <c r="F60" i="17"/>
  <c r="G60" i="17"/>
  <c r="H60" i="17"/>
  <c r="I60" i="17"/>
  <c r="J60" i="17"/>
  <c r="K60" i="17"/>
  <c r="B60" i="17"/>
  <c r="B63" i="17" s="1"/>
  <c r="F67" i="17"/>
  <c r="G67" i="17"/>
  <c r="H67" i="17"/>
  <c r="I67" i="17"/>
  <c r="J67" i="17"/>
  <c r="K67" i="17"/>
  <c r="L67" i="17"/>
  <c r="M67" i="17"/>
  <c r="E47" i="17"/>
  <c r="F47" i="17"/>
  <c r="G47" i="17"/>
  <c r="H47" i="17"/>
  <c r="I47" i="17"/>
  <c r="J47" i="17"/>
  <c r="K47" i="17"/>
  <c r="L47" i="17"/>
  <c r="M47" i="17"/>
  <c r="D47" i="17"/>
  <c r="E32" i="17"/>
  <c r="F32" i="17"/>
  <c r="G32" i="17"/>
  <c r="H32" i="17"/>
  <c r="I32" i="17"/>
  <c r="J32" i="17"/>
  <c r="K32" i="17"/>
  <c r="L32" i="17"/>
  <c r="M32" i="17"/>
  <c r="D32" i="17"/>
  <c r="F22" i="1"/>
  <c r="F23" i="1"/>
  <c r="F24" i="1"/>
  <c r="J6" i="4" l="1"/>
  <c r="O50" i="22"/>
  <c r="Q42" i="22"/>
  <c r="R43" i="22" s="1"/>
  <c r="P43" i="22"/>
  <c r="P48" i="22" s="1"/>
  <c r="I18" i="22"/>
  <c r="K18" i="22" s="1"/>
  <c r="B77" i="17"/>
  <c r="B75" i="17"/>
  <c r="B50" i="17"/>
  <c r="B46" i="17"/>
  <c r="B32" i="17"/>
  <c r="B36" i="17" s="1"/>
  <c r="B31" i="17"/>
  <c r="J27" i="4" l="1"/>
  <c r="J24" i="4"/>
  <c r="P50" i="22"/>
  <c r="K6" i="4"/>
  <c r="K27" i="4" s="1"/>
  <c r="Q43" i="22"/>
  <c r="Q48" i="22" s="1"/>
  <c r="R48" i="22" s="1"/>
  <c r="B37" i="17"/>
  <c r="Q50" i="22" l="1"/>
  <c r="L6" i="4"/>
  <c r="L27" i="4" s="1"/>
  <c r="R50" i="22" l="1"/>
  <c r="S50" i="22" s="1"/>
  <c r="T50" i="22" s="1"/>
  <c r="U50" i="22" s="1"/>
  <c r="V50" i="22" s="1"/>
  <c r="W50" i="22" s="1"/>
  <c r="X50" i="22" s="1"/>
  <c r="Y50" i="22" s="1"/>
  <c r="Z50" i="22" s="1"/>
  <c r="M6" i="4"/>
  <c r="M27" i="4" s="1"/>
  <c r="G10" i="22"/>
  <c r="F10" i="22"/>
  <c r="E10" i="22"/>
  <c r="D10" i="22"/>
  <c r="C10" i="22"/>
  <c r="S48" i="22" l="1"/>
  <c r="N6" i="4" s="1"/>
  <c r="N27" i="4" s="1"/>
  <c r="I32" i="22"/>
  <c r="I31" i="22"/>
  <c r="I30" i="22"/>
  <c r="K30" i="22" s="1"/>
  <c r="I29" i="22"/>
  <c r="I28" i="22"/>
  <c r="I27" i="22"/>
  <c r="I26" i="22"/>
  <c r="I25" i="22"/>
  <c r="I24" i="22"/>
  <c r="I23" i="22"/>
  <c r="I22" i="22"/>
  <c r="I19" i="22"/>
  <c r="K19" i="22" s="1"/>
  <c r="I10" i="22"/>
  <c r="D9" i="22"/>
  <c r="T48" i="22" l="1"/>
  <c r="L30" i="22"/>
  <c r="D65" i="4"/>
  <c r="K27" i="22"/>
  <c r="L27" i="22"/>
  <c r="E62" i="4" s="1"/>
  <c r="U48" i="22"/>
  <c r="O6" i="4"/>
  <c r="O27" i="4" s="1"/>
  <c r="E9" i="22"/>
  <c r="D17" i="22"/>
  <c r="F50" i="4"/>
  <c r="J40" i="1" s="1"/>
  <c r="V48" i="22" l="1"/>
  <c r="P6" i="4"/>
  <c r="P27" i="4" s="1"/>
  <c r="F9" i="22"/>
  <c r="E17" i="22"/>
  <c r="C77" i="17"/>
  <c r="F53" i="1" s="1"/>
  <c r="D77" i="17"/>
  <c r="F52" i="1" s="1"/>
  <c r="E77" i="17"/>
  <c r="F51" i="1" s="1"/>
  <c r="F77" i="17"/>
  <c r="F50" i="1" s="1"/>
  <c r="G77" i="17"/>
  <c r="F49" i="1" s="1"/>
  <c r="H77" i="17"/>
  <c r="F48" i="1" s="1"/>
  <c r="I77" i="17"/>
  <c r="F47" i="1" s="1"/>
  <c r="J77" i="17"/>
  <c r="F46" i="1" s="1"/>
  <c r="K77" i="17"/>
  <c r="L77" i="17"/>
  <c r="M77" i="17"/>
  <c r="F54" i="1"/>
  <c r="C20" i="1" l="1" a="1"/>
  <c r="C20" i="1" s="1"/>
  <c r="C21" i="1" a="1"/>
  <c r="C21" i="1" s="1"/>
  <c r="C28" i="24"/>
  <c r="C65" i="24" s="1" a="1"/>
  <c r="C65" i="24" s="1"/>
  <c r="M22" i="1" a="1"/>
  <c r="M22" i="1" s="1"/>
  <c r="C60" i="24" s="1"/>
  <c r="I60" i="24" s="1"/>
  <c r="J60" i="24" s="1"/>
  <c r="W48" i="22"/>
  <c r="Q6" i="4"/>
  <c r="Q27" i="4" s="1"/>
  <c r="C72" i="24"/>
  <c r="G9" i="22"/>
  <c r="G17" i="22" s="1"/>
  <c r="F17" i="22"/>
  <c r="C30" i="24" l="1" a="1"/>
  <c r="C30" i="24" s="1"/>
  <c r="G103" i="1"/>
  <c r="X48" i="22"/>
  <c r="R6" i="4"/>
  <c r="R27" i="4" s="1"/>
  <c r="D4" i="1" a="1"/>
  <c r="D4" i="1" s="1"/>
  <c r="C23" i="17"/>
  <c r="B22" i="17" s="1"/>
  <c r="D23" i="17"/>
  <c r="E23" i="17"/>
  <c r="F23" i="17"/>
  <c r="G23" i="17"/>
  <c r="H23" i="17"/>
  <c r="I23" i="17"/>
  <c r="J23" i="17"/>
  <c r="K23" i="17"/>
  <c r="D21" i="4"/>
  <c r="E21" i="4"/>
  <c r="F21" i="4"/>
  <c r="D24" i="4"/>
  <c r="Y48" i="22" l="1"/>
  <c r="S6" i="4"/>
  <c r="S27" i="4" s="1"/>
  <c r="I30" i="24"/>
  <c r="J30" i="24" s="1"/>
  <c r="C67" i="24"/>
  <c r="I67" i="24" s="1"/>
  <c r="J67" i="24" s="1"/>
  <c r="I65" i="24"/>
  <c r="J65" i="24" s="1"/>
  <c r="E27" i="4"/>
  <c r="F27" i="4"/>
  <c r="Z48" i="22" l="1"/>
  <c r="T6" i="4"/>
  <c r="T27" i="4" s="1"/>
  <c r="K75" i="17"/>
  <c r="L75" i="17"/>
  <c r="M75" i="17"/>
  <c r="J75" i="17"/>
  <c r="F31" i="4"/>
  <c r="E67" i="17"/>
  <c r="M63" i="17"/>
  <c r="E63" i="17"/>
  <c r="F63" i="17"/>
  <c r="G63" i="17"/>
  <c r="H63" i="17"/>
  <c r="I63" i="17"/>
  <c r="J63" i="17"/>
  <c r="F31" i="1"/>
  <c r="F28" i="1"/>
  <c r="F29" i="1"/>
  <c r="F30" i="1"/>
  <c r="F27" i="1"/>
  <c r="F21" i="1"/>
  <c r="D28" i="4"/>
  <c r="E28" i="4"/>
  <c r="F28" i="4"/>
  <c r="F25" i="4"/>
  <c r="AA48" i="22" l="1"/>
  <c r="U6" i="4"/>
  <c r="U27" i="4" s="1"/>
  <c r="D74" i="4"/>
  <c r="AB48" i="22" l="1"/>
  <c r="V6" i="4"/>
  <c r="V27" i="4" s="1"/>
  <c r="G10" i="4"/>
  <c r="E75" i="17"/>
  <c r="F75" i="17"/>
  <c r="G75" i="17"/>
  <c r="H75" i="17"/>
  <c r="I75" i="17"/>
  <c r="E36" i="17"/>
  <c r="F46" i="17"/>
  <c r="C32" i="17"/>
  <c r="K50" i="17"/>
  <c r="D75" i="17"/>
  <c r="D31" i="4" s="1"/>
  <c r="C75" i="17"/>
  <c r="E31" i="4" s="1"/>
  <c r="D63" i="17"/>
  <c r="I22" i="17"/>
  <c r="K22" i="17"/>
  <c r="C8" i="19"/>
  <c r="O5" i="3"/>
  <c r="N5" i="3"/>
  <c r="M5" i="3"/>
  <c r="L5" i="3"/>
  <c r="C63" i="17"/>
  <c r="D67" i="17"/>
  <c r="D25" i="4" s="1"/>
  <c r="G39" i="4" l="1"/>
  <c r="G38" i="4"/>
  <c r="AC48" i="22"/>
  <c r="W6" i="4"/>
  <c r="W27" i="4" s="1"/>
  <c r="R8" i="19"/>
  <c r="R7" i="19"/>
  <c r="R6" i="19"/>
  <c r="R9" i="19"/>
  <c r="C6" i="19"/>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K4" i="3"/>
  <c r="L4" i="3" s="1"/>
  <c r="M4" i="3" s="1"/>
  <c r="N4" i="3" s="1"/>
  <c r="O4" i="3" s="1"/>
  <c r="P4" i="3" s="1"/>
  <c r="D4" i="3"/>
  <c r="E4" i="3" s="1"/>
  <c r="F4" i="3" s="1"/>
  <c r="G4" i="3" s="1"/>
  <c r="H4" i="3" s="1"/>
  <c r="I4" i="3" s="1"/>
  <c r="M77" i="16"/>
  <c r="L77" i="16"/>
  <c r="K77" i="16"/>
  <c r="J77" i="16"/>
  <c r="I77" i="16"/>
  <c r="H77" i="16"/>
  <c r="G77" i="16"/>
  <c r="F77" i="16"/>
  <c r="E77" i="16"/>
  <c r="D77" i="16"/>
  <c r="C77" i="16"/>
  <c r="B77" i="16"/>
  <c r="M76" i="16"/>
  <c r="L76" i="16"/>
  <c r="K76" i="16"/>
  <c r="J76" i="16"/>
  <c r="I76" i="16"/>
  <c r="H76" i="16"/>
  <c r="G76" i="16"/>
  <c r="F76" i="16"/>
  <c r="E76" i="16"/>
  <c r="D76" i="16"/>
  <c r="C76" i="16"/>
  <c r="B76" i="16"/>
  <c r="M75" i="16"/>
  <c r="L75" i="16"/>
  <c r="K75" i="16"/>
  <c r="J75" i="16"/>
  <c r="I75" i="16"/>
  <c r="H75" i="16"/>
  <c r="G75" i="16"/>
  <c r="F75" i="16"/>
  <c r="E75" i="16"/>
  <c r="D75" i="16"/>
  <c r="C75" i="16"/>
  <c r="B75" i="16"/>
  <c r="M73" i="16"/>
  <c r="L73" i="16"/>
  <c r="K73" i="16"/>
  <c r="J73" i="16"/>
  <c r="I73" i="16"/>
  <c r="H73" i="16"/>
  <c r="G73" i="16"/>
  <c r="F73" i="16"/>
  <c r="E73" i="16"/>
  <c r="D73" i="16"/>
  <c r="C73" i="16"/>
  <c r="B73" i="16"/>
  <c r="M72" i="16"/>
  <c r="L72" i="16"/>
  <c r="K72" i="16"/>
  <c r="J72" i="16"/>
  <c r="I72" i="16"/>
  <c r="H72" i="16"/>
  <c r="G72" i="16"/>
  <c r="F72" i="16"/>
  <c r="E72" i="16"/>
  <c r="D72" i="16"/>
  <c r="C72" i="16"/>
  <c r="B72" i="16"/>
  <c r="B23" i="16"/>
  <c r="C82" i="24" s="1"/>
  <c r="M62" i="16"/>
  <c r="L62" i="16"/>
  <c r="K62" i="16"/>
  <c r="J62" i="16"/>
  <c r="I62" i="16"/>
  <c r="H62" i="16"/>
  <c r="G62" i="16"/>
  <c r="F62" i="16"/>
  <c r="E62" i="16"/>
  <c r="D62" i="16"/>
  <c r="C62" i="16"/>
  <c r="B62" i="16"/>
  <c r="M87" i="16"/>
  <c r="L87" i="16"/>
  <c r="K87" i="16"/>
  <c r="J87" i="16"/>
  <c r="I87" i="16"/>
  <c r="H87" i="16"/>
  <c r="G87" i="16"/>
  <c r="F87" i="16"/>
  <c r="E87" i="16"/>
  <c r="D87" i="16"/>
  <c r="C87" i="16"/>
  <c r="B87" i="16"/>
  <c r="M86" i="16"/>
  <c r="L86" i="16"/>
  <c r="K86" i="16"/>
  <c r="J86" i="16"/>
  <c r="I86" i="16"/>
  <c r="H86" i="16"/>
  <c r="G86" i="16"/>
  <c r="F86" i="16"/>
  <c r="E86" i="16"/>
  <c r="D86" i="16"/>
  <c r="C86" i="16"/>
  <c r="B86" i="16"/>
  <c r="M85" i="16"/>
  <c r="L85" i="16"/>
  <c r="K85" i="16"/>
  <c r="J85" i="16"/>
  <c r="I85" i="16"/>
  <c r="H85" i="16"/>
  <c r="G85" i="16"/>
  <c r="F85" i="16"/>
  <c r="E85" i="16"/>
  <c r="D85" i="16"/>
  <c r="C85" i="16"/>
  <c r="M84" i="16"/>
  <c r="L84" i="16"/>
  <c r="K84" i="16"/>
  <c r="J84" i="16"/>
  <c r="I84" i="16"/>
  <c r="H84" i="16"/>
  <c r="G84" i="16"/>
  <c r="F84" i="16"/>
  <c r="E84" i="16"/>
  <c r="D84" i="16"/>
  <c r="C84" i="16"/>
  <c r="M83" i="16"/>
  <c r="L83" i="16"/>
  <c r="K83" i="16"/>
  <c r="J83" i="16"/>
  <c r="I83" i="16"/>
  <c r="H83" i="16"/>
  <c r="G83" i="16"/>
  <c r="F83" i="16"/>
  <c r="E83" i="16"/>
  <c r="D83" i="16"/>
  <c r="C83" i="16"/>
  <c r="M82" i="16"/>
  <c r="L82" i="16"/>
  <c r="K82" i="16"/>
  <c r="J82" i="16"/>
  <c r="I82" i="16"/>
  <c r="H82" i="16"/>
  <c r="G82" i="16"/>
  <c r="F82" i="16"/>
  <c r="E82" i="16"/>
  <c r="D82" i="16"/>
  <c r="C82" i="16"/>
  <c r="B82" i="16"/>
  <c r="M81" i="16"/>
  <c r="L81" i="16"/>
  <c r="K81" i="16"/>
  <c r="J81" i="16"/>
  <c r="I81" i="16"/>
  <c r="H81" i="16"/>
  <c r="G81" i="16"/>
  <c r="F81" i="16"/>
  <c r="E81" i="16"/>
  <c r="D81" i="16"/>
  <c r="C81" i="16"/>
  <c r="B81" i="16"/>
  <c r="M52" i="16"/>
  <c r="L52" i="16"/>
  <c r="J52" i="16"/>
  <c r="I52" i="16"/>
  <c r="H52" i="16"/>
  <c r="G52" i="16"/>
  <c r="F52" i="16"/>
  <c r="E52" i="16"/>
  <c r="D52" i="16"/>
  <c r="B52" i="16"/>
  <c r="C48" i="16"/>
  <c r="D48" i="16"/>
  <c r="E48" i="16"/>
  <c r="F48" i="16"/>
  <c r="G48" i="16"/>
  <c r="H48" i="16"/>
  <c r="I48" i="16"/>
  <c r="J48" i="16"/>
  <c r="K48" i="16"/>
  <c r="L48" i="16"/>
  <c r="M48" i="16"/>
  <c r="B48" i="16"/>
  <c r="M54" i="16"/>
  <c r="L54" i="16"/>
  <c r="K54" i="16"/>
  <c r="J54" i="16"/>
  <c r="I54" i="16"/>
  <c r="H54" i="16"/>
  <c r="G54" i="16"/>
  <c r="F54" i="16"/>
  <c r="E54" i="16"/>
  <c r="D54" i="16"/>
  <c r="C54" i="16"/>
  <c r="B54" i="16"/>
  <c r="M53" i="16"/>
  <c r="L53" i="16"/>
  <c r="K53" i="16"/>
  <c r="J53" i="16"/>
  <c r="I53" i="16"/>
  <c r="H53" i="16"/>
  <c r="G53" i="16"/>
  <c r="F53" i="16"/>
  <c r="E53" i="16"/>
  <c r="D53" i="16"/>
  <c r="C53" i="16"/>
  <c r="B53" i="16"/>
  <c r="M50" i="16"/>
  <c r="L50" i="16"/>
  <c r="K50" i="16"/>
  <c r="J50" i="16"/>
  <c r="I50" i="16"/>
  <c r="H50" i="16"/>
  <c r="G50" i="16"/>
  <c r="F50" i="16"/>
  <c r="E50" i="16"/>
  <c r="D50" i="16"/>
  <c r="C50" i="16"/>
  <c r="B50" i="16"/>
  <c r="M49" i="16"/>
  <c r="L49" i="16"/>
  <c r="K49" i="16"/>
  <c r="J49" i="16"/>
  <c r="I49" i="16"/>
  <c r="H49" i="16"/>
  <c r="G49" i="16"/>
  <c r="F49" i="16"/>
  <c r="E49" i="16"/>
  <c r="D49" i="16"/>
  <c r="C49" i="16"/>
  <c r="B49" i="16"/>
  <c r="B44" i="16"/>
  <c r="C90" i="24" s="1"/>
  <c r="M42" i="16"/>
  <c r="L42" i="16"/>
  <c r="K42" i="16"/>
  <c r="J42" i="16"/>
  <c r="I42" i="16"/>
  <c r="H42" i="16"/>
  <c r="G42" i="16"/>
  <c r="F42" i="16"/>
  <c r="E42" i="16"/>
  <c r="D42" i="16"/>
  <c r="C42" i="16"/>
  <c r="B42" i="16"/>
  <c r="C89" i="24" s="1"/>
  <c r="M41" i="16"/>
  <c r="L41" i="16"/>
  <c r="K41" i="16"/>
  <c r="J41" i="16"/>
  <c r="I41" i="16"/>
  <c r="H41" i="16"/>
  <c r="G41" i="16"/>
  <c r="F41" i="16"/>
  <c r="E41" i="16"/>
  <c r="D41" i="16"/>
  <c r="C41" i="16"/>
  <c r="B41" i="16"/>
  <c r="C87" i="24" s="1"/>
  <c r="M40" i="16"/>
  <c r="L40" i="16"/>
  <c r="K40" i="16"/>
  <c r="J40" i="16"/>
  <c r="I40" i="16"/>
  <c r="H40" i="16"/>
  <c r="G40" i="16"/>
  <c r="F40" i="16"/>
  <c r="E40" i="16"/>
  <c r="D40" i="16"/>
  <c r="C40" i="16"/>
  <c r="B40" i="16"/>
  <c r="C86" i="24" s="1"/>
  <c r="M39" i="16"/>
  <c r="M26" i="16" s="1"/>
  <c r="L39" i="16"/>
  <c r="K39" i="16"/>
  <c r="J39" i="16"/>
  <c r="I39" i="16"/>
  <c r="H39" i="16"/>
  <c r="G39" i="16"/>
  <c r="F39" i="16"/>
  <c r="E39" i="16"/>
  <c r="D39" i="16"/>
  <c r="D43" i="4" s="1"/>
  <c r="C39" i="16"/>
  <c r="B39" i="16"/>
  <c r="C85" i="24" s="1"/>
  <c r="M33" i="16"/>
  <c r="L33" i="16"/>
  <c r="K33" i="16"/>
  <c r="J33" i="16"/>
  <c r="I33" i="16"/>
  <c r="H33" i="16"/>
  <c r="G33" i="16"/>
  <c r="F33" i="16"/>
  <c r="E33" i="16"/>
  <c r="D33" i="16"/>
  <c r="C33" i="16"/>
  <c r="B33" i="16"/>
  <c r="M32" i="16"/>
  <c r="L32" i="16"/>
  <c r="K32" i="16"/>
  <c r="J32" i="16"/>
  <c r="I32" i="16"/>
  <c r="H32" i="16"/>
  <c r="G32" i="16"/>
  <c r="F32" i="16"/>
  <c r="E32" i="16"/>
  <c r="D32" i="16"/>
  <c r="D23" i="4" s="1"/>
  <c r="D26" i="4" s="1"/>
  <c r="C32" i="16"/>
  <c r="B32" i="16"/>
  <c r="F23" i="4" s="1"/>
  <c r="M28" i="16"/>
  <c r="L28" i="16"/>
  <c r="K28" i="16"/>
  <c r="J28" i="16"/>
  <c r="I28" i="16"/>
  <c r="H28" i="16"/>
  <c r="G28" i="16"/>
  <c r="F28" i="16"/>
  <c r="E28" i="16"/>
  <c r="D28" i="16"/>
  <c r="C28" i="16"/>
  <c r="B28" i="16"/>
  <c r="M27" i="16"/>
  <c r="L27" i="16"/>
  <c r="K27" i="16"/>
  <c r="J27" i="16"/>
  <c r="I27" i="16"/>
  <c r="H27" i="16"/>
  <c r="G27" i="16"/>
  <c r="F27" i="16"/>
  <c r="E27" i="16"/>
  <c r="D27" i="16"/>
  <c r="C27" i="16"/>
  <c r="B27" i="16"/>
  <c r="M23" i="16"/>
  <c r="L23" i="16"/>
  <c r="K23" i="16"/>
  <c r="J23" i="16"/>
  <c r="I23" i="16"/>
  <c r="H23" i="16"/>
  <c r="G23" i="16"/>
  <c r="F23" i="16"/>
  <c r="E23" i="16"/>
  <c r="D23" i="16"/>
  <c r="D17" i="4" s="1"/>
  <c r="C23" i="16"/>
  <c r="E17" i="4" s="1"/>
  <c r="M21" i="16"/>
  <c r="L21" i="16"/>
  <c r="K21" i="16"/>
  <c r="J21" i="16"/>
  <c r="I21" i="16"/>
  <c r="H21" i="16"/>
  <c r="G21" i="16"/>
  <c r="F21" i="16"/>
  <c r="E21" i="16"/>
  <c r="D21" i="16"/>
  <c r="D16" i="4" s="1"/>
  <c r="C21" i="16"/>
  <c r="E16" i="4" s="1"/>
  <c r="B21" i="16"/>
  <c r="M17" i="16"/>
  <c r="L17" i="16"/>
  <c r="K17" i="16"/>
  <c r="J17" i="16"/>
  <c r="I17" i="16"/>
  <c r="H17" i="16"/>
  <c r="G17" i="16"/>
  <c r="F17" i="16"/>
  <c r="E17" i="16"/>
  <c r="D17" i="16"/>
  <c r="C17" i="16"/>
  <c r="B17" i="16"/>
  <c r="M15" i="16"/>
  <c r="L15" i="16"/>
  <c r="K15" i="16"/>
  <c r="J15" i="16"/>
  <c r="I15" i="16"/>
  <c r="H15" i="16"/>
  <c r="G15" i="16"/>
  <c r="F15" i="16"/>
  <c r="E15" i="16"/>
  <c r="D15" i="16"/>
  <c r="D14" i="4" s="1"/>
  <c r="C15" i="16"/>
  <c r="E14" i="4" s="1"/>
  <c r="B15" i="16"/>
  <c r="F14" i="4" s="1"/>
  <c r="M14" i="16"/>
  <c r="L14" i="16"/>
  <c r="K14" i="16"/>
  <c r="J14" i="16"/>
  <c r="I14" i="16"/>
  <c r="H14" i="16"/>
  <c r="G14" i="16"/>
  <c r="F14" i="16"/>
  <c r="G61" i="22" s="1"/>
  <c r="E14" i="16"/>
  <c r="H61" i="22" s="1"/>
  <c r="D14" i="16"/>
  <c r="C14" i="16"/>
  <c r="B14" i="16"/>
  <c r="C11" i="16"/>
  <c r="D11" i="16"/>
  <c r="D8" i="4" s="1"/>
  <c r="D12" i="4" s="1"/>
  <c r="E11" i="16"/>
  <c r="F11" i="16"/>
  <c r="G11" i="16"/>
  <c r="H11" i="16"/>
  <c r="I11" i="16"/>
  <c r="J11" i="16"/>
  <c r="K11" i="16"/>
  <c r="L11" i="16"/>
  <c r="M11" i="16"/>
  <c r="B11" i="16"/>
  <c r="C79" i="24" s="1"/>
  <c r="C7" i="16"/>
  <c r="D7" i="16"/>
  <c r="E7" i="16"/>
  <c r="F7" i="16"/>
  <c r="G7" i="16"/>
  <c r="H7" i="16"/>
  <c r="I7" i="16"/>
  <c r="J7" i="16"/>
  <c r="K7" i="16"/>
  <c r="L7" i="16"/>
  <c r="M7" i="16"/>
  <c r="B7" i="16"/>
  <c r="M5" i="16"/>
  <c r="L5" i="16"/>
  <c r="K5" i="16"/>
  <c r="J5" i="16"/>
  <c r="I5" i="16"/>
  <c r="H5" i="16"/>
  <c r="G5" i="16"/>
  <c r="F5" i="16"/>
  <c r="G78" i="22" s="1"/>
  <c r="G84" i="22" s="1"/>
  <c r="E5" i="16"/>
  <c r="D5" i="16"/>
  <c r="I78" i="22" s="1"/>
  <c r="C5" i="16"/>
  <c r="B5" i="16"/>
  <c r="K78" i="22" s="1"/>
  <c r="K84" i="22" s="1"/>
  <c r="M13" i="17"/>
  <c r="L13" i="17"/>
  <c r="K13" i="17"/>
  <c r="K14" i="17" s="1"/>
  <c r="J13" i="17"/>
  <c r="I13" i="17"/>
  <c r="H13" i="17"/>
  <c r="G13" i="17"/>
  <c r="F13" i="17"/>
  <c r="E13" i="17"/>
  <c r="D71" i="16"/>
  <c r="E71" i="16"/>
  <c r="F71" i="16"/>
  <c r="G71" i="16"/>
  <c r="H71" i="16"/>
  <c r="I71" i="16"/>
  <c r="K71" i="16"/>
  <c r="M74" i="16"/>
  <c r="L74" i="16"/>
  <c r="K74" i="16"/>
  <c r="J74" i="16"/>
  <c r="I74" i="16"/>
  <c r="H74" i="16"/>
  <c r="G74" i="16"/>
  <c r="F74" i="16"/>
  <c r="E74" i="16"/>
  <c r="D74" i="16"/>
  <c r="C74" i="16"/>
  <c r="B74" i="16"/>
  <c r="B70" i="16"/>
  <c r="F19" i="4" s="1"/>
  <c r="M78" i="16"/>
  <c r="L78" i="16"/>
  <c r="K78" i="16"/>
  <c r="J78" i="16"/>
  <c r="I78" i="16"/>
  <c r="H78" i="16"/>
  <c r="G78" i="16"/>
  <c r="F78" i="16"/>
  <c r="E78" i="16"/>
  <c r="D78" i="16"/>
  <c r="C78" i="16"/>
  <c r="M70" i="16"/>
  <c r="J70" i="16"/>
  <c r="I70" i="16"/>
  <c r="H70" i="16"/>
  <c r="G70" i="16"/>
  <c r="F70" i="16"/>
  <c r="E70" i="16"/>
  <c r="D70" i="16"/>
  <c r="D19" i="4" s="1"/>
  <c r="C70" i="16"/>
  <c r="E19" i="4" s="1"/>
  <c r="C36" i="17"/>
  <c r="C31" i="17"/>
  <c r="D31" i="17"/>
  <c r="E31" i="17"/>
  <c r="F31" i="17"/>
  <c r="G31" i="17"/>
  <c r="H31" i="17"/>
  <c r="I31" i="17"/>
  <c r="J31" i="17"/>
  <c r="K31" i="17"/>
  <c r="C44" i="16"/>
  <c r="B56" i="16"/>
  <c r="D50" i="17"/>
  <c r="D55" i="16" s="1"/>
  <c r="E50" i="17"/>
  <c r="E55" i="16" s="1"/>
  <c r="F50" i="17"/>
  <c r="F55" i="16" s="1"/>
  <c r="G50" i="17"/>
  <c r="H50" i="17"/>
  <c r="I50" i="17"/>
  <c r="J50" i="17"/>
  <c r="L50" i="17"/>
  <c r="M50" i="17"/>
  <c r="M55" i="16" s="1"/>
  <c r="B55" i="16"/>
  <c r="C46" i="17"/>
  <c r="C51" i="16" s="1"/>
  <c r="D46" i="17"/>
  <c r="D51" i="16" s="1"/>
  <c r="E46" i="17"/>
  <c r="G46" i="17"/>
  <c r="H46" i="17"/>
  <c r="I46" i="17"/>
  <c r="J46" i="17"/>
  <c r="J51" i="16" s="1"/>
  <c r="K46" i="17"/>
  <c r="L46" i="17"/>
  <c r="M46" i="17"/>
  <c r="B51" i="16"/>
  <c r="AB38" i="17"/>
  <c r="D22" i="4" l="1"/>
  <c r="D34" i="4" s="1"/>
  <c r="E22" i="4"/>
  <c r="G80" i="22"/>
  <c r="G20" i="22" s="1"/>
  <c r="C75" i="24"/>
  <c r="J78" i="22"/>
  <c r="I80" i="22"/>
  <c r="E20" i="22" s="1"/>
  <c r="I84" i="22"/>
  <c r="I61" i="22"/>
  <c r="D13" i="4"/>
  <c r="D15" i="4" s="1"/>
  <c r="C74" i="24"/>
  <c r="H78" i="22"/>
  <c r="K80" i="22"/>
  <c r="C20" i="22" s="1"/>
  <c r="C80" i="24"/>
  <c r="K61" i="22"/>
  <c r="E13" i="4"/>
  <c r="J61" i="22"/>
  <c r="C81" i="24"/>
  <c r="B22" i="16"/>
  <c r="AD48" i="22"/>
  <c r="X6" i="4"/>
  <c r="X27" i="4" s="1"/>
  <c r="C45" i="24"/>
  <c r="I45" i="24" s="1"/>
  <c r="J45" i="24" s="1"/>
  <c r="B58" i="16"/>
  <c r="C93" i="24" s="1"/>
  <c r="C40" i="24" s="1"/>
  <c r="I40" i="24" s="1"/>
  <c r="J40" i="24" s="1"/>
  <c r="C53" i="24"/>
  <c r="I53" i="24" s="1"/>
  <c r="J53" i="24" s="1"/>
  <c r="C76" i="24"/>
  <c r="C35" i="24" s="1"/>
  <c r="I35" i="24" s="1"/>
  <c r="J35" i="24" s="1"/>
  <c r="C77" i="24"/>
  <c r="D7" i="4"/>
  <c r="E8" i="4"/>
  <c r="E7" i="4" s="1"/>
  <c r="H27" i="1"/>
  <c r="C37" i="17"/>
  <c r="D29" i="4"/>
  <c r="D30" i="4"/>
  <c r="E30" i="4"/>
  <c r="E29" i="4"/>
  <c r="F30" i="4"/>
  <c r="F16" i="4"/>
  <c r="F29" i="4"/>
  <c r="H10" i="4"/>
  <c r="G46" i="4"/>
  <c r="F45" i="4"/>
  <c r="F46" i="4"/>
  <c r="F47" i="4"/>
  <c r="H16" i="16"/>
  <c r="L58" i="16"/>
  <c r="M58" i="16"/>
  <c r="I58" i="16"/>
  <c r="J58" i="16"/>
  <c r="K58" i="16"/>
  <c r="E23" i="4"/>
  <c r="E24" i="4"/>
  <c r="F24" i="4"/>
  <c r="F26" i="4" s="1"/>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E51" i="16"/>
  <c r="D58" i="16"/>
  <c r="C58" i="16"/>
  <c r="G58" i="16"/>
  <c r="F58" i="16"/>
  <c r="E58" i="16"/>
  <c r="F13" i="4"/>
  <c r="F8" i="4"/>
  <c r="D13" i="17"/>
  <c r="D14" i="17" s="1"/>
  <c r="C13" i="17"/>
  <c r="C14" i="17" s="1"/>
  <c r="F17" i="4"/>
  <c r="C24" i="1"/>
  <c r="H58" i="16"/>
  <c r="E8" i="16"/>
  <c r="G8" i="16"/>
  <c r="M24" i="16"/>
  <c r="M25" i="16" s="1"/>
  <c r="L51" i="16"/>
  <c r="I16" i="16"/>
  <c r="L55" i="16"/>
  <c r="F51" i="16"/>
  <c r="L22" i="16"/>
  <c r="M51" i="16"/>
  <c r="K16" i="16"/>
  <c r="C16" i="16"/>
  <c r="J60" i="22" s="1"/>
  <c r="E16" i="16"/>
  <c r="H60" i="22" s="1"/>
  <c r="H62" i="22" s="1"/>
  <c r="H64" i="22" s="1"/>
  <c r="F21" i="22" s="1"/>
  <c r="M16" i="16"/>
  <c r="F24" i="16"/>
  <c r="B8" i="16"/>
  <c r="J24" i="16"/>
  <c r="H55" i="16"/>
  <c r="G24" i="16"/>
  <c r="M8" i="16"/>
  <c r="G22" i="16"/>
  <c r="C24" i="16"/>
  <c r="K24" i="16"/>
  <c r="I55" i="16"/>
  <c r="L8" i="16"/>
  <c r="D8" i="16"/>
  <c r="J55" i="16"/>
  <c r="I8" i="16"/>
  <c r="K8" i="16"/>
  <c r="C8" i="16"/>
  <c r="F8" i="16"/>
  <c r="G16" i="16"/>
  <c r="G51" i="16"/>
  <c r="G55" i="16"/>
  <c r="E22" i="16"/>
  <c r="E24" i="16"/>
  <c r="B16" i="16"/>
  <c r="K60" i="22" s="1"/>
  <c r="H51" i="16"/>
  <c r="J16" i="16"/>
  <c r="I51" i="16"/>
  <c r="I12" i="16"/>
  <c r="B24" i="16"/>
  <c r="J8" i="16"/>
  <c r="F12" i="16"/>
  <c r="G11" i="22" s="1"/>
  <c r="B19" i="16"/>
  <c r="K51" i="16"/>
  <c r="C22" i="16"/>
  <c r="K22" i="16"/>
  <c r="D22" i="16"/>
  <c r="L24" i="16"/>
  <c r="L16" i="16"/>
  <c r="D12" i="16"/>
  <c r="H8" i="16"/>
  <c r="G12" i="16"/>
  <c r="D16" i="16"/>
  <c r="I60" i="22" s="1"/>
  <c r="F22" i="16"/>
  <c r="D24" i="16"/>
  <c r="J12" i="16"/>
  <c r="F16" i="16"/>
  <c r="G60" i="22" s="1"/>
  <c r="G62" i="22" s="1"/>
  <c r="G64" i="22" s="1"/>
  <c r="G21" i="22" s="1"/>
  <c r="I22" i="16"/>
  <c r="H22" i="16"/>
  <c r="K12" i="16"/>
  <c r="C12" i="16"/>
  <c r="D11" i="22" s="1"/>
  <c r="L12" i="16"/>
  <c r="J22" i="16"/>
  <c r="M12" i="16"/>
  <c r="M13" i="16" s="1"/>
  <c r="M22" i="16"/>
  <c r="E12" i="16"/>
  <c r="F11" i="22" s="1"/>
  <c r="H24" i="16"/>
  <c r="I24" i="16"/>
  <c r="B12" i="16"/>
  <c r="C11" i="22" s="1"/>
  <c r="B2" i="3"/>
  <c r="C5" i="17"/>
  <c r="B4" i="16"/>
  <c r="L46" i="1"/>
  <c r="M46" i="1" s="1"/>
  <c r="B54" i="1"/>
  <c r="B53" i="1" s="1"/>
  <c r="B52" i="1" s="1"/>
  <c r="B51" i="1" s="1"/>
  <c r="B50" i="1" s="1"/>
  <c r="C12" i="19"/>
  <c r="C13" i="19"/>
  <c r="C14" i="19"/>
  <c r="C15" i="19"/>
  <c r="C16" i="19"/>
  <c r="C17" i="19"/>
  <c r="C18" i="19"/>
  <c r="C19" i="19"/>
  <c r="C20" i="19"/>
  <c r="C21" i="19"/>
  <c r="C22" i="19"/>
  <c r="C7" i="19"/>
  <c r="C9" i="19"/>
  <c r="C10" i="19"/>
  <c r="AD53" i="17"/>
  <c r="AC53" i="17"/>
  <c r="AD52" i="17"/>
  <c r="AC52" i="17"/>
  <c r="AG49" i="17"/>
  <c r="AG52" i="17" s="1"/>
  <c r="AF49" i="17"/>
  <c r="AE49" i="17"/>
  <c r="AB49" i="17"/>
  <c r="AB52" i="17" s="1"/>
  <c r="AA49" i="17"/>
  <c r="AA52" i="17" s="1"/>
  <c r="Z49" i="17"/>
  <c r="Z52" i="17" s="1"/>
  <c r="E56" i="17"/>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M14" i="17"/>
  <c r="L14" i="17"/>
  <c r="J14" i="17"/>
  <c r="I14" i="17"/>
  <c r="H14" i="17"/>
  <c r="G14" i="17"/>
  <c r="F14" i="17"/>
  <c r="E14" i="17"/>
  <c r="AA25" i="17"/>
  <c r="O74" i="17"/>
  <c r="AE12" i="17"/>
  <c r="AG11" i="17"/>
  <c r="AF11" i="17"/>
  <c r="AE11" i="17"/>
  <c r="AD11" i="17"/>
  <c r="H22" i="17"/>
  <c r="D22" i="17"/>
  <c r="J22" i="17"/>
  <c r="G22" i="17"/>
  <c r="F22" i="17"/>
  <c r="E22" i="17"/>
  <c r="C22" i="17"/>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B7" i="17"/>
  <c r="AB8" i="17" s="1"/>
  <c r="AA7" i="17"/>
  <c r="AA8" i="17" s="1"/>
  <c r="Z7" i="17"/>
  <c r="Z8" i="17" s="1"/>
  <c r="Z13" i="17" s="1"/>
  <c r="Z14" i="17" s="1"/>
  <c r="O7" i="17"/>
  <c r="A2" i="16"/>
  <c r="A1" i="16"/>
  <c r="C22" i="1"/>
  <c r="I62" i="22" l="1"/>
  <c r="I64" i="22" s="1"/>
  <c r="E21" i="22" s="1"/>
  <c r="E35" i="4"/>
  <c r="D35" i="4"/>
  <c r="H80" i="22"/>
  <c r="F20" i="22" s="1"/>
  <c r="H81" i="22"/>
  <c r="H83" i="22" s="1"/>
  <c r="H84" i="22"/>
  <c r="F22" i="4"/>
  <c r="F34" i="4" s="1"/>
  <c r="I81" i="22"/>
  <c r="I83" i="22" s="1"/>
  <c r="E11" i="22"/>
  <c r="I11" i="22" s="1"/>
  <c r="D13" i="16"/>
  <c r="J80" i="22"/>
  <c r="D20" i="22" s="1"/>
  <c r="I20" i="22" s="1"/>
  <c r="J84" i="22"/>
  <c r="J81" i="22"/>
  <c r="J83" i="22" s="1"/>
  <c r="F35" i="4"/>
  <c r="K81" i="22"/>
  <c r="K83" i="22" s="1"/>
  <c r="K62" i="22"/>
  <c r="K64" i="22" s="1"/>
  <c r="C21" i="22" s="1"/>
  <c r="J62" i="22"/>
  <c r="J64" i="22" s="1"/>
  <c r="D21" i="22" s="1"/>
  <c r="C78" i="24"/>
  <c r="C42" i="24" s="1"/>
  <c r="I42" i="24" s="1"/>
  <c r="J42" i="24" s="1"/>
  <c r="K134" i="22"/>
  <c r="K138" i="22" s="1"/>
  <c r="AE48" i="22"/>
  <c r="Y6" i="4"/>
  <c r="Y27" i="4" s="1"/>
  <c r="H22" i="1"/>
  <c r="H23" i="1"/>
  <c r="H24" i="1"/>
  <c r="C56" i="24"/>
  <c r="I56" i="24" s="1"/>
  <c r="J56" i="24" s="1"/>
  <c r="I49" i="24"/>
  <c r="J49" i="24" s="1"/>
  <c r="C47" i="24"/>
  <c r="I47" i="24" s="1"/>
  <c r="J47" i="24" s="1"/>
  <c r="C51" i="24"/>
  <c r="I51" i="24" s="1"/>
  <c r="J51" i="24" s="1"/>
  <c r="C34" i="24"/>
  <c r="I34" i="24" s="1"/>
  <c r="J34" i="24" s="1"/>
  <c r="C50" i="24"/>
  <c r="I50" i="24" s="1"/>
  <c r="J50" i="24" s="1"/>
  <c r="C31" i="24"/>
  <c r="C48" i="24"/>
  <c r="I48" i="24" s="1"/>
  <c r="J48" i="24" s="1"/>
  <c r="C33" i="24"/>
  <c r="I33" i="24" s="1"/>
  <c r="J33" i="24" s="1"/>
  <c r="C54" i="24"/>
  <c r="I54" i="24" s="1"/>
  <c r="J54" i="24" s="1"/>
  <c r="C36" i="24"/>
  <c r="I36" i="24" s="1"/>
  <c r="J36" i="24" s="1"/>
  <c r="D5" i="17"/>
  <c r="D87" i="17" s="1"/>
  <c r="C87" i="17"/>
  <c r="E23" i="1"/>
  <c r="E24" i="1"/>
  <c r="E15" i="4"/>
  <c r="E12" i="4"/>
  <c r="C23" i="1"/>
  <c r="C25" i="1" s="1"/>
  <c r="E32" i="4"/>
  <c r="D32" i="4"/>
  <c r="F32" i="4"/>
  <c r="F7" i="4"/>
  <c r="B59" i="16"/>
  <c r="D44" i="4"/>
  <c r="E44" i="4"/>
  <c r="F44" i="4"/>
  <c r="H13" i="16"/>
  <c r="G13" i="16"/>
  <c r="B60" i="16"/>
  <c r="K135" i="22" s="1"/>
  <c r="F12" i="4"/>
  <c r="F15" i="4"/>
  <c r="F5" i="4"/>
  <c r="M47" i="1"/>
  <c r="M55" i="1"/>
  <c r="M48" i="1"/>
  <c r="L50" i="1"/>
  <c r="L51" i="1"/>
  <c r="M50" i="1"/>
  <c r="L54" i="1"/>
  <c r="M51" i="1"/>
  <c r="L55" i="1"/>
  <c r="M52" i="1"/>
  <c r="M53" i="1"/>
  <c r="M54" i="1"/>
  <c r="L47" i="1"/>
  <c r="L53" i="1"/>
  <c r="L52" i="1"/>
  <c r="L48" i="1"/>
  <c r="K22" i="1"/>
  <c r="K24" i="1"/>
  <c r="K31" i="1"/>
  <c r="K30" i="1"/>
  <c r="K25" i="1"/>
  <c r="K23" i="1"/>
  <c r="E29" i="1"/>
  <c r="E28" i="1"/>
  <c r="B20" i="16"/>
  <c r="E22" i="1"/>
  <c r="E20" i="1"/>
  <c r="E21" i="1"/>
  <c r="L25" i="16"/>
  <c r="E25" i="16"/>
  <c r="I25" i="16"/>
  <c r="G25" i="16"/>
  <c r="D25" i="16"/>
  <c r="C13" i="16"/>
  <c r="B25" i="16"/>
  <c r="F25" i="16"/>
  <c r="E13" i="16"/>
  <c r="J25" i="16"/>
  <c r="H18" i="16"/>
  <c r="E18" i="16"/>
  <c r="L18" i="16"/>
  <c r="D56" i="16"/>
  <c r="K18" i="16"/>
  <c r="B18" i="16"/>
  <c r="G56" i="16"/>
  <c r="C18" i="16"/>
  <c r="C43" i="16"/>
  <c r="J56" i="16"/>
  <c r="F18" i="16"/>
  <c r="E56" i="16"/>
  <c r="B83" i="16"/>
  <c r="B43" i="16"/>
  <c r="K25" i="16"/>
  <c r="G18" i="16"/>
  <c r="B64" i="16"/>
  <c r="H56" i="16"/>
  <c r="I18" i="16"/>
  <c r="B85" i="16"/>
  <c r="B84" i="16"/>
  <c r="J18" i="16"/>
  <c r="L56" i="16"/>
  <c r="M56" i="16"/>
  <c r="F56" i="16"/>
  <c r="I56" i="16"/>
  <c r="M18" i="16"/>
  <c r="D18" i="16"/>
  <c r="K13" i="16"/>
  <c r="F13" i="16"/>
  <c r="B13" i="16"/>
  <c r="J13" i="16"/>
  <c r="C25" i="16"/>
  <c r="H25" i="16"/>
  <c r="I13" i="16"/>
  <c r="L13" i="16"/>
  <c r="AD13" i="17"/>
  <c r="AD14" i="17" s="1"/>
  <c r="AB53" i="17"/>
  <c r="AG53" i="17"/>
  <c r="Z53" i="17"/>
  <c r="AA13" i="17"/>
  <c r="AA14" i="17" s="1"/>
  <c r="AC13" i="17"/>
  <c r="AC14" i="17" s="1"/>
  <c r="AG13" i="17"/>
  <c r="AG14" i="17" s="1"/>
  <c r="AA53" i="17"/>
  <c r="AB13" i="17"/>
  <c r="AB14" i="17" s="1"/>
  <c r="AE13" i="17"/>
  <c r="AE14" i="17" s="1"/>
  <c r="AE53" i="17"/>
  <c r="AF13" i="17"/>
  <c r="AF14" i="17" s="1"/>
  <c r="AF53" i="17"/>
  <c r="AF52" i="17"/>
  <c r="AE52" i="17"/>
  <c r="C4" i="16"/>
  <c r="D4" i="16" s="1"/>
  <c r="E4" i="16" s="1"/>
  <c r="F4" i="16" s="1"/>
  <c r="E5" i="17"/>
  <c r="B49" i="1"/>
  <c r="L84" i="22" l="1"/>
  <c r="D60" i="4" s="1"/>
  <c r="G21" i="4" s="1"/>
  <c r="I21" i="22"/>
  <c r="K21" i="22" s="1"/>
  <c r="D56" i="4" s="1"/>
  <c r="L83" i="22"/>
  <c r="K11" i="22"/>
  <c r="G7" i="4" s="1"/>
  <c r="H7" i="4" s="1"/>
  <c r="I7" i="4" s="1"/>
  <c r="J7" i="4" s="1"/>
  <c r="K7" i="4" s="1"/>
  <c r="L7" i="4" s="1"/>
  <c r="M7" i="4" s="1"/>
  <c r="N7" i="4" s="1"/>
  <c r="O7" i="4" s="1"/>
  <c r="P7" i="4" s="1"/>
  <c r="Q7" i="4" s="1"/>
  <c r="R7" i="4" s="1"/>
  <c r="S7" i="4" s="1"/>
  <c r="T7" i="4" s="1"/>
  <c r="U7" i="4" s="1"/>
  <c r="V7" i="4" s="1"/>
  <c r="W7" i="4" s="1"/>
  <c r="X7" i="4" s="1"/>
  <c r="Y7" i="4" s="1"/>
  <c r="Z7" i="4" s="1"/>
  <c r="AA7" i="4" s="1"/>
  <c r="AB7" i="4" s="1"/>
  <c r="AC7" i="4" s="1"/>
  <c r="F36" i="4"/>
  <c r="C57" i="24"/>
  <c r="I57" i="24" s="1"/>
  <c r="J57" i="24" s="1"/>
  <c r="L80" i="22"/>
  <c r="K136" i="22"/>
  <c r="K137" i="22"/>
  <c r="C41" i="24"/>
  <c r="I41" i="24" s="1"/>
  <c r="J41" i="24" s="1"/>
  <c r="AF48" i="22"/>
  <c r="Z6" i="4"/>
  <c r="Z27" i="4" s="1"/>
  <c r="C70" i="24"/>
  <c r="I70" i="24" s="1"/>
  <c r="J70" i="24" s="1"/>
  <c r="I31" i="24"/>
  <c r="J31" i="24" s="1"/>
  <c r="C94" i="24"/>
  <c r="C55" i="24" s="1"/>
  <c r="M42" i="1"/>
  <c r="M40" i="1"/>
  <c r="H21" i="1"/>
  <c r="D36" i="4"/>
  <c r="M32" i="1"/>
  <c r="K27" i="1"/>
  <c r="K26" i="1"/>
  <c r="E25" i="1"/>
  <c r="B34" i="16"/>
  <c r="M27" i="1"/>
  <c r="M24" i="1"/>
  <c r="B35" i="16"/>
  <c r="F5" i="17"/>
  <c r="G4" i="16"/>
  <c r="B48" i="1"/>
  <c r="E60" i="4" l="1"/>
  <c r="AG48" i="22"/>
  <c r="AA6" i="4"/>
  <c r="AA27" i="4" s="1"/>
  <c r="I55" i="24"/>
  <c r="J55" i="24" s="1"/>
  <c r="C37" i="24"/>
  <c r="I37" i="24" s="1"/>
  <c r="J37" i="24" s="1"/>
  <c r="C38" i="24"/>
  <c r="C61" i="24"/>
  <c r="I61" i="24" s="1"/>
  <c r="J61" i="24" s="1"/>
  <c r="G41" i="4"/>
  <c r="B36" i="16"/>
  <c r="G5" i="17"/>
  <c r="H4" i="16"/>
  <c r="B47" i="1"/>
  <c r="I38" i="24" l="1"/>
  <c r="J38" i="24" s="1"/>
  <c r="K28" i="1"/>
  <c r="AH48" i="22"/>
  <c r="AB6" i="4"/>
  <c r="AB27" i="4" s="1"/>
  <c r="E26" i="1"/>
  <c r="H5" i="17"/>
  <c r="I4" i="16"/>
  <c r="J4" i="16" s="1"/>
  <c r="B46" i="1"/>
  <c r="D46" i="1" s="1" a="1"/>
  <c r="AI48" i="22" l="1"/>
  <c r="AC6" i="4"/>
  <c r="AC27" i="4" s="1"/>
  <c r="D46" i="1"/>
  <c r="D58" i="1"/>
  <c r="H9" i="4"/>
  <c r="H46" i="1" a="1"/>
  <c r="H46" i="1" s="1"/>
  <c r="C46" i="1" a="1"/>
  <c r="I5" i="17"/>
  <c r="AJ48" i="22" l="1"/>
  <c r="AD6" i="4"/>
  <c r="AD27" i="4" s="1"/>
  <c r="H41" i="4"/>
  <c r="C46" i="1"/>
  <c r="C55" i="1" s="1"/>
  <c r="J5" i="17"/>
  <c r="K4" i="16"/>
  <c r="AK48" i="22" l="1"/>
  <c r="AF6" i="4" s="1"/>
  <c r="AF27" i="4" s="1"/>
  <c r="AE6" i="4"/>
  <c r="AE27" i="4" s="1"/>
  <c r="K5" i="17"/>
  <c r="L4" i="16"/>
  <c r="L5" i="17" l="1"/>
  <c r="M4" i="16"/>
  <c r="M5" i="17" l="1"/>
  <c r="B94" i="16" s="1"/>
  <c r="D94" i="16"/>
  <c r="E94" i="16"/>
  <c r="M6" i="16" l="1"/>
  <c r="D34" i="16"/>
  <c r="K35" i="16"/>
  <c r="K36" i="16" s="1"/>
  <c r="I34" i="16"/>
  <c r="G9" i="16"/>
  <c r="G10" i="16" s="1"/>
  <c r="K19" i="16"/>
  <c r="I19" i="16"/>
  <c r="K9" i="16"/>
  <c r="K10" i="16" s="1"/>
  <c r="I9" i="16"/>
  <c r="I10" i="16" s="1"/>
  <c r="M26" i="1"/>
  <c r="C34" i="16"/>
  <c r="H58" i="1"/>
  <c r="E34" i="16"/>
  <c r="C94" i="16"/>
  <c r="F26" i="16"/>
  <c r="I6" i="16"/>
  <c r="K26" i="16"/>
  <c r="K29" i="16" s="1"/>
  <c r="J26" i="16"/>
  <c r="I35" i="16"/>
  <c r="I36" i="16" s="1"/>
  <c r="K34" i="16"/>
  <c r="I20" i="16" l="1"/>
  <c r="R134" i="22"/>
  <c r="K20" i="16"/>
  <c r="T134" i="22"/>
  <c r="D60" i="16"/>
  <c r="M135" i="22" s="1"/>
  <c r="K60" i="16"/>
  <c r="T135" i="22" s="1"/>
  <c r="I60" i="16"/>
  <c r="R135" i="22" s="1"/>
  <c r="L34" i="16"/>
  <c r="M34" i="16"/>
  <c r="M19" i="16"/>
  <c r="M20" i="16" s="1"/>
  <c r="L6" i="16"/>
  <c r="M9" i="16"/>
  <c r="M10" i="16" s="1"/>
  <c r="M29" i="16"/>
  <c r="M30" i="16" s="1"/>
  <c r="M31" i="16" s="1"/>
  <c r="E26" i="16"/>
  <c r="E29" i="16" s="1"/>
  <c r="M35" i="16"/>
  <c r="M36" i="16" s="1"/>
  <c r="L26" i="16"/>
  <c r="L29" i="16" s="1"/>
  <c r="H55" i="1"/>
  <c r="R49" i="1"/>
  <c r="C35" i="16"/>
  <c r="C36" i="16" s="1"/>
  <c r="L35" i="16"/>
  <c r="L36" i="16" s="1"/>
  <c r="D26" i="16"/>
  <c r="D29" i="16" s="1"/>
  <c r="J35" i="16"/>
  <c r="J36" i="16" s="1"/>
  <c r="H34" i="16"/>
  <c r="C60" i="16"/>
  <c r="L135" i="22" s="1"/>
  <c r="J34" i="16"/>
  <c r="G19" i="16"/>
  <c r="P134" i="22" s="1"/>
  <c r="F35" i="16"/>
  <c r="F36" i="16" s="1"/>
  <c r="F29" i="16"/>
  <c r="G35" i="16"/>
  <c r="G36" i="16" s="1"/>
  <c r="J29" i="16"/>
  <c r="I26" i="16"/>
  <c r="I29" i="16" s="1"/>
  <c r="E9" i="16"/>
  <c r="E10" i="16" s="1"/>
  <c r="D6" i="16"/>
  <c r="D5" i="4" s="1"/>
  <c r="B6" i="16"/>
  <c r="C6" i="16"/>
  <c r="R54" i="1"/>
  <c r="R51" i="1"/>
  <c r="R50" i="1"/>
  <c r="J19" i="16"/>
  <c r="E35" i="16"/>
  <c r="E36" i="16" s="1"/>
  <c r="C26" i="16"/>
  <c r="C29" i="16" s="1"/>
  <c r="B26" i="16"/>
  <c r="B29" i="16" s="1"/>
  <c r="O50" i="1"/>
  <c r="F19" i="16"/>
  <c r="O134" i="22" s="1"/>
  <c r="O49" i="1"/>
  <c r="H19" i="16"/>
  <c r="C9" i="16"/>
  <c r="C10" i="16" s="1"/>
  <c r="C19" i="16"/>
  <c r="L134" i="22" s="1"/>
  <c r="L138" i="22" s="1"/>
  <c r="E19" i="16"/>
  <c r="N134" i="22" s="1"/>
  <c r="D35" i="16"/>
  <c r="D36" i="16" s="1"/>
  <c r="G6" i="16"/>
  <c r="H9" i="16"/>
  <c r="H10" i="16" s="1"/>
  <c r="H6" i="16"/>
  <c r="J9" i="16"/>
  <c r="J10" i="16" s="1"/>
  <c r="J6" i="16"/>
  <c r="D19" i="16"/>
  <c r="M134" i="22" s="1"/>
  <c r="H57" i="1"/>
  <c r="K6" i="16"/>
  <c r="L9" i="16"/>
  <c r="L10" i="16" s="1"/>
  <c r="G34" i="16"/>
  <c r="L19" i="16"/>
  <c r="L20" i="16" s="1"/>
  <c r="D9" i="16"/>
  <c r="D10" i="16" s="1"/>
  <c r="G26" i="16"/>
  <c r="G29" i="16" s="1"/>
  <c r="H26" i="16"/>
  <c r="H29" i="16" s="1"/>
  <c r="E6" i="16"/>
  <c r="F9" i="16"/>
  <c r="F10" i="16" s="1"/>
  <c r="N50" i="1"/>
  <c r="F6" i="16"/>
  <c r="R48" i="1"/>
  <c r="H35" i="16"/>
  <c r="F34" i="16"/>
  <c r="T137" i="22" l="1"/>
  <c r="L136" i="22"/>
  <c r="T133" i="22" s="1"/>
  <c r="T138" i="22" s="1"/>
  <c r="L137" i="22"/>
  <c r="R137" i="22"/>
  <c r="M137" i="22"/>
  <c r="J20" i="16"/>
  <c r="S134" i="22"/>
  <c r="H20" i="16"/>
  <c r="Q134" i="22"/>
  <c r="E46" i="1" a="1"/>
  <c r="E46" i="1" s="1"/>
  <c r="E31" i="1"/>
  <c r="G20" i="16"/>
  <c r="F20" i="16"/>
  <c r="E20" i="16"/>
  <c r="D20" i="16"/>
  <c r="I46" i="1" a="1"/>
  <c r="S51" i="1" s="1"/>
  <c r="B30" i="16"/>
  <c r="B31" i="16" s="1"/>
  <c r="H36" i="16"/>
  <c r="K29" i="1"/>
  <c r="N55" i="1"/>
  <c r="C20" i="16"/>
  <c r="J60" i="16"/>
  <c r="S135" i="22" s="1"/>
  <c r="M60" i="16"/>
  <c r="G60" i="16"/>
  <c r="P135" i="22" s="1"/>
  <c r="F60" i="16"/>
  <c r="O135" i="22" s="1"/>
  <c r="E60" i="16"/>
  <c r="N135" i="22" s="1"/>
  <c r="L60" i="16"/>
  <c r="H60" i="16"/>
  <c r="Q135" i="22" s="1"/>
  <c r="C59" i="16"/>
  <c r="K30" i="16"/>
  <c r="K31" i="16" s="1"/>
  <c r="L30" i="16"/>
  <c r="L31" i="16" s="1"/>
  <c r="O47" i="1"/>
  <c r="O48" i="1"/>
  <c r="J30" i="16"/>
  <c r="J31" i="16" s="1"/>
  <c r="D30" i="16"/>
  <c r="D31" i="16" s="1"/>
  <c r="N47" i="1"/>
  <c r="N51" i="1"/>
  <c r="E30" i="16"/>
  <c r="E31" i="16" s="1"/>
  <c r="I30" i="16"/>
  <c r="I31" i="16" s="1"/>
  <c r="H30" i="16"/>
  <c r="H31" i="16" s="1"/>
  <c r="N49" i="1"/>
  <c r="N48" i="1"/>
  <c r="G30" i="16"/>
  <c r="G31" i="16" s="1"/>
  <c r="C30" i="16"/>
  <c r="C31" i="16" s="1"/>
  <c r="C57" i="1"/>
  <c r="F30" i="16"/>
  <c r="F31" i="16" s="1"/>
  <c r="O51" i="1"/>
  <c r="R53" i="1"/>
  <c r="R52" i="1"/>
  <c r="N52" i="1"/>
  <c r="O52" i="1"/>
  <c r="O53" i="1"/>
  <c r="C58" i="1"/>
  <c r="N54" i="1"/>
  <c r="N53" i="1"/>
  <c r="M133" i="22" l="1"/>
  <c r="M138" i="22" s="1"/>
  <c r="R133" i="22"/>
  <c r="R138" i="22" s="1"/>
  <c r="S137" i="22"/>
  <c r="S133" i="22"/>
  <c r="S138" i="22" s="1"/>
  <c r="O133" i="22"/>
  <c r="O138" i="22" s="1"/>
  <c r="O137" i="22"/>
  <c r="N137" i="22"/>
  <c r="N133" i="22"/>
  <c r="N138" i="22" s="1"/>
  <c r="P137" i="22"/>
  <c r="P133" i="22"/>
  <c r="P138" i="22" s="1"/>
  <c r="Q137" i="22"/>
  <c r="Q133" i="22"/>
  <c r="Q138" i="22" s="1"/>
  <c r="M31" i="1"/>
  <c r="E27" i="1"/>
  <c r="M57" i="1"/>
  <c r="S50" i="1"/>
  <c r="S49" i="1"/>
  <c r="I46" i="1"/>
  <c r="S54" i="1"/>
  <c r="S53" i="1"/>
  <c r="S52" i="1"/>
  <c r="L57" i="1"/>
  <c r="S48" i="1"/>
  <c r="Q50" i="1"/>
  <c r="Q51" i="1"/>
  <c r="Q52" i="1"/>
  <c r="Q48" i="1"/>
  <c r="M29" i="1"/>
  <c r="C56" i="1"/>
  <c r="F57" i="1"/>
  <c r="F55" i="1"/>
  <c r="F58" i="1"/>
  <c r="Q53" i="1"/>
  <c r="Q49" i="1"/>
  <c r="Q54" i="1"/>
  <c r="U137" i="22" l="1"/>
  <c r="U138" i="22"/>
  <c r="H56" i="1"/>
  <c r="F56" i="1"/>
  <c r="M25" i="1"/>
  <c r="D55" i="1" l="1"/>
  <c r="O55" i="1" s="1"/>
  <c r="B9" i="16"/>
  <c r="B10" i="16" s="1"/>
  <c r="L58" i="1" l="1"/>
  <c r="D57" i="1"/>
  <c r="M28" i="1"/>
  <c r="O54" i="1"/>
  <c r="D56" i="1" s="1"/>
  <c r="M58" i="1" l="1"/>
  <c r="F36" i="17" l="1"/>
  <c r="F37" i="17" s="1"/>
  <c r="J56" i="17"/>
  <c r="J36" i="17"/>
  <c r="J37" i="17" s="1"/>
  <c r="M44" i="16"/>
  <c r="M59" i="16" s="1"/>
  <c r="M36" i="17"/>
  <c r="M37" i="17" s="1"/>
  <c r="I44" i="16"/>
  <c r="I59" i="16" s="1"/>
  <c r="I36" i="17"/>
  <c r="I37" i="17" s="1"/>
  <c r="I43" i="16" s="1"/>
  <c r="E44" i="16"/>
  <c r="E59" i="16" s="1"/>
  <c r="E37" i="17"/>
  <c r="G36" i="17"/>
  <c r="G37" i="17" s="1"/>
  <c r="K36" i="17"/>
  <c r="K37" i="17" s="1"/>
  <c r="H56" i="17"/>
  <c r="H36" i="17"/>
  <c r="H37" i="17" s="1"/>
  <c r="L44" i="16"/>
  <c r="L59" i="16" s="1"/>
  <c r="L36" i="17"/>
  <c r="L37" i="17" s="1"/>
  <c r="L43" i="16" s="1"/>
  <c r="G56" i="17" l="1"/>
  <c r="J44" i="16"/>
  <c r="J59" i="16" s="1"/>
  <c r="G64" i="16"/>
  <c r="H64" i="16"/>
  <c r="K43" i="16"/>
  <c r="F43" i="16"/>
  <c r="J43" i="16"/>
  <c r="G43" i="16"/>
  <c r="M56" i="17"/>
  <c r="F56" i="17"/>
  <c r="K44" i="16"/>
  <c r="K59" i="16" s="1"/>
  <c r="F44" i="16"/>
  <c r="F59" i="16" s="1"/>
  <c r="G44" i="16"/>
  <c r="G59" i="16" s="1"/>
  <c r="H44" i="16"/>
  <c r="H59" i="16" s="1"/>
  <c r="L56" i="17"/>
  <c r="I56" i="17"/>
  <c r="M64" i="16" l="1"/>
  <c r="I64" i="16"/>
  <c r="M43" i="16"/>
  <c r="H43" i="16"/>
  <c r="E43" i="16"/>
  <c r="F64" i="16"/>
  <c r="J64" i="16"/>
  <c r="L64" i="16"/>
  <c r="E64" i="16"/>
  <c r="D36" i="17"/>
  <c r="D37" i="17" s="1"/>
  <c r="D56" i="17"/>
  <c r="D64" i="16" s="1"/>
  <c r="C56" i="17"/>
  <c r="C64" i="16" s="1"/>
  <c r="C56" i="16"/>
  <c r="C47" i="17"/>
  <c r="C50" i="17" s="1"/>
  <c r="D43" i="16" l="1"/>
  <c r="D44" i="16"/>
  <c r="D59" i="16" s="1"/>
  <c r="G46" i="1" s="1" a="1"/>
  <c r="G46" i="1" s="1"/>
  <c r="C55" i="16"/>
  <c r="C52" i="16"/>
  <c r="B71" i="16"/>
  <c r="L49" i="1" s="1"/>
  <c r="L56" i="1" s="1"/>
  <c r="B78" i="16"/>
  <c r="C71" i="16"/>
  <c r="M49" i="1" s="1"/>
  <c r="M56" i="1" s="1"/>
  <c r="C67" i="17"/>
  <c r="E25" i="4" s="1"/>
  <c r="E26" i="4" s="1"/>
  <c r="E34" i="4" s="1"/>
  <c r="E36" i="4" s="1"/>
  <c r="E43" i="4" l="1"/>
  <c r="F43" i="4" s="1"/>
  <c r="G13" i="4" s="1"/>
  <c r="K56" i="17"/>
  <c r="K56" i="16"/>
  <c r="K52" i="16"/>
  <c r="K55" i="16"/>
  <c r="K64" i="16" l="1"/>
  <c r="H38" i="4" l="1"/>
  <c r="H39" i="4"/>
  <c r="I10" i="4" l="1"/>
  <c r="I39" i="4" s="1"/>
  <c r="I38" i="4" l="1"/>
  <c r="J10" i="4" s="1"/>
  <c r="J39" i="4" l="1"/>
  <c r="J38" i="4"/>
  <c r="K10" i="4" s="1"/>
  <c r="K38" i="4" l="1"/>
  <c r="L10" i="4" s="1"/>
  <c r="K39" i="4"/>
  <c r="L39" i="4" l="1"/>
  <c r="L38" i="4"/>
  <c r="M10" i="4" s="1"/>
  <c r="M39" i="4" l="1"/>
  <c r="M38" i="4"/>
  <c r="N10" i="4" s="1"/>
  <c r="N38" i="4" l="1"/>
  <c r="O10" i="4" s="1"/>
  <c r="N39" i="4"/>
  <c r="O39" i="4" l="1"/>
  <c r="O38" i="4"/>
  <c r="P10" i="4" s="1"/>
  <c r="P38" i="4" l="1"/>
  <c r="Q10" i="4" s="1"/>
  <c r="P39" i="4"/>
  <c r="Q38" i="4" l="1"/>
  <c r="R10" i="4" s="1"/>
  <c r="Q39" i="4"/>
  <c r="R39" i="4" l="1"/>
  <c r="R38" i="4"/>
  <c r="S10" i="4" s="1"/>
  <c r="S39" i="4" l="1"/>
  <c r="S38" i="4"/>
  <c r="T10" i="4" s="1"/>
  <c r="T38" i="4" l="1"/>
  <c r="U10" i="4" s="1"/>
  <c r="T39" i="4" l="1"/>
  <c r="U39" i="4" l="1"/>
  <c r="U38" i="4"/>
  <c r="V10" i="4" s="1"/>
  <c r="V39" i="4" l="1"/>
  <c r="V38" i="4"/>
  <c r="W10" i="4" s="1"/>
  <c r="W38" i="4" l="1"/>
  <c r="X10" i="4" s="1"/>
  <c r="W39" i="4"/>
  <c r="X39" i="4" l="1"/>
  <c r="X38" i="4"/>
  <c r="Y10" i="4" s="1"/>
  <c r="Y38" i="4" l="1"/>
  <c r="Z10" i="4" s="1"/>
  <c r="Y39" i="4"/>
  <c r="Z39" i="4" l="1"/>
  <c r="Z38" i="4"/>
  <c r="AA10" i="4" s="1"/>
  <c r="AA39" i="4" l="1"/>
  <c r="AA38" i="4"/>
  <c r="AB10" i="4" s="1"/>
  <c r="AB38" i="4" l="1"/>
  <c r="AC10" i="4" s="1"/>
  <c r="AB39" i="4" l="1"/>
  <c r="AC39" i="4" l="1"/>
  <c r="AC38" i="4"/>
  <c r="AD10" i="4" s="1"/>
  <c r="AD39" i="4" l="1"/>
  <c r="AD38" i="4"/>
  <c r="AE10" i="4" s="1"/>
  <c r="AE38" i="4" l="1"/>
  <c r="AF10" i="4" s="1"/>
  <c r="AE39" i="4"/>
  <c r="AF39" i="4" l="1"/>
  <c r="AG39" i="4" s="1"/>
  <c r="AF38" i="4"/>
  <c r="AG38" i="4" s="1"/>
  <c r="K63" i="17" l="1"/>
  <c r="K70" i="16"/>
  <c r="L63" i="17"/>
  <c r="L70" i="16"/>
  <c r="J71" i="16"/>
  <c r="L71" i="16"/>
  <c r="M71" i="16"/>
  <c r="G14" i="4" l="1"/>
  <c r="G8" i="4" l="1"/>
  <c r="G12" i="4" s="1"/>
  <c r="G11" i="4"/>
  <c r="G20" i="4" s="1"/>
  <c r="G25" i="4"/>
  <c r="G26" i="4" s="1"/>
  <c r="G31" i="4"/>
  <c r="G44" i="4" l="1"/>
  <c r="G28" i="4" s="1"/>
  <c r="G15" i="4"/>
  <c r="G16" i="4" s="1"/>
  <c r="G17" i="4" l="1"/>
  <c r="G29" i="4" s="1"/>
  <c r="G19" i="4" l="1"/>
  <c r="G22" i="4" s="1"/>
  <c r="G34" i="4" s="1"/>
  <c r="G30" i="4"/>
  <c r="G32" i="4" l="1"/>
  <c r="G35" i="4"/>
  <c r="H5" i="4"/>
  <c r="G36" i="4" l="1"/>
  <c r="G43" i="4" s="1"/>
  <c r="H11" i="4"/>
  <c r="H20" i="4" s="1"/>
  <c r="H24" i="4"/>
  <c r="H21" i="4"/>
  <c r="H8" i="4"/>
  <c r="H23" i="4"/>
  <c r="I5" i="4"/>
  <c r="H13" i="4" l="1"/>
  <c r="H40" i="4"/>
  <c r="J5" i="4"/>
  <c r="I11" i="4"/>
  <c r="I20" i="4" s="1"/>
  <c r="I23" i="4"/>
  <c r="I24" i="4"/>
  <c r="I21" i="4"/>
  <c r="I8" i="4"/>
  <c r="H14" i="4"/>
  <c r="H25" i="4"/>
  <c r="H26" i="4" s="1"/>
  <c r="H31" i="4"/>
  <c r="H12" i="4"/>
  <c r="H44" i="4" s="1"/>
  <c r="H15" i="4" l="1"/>
  <c r="H16" i="4" s="1"/>
  <c r="H17" i="4" s="1"/>
  <c r="H29" i="4" s="1"/>
  <c r="I40" i="4"/>
  <c r="I25" i="4"/>
  <c r="I26" i="4" s="1"/>
  <c r="I31" i="4"/>
  <c r="J11" i="4"/>
  <c r="J20" i="4" s="1"/>
  <c r="J23" i="4"/>
  <c r="J8" i="4"/>
  <c r="J21" i="4"/>
  <c r="K21" i="4"/>
  <c r="I14" i="4"/>
  <c r="H28" i="4"/>
  <c r="I9" i="4"/>
  <c r="H30" i="4" l="1"/>
  <c r="H35" i="4" s="1"/>
  <c r="H19" i="4"/>
  <c r="H22" i="4" s="1"/>
  <c r="H34" i="4" s="1"/>
  <c r="I12" i="4"/>
  <c r="J40" i="4"/>
  <c r="K9" i="4" s="1"/>
  <c r="K24" i="4"/>
  <c r="K23" i="4"/>
  <c r="J14" i="4"/>
  <c r="K11" i="4"/>
  <c r="K20" i="4" s="1"/>
  <c r="K8" i="4"/>
  <c r="K5" i="4"/>
  <c r="L21" i="4"/>
  <c r="J9" i="4"/>
  <c r="J31" i="4"/>
  <c r="J25" i="4"/>
  <c r="J26" i="4" s="1"/>
  <c r="I41" i="4"/>
  <c r="K12" i="4" l="1"/>
  <c r="K44" i="4" s="1"/>
  <c r="H36" i="4"/>
  <c r="H43" i="4" s="1"/>
  <c r="I13" i="4" s="1"/>
  <c r="I15" i="4" s="1"/>
  <c r="H32" i="4"/>
  <c r="I44" i="4"/>
  <c r="I28" i="4" s="1"/>
  <c r="K40" i="4"/>
  <c r="L9" i="4" s="1"/>
  <c r="L23" i="4"/>
  <c r="L24" i="4"/>
  <c r="K14" i="4"/>
  <c r="K31" i="4"/>
  <c r="K25" i="4"/>
  <c r="K26" i="4" s="1"/>
  <c r="J12" i="4"/>
  <c r="J44" i="4" s="1"/>
  <c r="M21" i="4"/>
  <c r="L11" i="4"/>
  <c r="L20" i="4" s="1"/>
  <c r="L5" i="4"/>
  <c r="L8" i="4"/>
  <c r="J41" i="4"/>
  <c r="K41" i="4" s="1"/>
  <c r="K28" i="4" l="1"/>
  <c r="I16" i="4"/>
  <c r="I17" i="4" s="1"/>
  <c r="I29" i="4" s="1"/>
  <c r="L40" i="4"/>
  <c r="M9" i="4" s="1"/>
  <c r="M23" i="4"/>
  <c r="M24" i="4"/>
  <c r="L14" i="4"/>
  <c r="N21" i="4"/>
  <c r="L41" i="4"/>
  <c r="M11" i="4"/>
  <c r="M20" i="4" s="1"/>
  <c r="M8" i="4"/>
  <c r="M5" i="4"/>
  <c r="J28" i="4"/>
  <c r="L31" i="4"/>
  <c r="L25" i="4"/>
  <c r="L26" i="4" s="1"/>
  <c r="I30" i="4" l="1"/>
  <c r="I35" i="4" s="1"/>
  <c r="I19" i="4"/>
  <c r="I22" i="4" s="1"/>
  <c r="I34" i="4" s="1"/>
  <c r="M40" i="4"/>
  <c r="N9" i="4" s="1"/>
  <c r="N23" i="4"/>
  <c r="N24" i="4"/>
  <c r="M41" i="4"/>
  <c r="M25" i="4"/>
  <c r="M26" i="4" s="1"/>
  <c r="M31" i="4"/>
  <c r="L12" i="4"/>
  <c r="L44" i="4" s="1"/>
  <c r="M14" i="4"/>
  <c r="O21" i="4"/>
  <c r="N5" i="4"/>
  <c r="N11" i="4"/>
  <c r="N20" i="4" s="1"/>
  <c r="N8" i="4"/>
  <c r="I32" i="4" l="1"/>
  <c r="I36" i="4"/>
  <c r="N40" i="4"/>
  <c r="O24" i="4"/>
  <c r="O23" i="4"/>
  <c r="M12" i="4"/>
  <c r="O11" i="4"/>
  <c r="O20" i="4" s="1"/>
  <c r="O5" i="4"/>
  <c r="O8" i="4"/>
  <c r="N41" i="4"/>
  <c r="O9" i="4"/>
  <c r="L28" i="4"/>
  <c r="N25" i="4"/>
  <c r="N26" i="4" s="1"/>
  <c r="N31" i="4"/>
  <c r="N14" i="4"/>
  <c r="P21" i="4"/>
  <c r="I43" i="4" l="1"/>
  <c r="J13" i="4" s="1"/>
  <c r="J15" i="4" s="1"/>
  <c r="J16" i="4" s="1"/>
  <c r="J17" i="4" s="1"/>
  <c r="J29" i="4" s="1"/>
  <c r="M44" i="4"/>
  <c r="M28" i="4" s="1"/>
  <c r="O14" i="4"/>
  <c r="O40" i="4"/>
  <c r="P9" i="4" s="1"/>
  <c r="P24" i="4"/>
  <c r="P23" i="4"/>
  <c r="N12" i="4"/>
  <c r="Q21" i="4"/>
  <c r="O25" i="4"/>
  <c r="O26" i="4" s="1"/>
  <c r="O31" i="4"/>
  <c r="O41" i="4"/>
  <c r="P11" i="4"/>
  <c r="P20" i="4" s="1"/>
  <c r="P5" i="4"/>
  <c r="P8" i="4"/>
  <c r="J19" i="4" l="1"/>
  <c r="J22" i="4" s="1"/>
  <c r="J34" i="4" s="1"/>
  <c r="J30" i="4"/>
  <c r="J35" i="4" s="1"/>
  <c r="N44" i="4"/>
  <c r="N28" i="4" s="1"/>
  <c r="P40" i="4"/>
  <c r="Q9" i="4" s="1"/>
  <c r="Q24" i="4"/>
  <c r="Q23" i="4"/>
  <c r="O12" i="4"/>
  <c r="O44" i="4" s="1"/>
  <c r="Q5" i="4"/>
  <c r="Q11" i="4"/>
  <c r="Q20" i="4" s="1"/>
  <c r="Q8" i="4"/>
  <c r="R21" i="4"/>
  <c r="P41" i="4"/>
  <c r="P25" i="4"/>
  <c r="P26" i="4" s="1"/>
  <c r="P31" i="4"/>
  <c r="P14" i="4"/>
  <c r="J36" i="4" l="1"/>
  <c r="J43" i="4" s="1"/>
  <c r="K13" i="4" s="1"/>
  <c r="K15" i="4" s="1"/>
  <c r="J32" i="4"/>
  <c r="Q40" i="4"/>
  <c r="R9" i="4" s="1"/>
  <c r="R24" i="4"/>
  <c r="R23" i="4"/>
  <c r="Q14" i="4"/>
  <c r="Q31" i="4"/>
  <c r="Q25" i="4"/>
  <c r="Q26" i="4" s="1"/>
  <c r="R5" i="4"/>
  <c r="R11" i="4"/>
  <c r="R20" i="4" s="1"/>
  <c r="R8" i="4"/>
  <c r="P12" i="4"/>
  <c r="P44" i="4" s="1"/>
  <c r="O28" i="4"/>
  <c r="Q12" i="4"/>
  <c r="Q44" i="4" s="1"/>
  <c r="S21" i="4"/>
  <c r="K16" i="4" l="1"/>
  <c r="K17" i="4" s="1"/>
  <c r="K29" i="4" s="1"/>
  <c r="R40" i="4"/>
  <c r="S9" i="4" s="1"/>
  <c r="S24" i="4"/>
  <c r="S23" i="4"/>
  <c r="R14" i="4"/>
  <c r="Q28" i="4"/>
  <c r="Q41" i="4"/>
  <c r="R12" i="4"/>
  <c r="R44" i="4" s="1"/>
  <c r="P28" i="4"/>
  <c r="T21" i="4"/>
  <c r="S8" i="4"/>
  <c r="S11" i="4"/>
  <c r="S20" i="4" s="1"/>
  <c r="S5" i="4"/>
  <c r="R31" i="4"/>
  <c r="R25" i="4"/>
  <c r="R26" i="4" s="1"/>
  <c r="K19" i="4" l="1"/>
  <c r="K22" i="4" s="1"/>
  <c r="K34" i="4" s="1"/>
  <c r="K30" i="4"/>
  <c r="S40" i="4"/>
  <c r="T9" i="4" s="1"/>
  <c r="T23" i="4"/>
  <c r="T24" i="4"/>
  <c r="S14" i="4"/>
  <c r="R28" i="4"/>
  <c r="S12" i="4"/>
  <c r="S44" i="4" s="1"/>
  <c r="S25" i="4"/>
  <c r="S26" i="4" s="1"/>
  <c r="S31" i="4"/>
  <c r="U21" i="4"/>
  <c r="T11" i="4"/>
  <c r="T20" i="4" s="1"/>
  <c r="T8" i="4"/>
  <c r="T5" i="4"/>
  <c r="R41" i="4"/>
  <c r="K32" i="4" l="1"/>
  <c r="K35" i="4"/>
  <c r="K36" i="4" s="1"/>
  <c r="K43" i="4" s="1"/>
  <c r="L13" i="4" s="1"/>
  <c r="L15" i="4" s="1"/>
  <c r="T40" i="4"/>
  <c r="U9" i="4" s="1"/>
  <c r="U23" i="4"/>
  <c r="U24" i="4"/>
  <c r="S28" i="4"/>
  <c r="U5" i="4"/>
  <c r="U11" i="4"/>
  <c r="U20" i="4" s="1"/>
  <c r="U8" i="4"/>
  <c r="S41" i="4"/>
  <c r="T31" i="4"/>
  <c r="T25" i="4"/>
  <c r="T26" i="4" s="1"/>
  <c r="V21" i="4"/>
  <c r="T12" i="4"/>
  <c r="T44" i="4" s="1"/>
  <c r="T14" i="4"/>
  <c r="L16" i="4" l="1"/>
  <c r="L17" i="4" s="1"/>
  <c r="L19" i="4" s="1"/>
  <c r="L22" i="4" s="1"/>
  <c r="L34" i="4" s="1"/>
  <c r="U40" i="4"/>
  <c r="V9" i="4" s="1"/>
  <c r="V23" i="4"/>
  <c r="V24" i="4"/>
  <c r="T28" i="4"/>
  <c r="T41" i="4"/>
  <c r="W21" i="4"/>
  <c r="V11" i="4"/>
  <c r="V20" i="4" s="1"/>
  <c r="V5" i="4"/>
  <c r="V8" i="4"/>
  <c r="U14" i="4"/>
  <c r="U25" i="4"/>
  <c r="U26" i="4" s="1"/>
  <c r="U31" i="4"/>
  <c r="U12" i="4"/>
  <c r="U44" i="4" s="1"/>
  <c r="L29" i="4" l="1"/>
  <c r="L30" i="4"/>
  <c r="V14" i="4"/>
  <c r="V40" i="4"/>
  <c r="W9" i="4" s="1"/>
  <c r="W24" i="4"/>
  <c r="W23" i="4"/>
  <c r="U28" i="4"/>
  <c r="U41" i="4"/>
  <c r="W5" i="4"/>
  <c r="W8" i="4"/>
  <c r="W11" i="4"/>
  <c r="W20" i="4" s="1"/>
  <c r="X21" i="4"/>
  <c r="V31" i="4"/>
  <c r="V25" i="4"/>
  <c r="V26" i="4" s="1"/>
  <c r="V12" i="4"/>
  <c r="V44" i="4" s="1"/>
  <c r="W14" i="4" l="1"/>
  <c r="L35" i="4"/>
  <c r="L36" i="4" s="1"/>
  <c r="L43" i="4" s="1"/>
  <c r="L32" i="4"/>
  <c r="W40" i="4"/>
  <c r="X9" i="4" s="1"/>
  <c r="X24" i="4"/>
  <c r="X23" i="4"/>
  <c r="V28" i="4"/>
  <c r="V41" i="4"/>
  <c r="X5" i="4"/>
  <c r="X11" i="4"/>
  <c r="X20" i="4" s="1"/>
  <c r="X8" i="4"/>
  <c r="Y21" i="4"/>
  <c r="W12" i="4"/>
  <c r="W44" i="4" s="1"/>
  <c r="W31" i="4"/>
  <c r="W25" i="4"/>
  <c r="W26" i="4" s="1"/>
  <c r="X40" i="4" l="1"/>
  <c r="Y9" i="4" s="1"/>
  <c r="Y24" i="4"/>
  <c r="Y23" i="4"/>
  <c r="W28" i="4"/>
  <c r="X12" i="4"/>
  <c r="X44" i="4" s="1"/>
  <c r="X25" i="4"/>
  <c r="X26" i="4" s="1"/>
  <c r="X31" i="4"/>
  <c r="X14" i="4"/>
  <c r="Y11" i="4"/>
  <c r="Y20" i="4" s="1"/>
  <c r="Y5" i="4"/>
  <c r="Y8" i="4"/>
  <c r="M13" i="4"/>
  <c r="M15" i="4" s="1"/>
  <c r="Z21" i="4"/>
  <c r="W41" i="4"/>
  <c r="M16" i="4" l="1"/>
  <c r="M17" i="4" s="1"/>
  <c r="M19" i="4" s="1"/>
  <c r="M22" i="4" s="1"/>
  <c r="M34" i="4" s="1"/>
  <c r="Y40" i="4"/>
  <c r="Z9" i="4" s="1"/>
  <c r="Z24" i="4"/>
  <c r="Z23" i="4"/>
  <c r="X41" i="4"/>
  <c r="Y41" i="4" s="1"/>
  <c r="AA21" i="4"/>
  <c r="Z8" i="4"/>
  <c r="Z11" i="4"/>
  <c r="Z20" i="4" s="1"/>
  <c r="Z5" i="4"/>
  <c r="X28" i="4"/>
  <c r="Y31" i="4"/>
  <c r="Y25" i="4"/>
  <c r="Y26" i="4" s="1"/>
  <c r="Y14" i="4"/>
  <c r="M30" i="4" l="1"/>
  <c r="M29" i="4"/>
  <c r="Z40" i="4"/>
  <c r="AA9" i="4" s="1"/>
  <c r="AA24" i="4"/>
  <c r="AA23" i="4"/>
  <c r="Y12" i="4"/>
  <c r="Z25" i="4"/>
  <c r="Z26" i="4" s="1"/>
  <c r="Z31" i="4"/>
  <c r="Z14" i="4"/>
  <c r="AB21" i="4"/>
  <c r="AA8" i="4"/>
  <c r="AA11" i="4"/>
  <c r="AA20" i="4" s="1"/>
  <c r="AA5" i="4"/>
  <c r="Z41" i="4"/>
  <c r="M32" i="4" l="1"/>
  <c r="M35" i="4"/>
  <c r="M36" i="4" s="1"/>
  <c r="M43" i="4" s="1"/>
  <c r="N13" i="4" s="1"/>
  <c r="N15" i="4" s="1"/>
  <c r="Y44" i="4"/>
  <c r="Y28" i="4" s="1"/>
  <c r="AA40" i="4"/>
  <c r="AB9" i="4" s="1"/>
  <c r="AB24" i="4"/>
  <c r="AB23" i="4"/>
  <c r="Z12" i="4"/>
  <c r="Z44" i="4" s="1"/>
  <c r="AC21" i="4"/>
  <c r="AA14" i="4"/>
  <c r="AA12" i="4"/>
  <c r="AA44" i="4" s="1"/>
  <c r="AA25" i="4"/>
  <c r="AA26" i="4" s="1"/>
  <c r="AA31" i="4"/>
  <c r="AB11" i="4"/>
  <c r="AB20" i="4" s="1"/>
  <c r="AB8" i="4"/>
  <c r="AB5" i="4"/>
  <c r="N16" i="4" l="1"/>
  <c r="N17" i="4" s="1"/>
  <c r="N19" i="4" s="1"/>
  <c r="N22" i="4" s="1"/>
  <c r="N34" i="4" s="1"/>
  <c r="AB40" i="4"/>
  <c r="AC23" i="4"/>
  <c r="AC24" i="4"/>
  <c r="Z28" i="4"/>
  <c r="AA28" i="4"/>
  <c r="AC9" i="4"/>
  <c r="AB12" i="4"/>
  <c r="AB44" i="4" s="1"/>
  <c r="AB14" i="4"/>
  <c r="AB31" i="4"/>
  <c r="AB25" i="4"/>
  <c r="AB26" i="4" s="1"/>
  <c r="AA41" i="4"/>
  <c r="AD21" i="4"/>
  <c r="AC8" i="4"/>
  <c r="AC5" i="4"/>
  <c r="AC11" i="4"/>
  <c r="AC20" i="4" s="1"/>
  <c r="N30" i="4" l="1"/>
  <c r="N29" i="4"/>
  <c r="AC40" i="4"/>
  <c r="AD9" i="4" s="1"/>
  <c r="AD23" i="4"/>
  <c r="AD24" i="4"/>
  <c r="AB28" i="4"/>
  <c r="AD11" i="4"/>
  <c r="AD20" i="4" s="1"/>
  <c r="AD5" i="4"/>
  <c r="AD8" i="4"/>
  <c r="AB41" i="4"/>
  <c r="AE21" i="4"/>
  <c r="AC12" i="4"/>
  <c r="AC44" i="4" s="1"/>
  <c r="AC25" i="4"/>
  <c r="AC26" i="4" s="1"/>
  <c r="AC31" i="4"/>
  <c r="AC14" i="4"/>
  <c r="N35" i="4" l="1"/>
  <c r="N36" i="4" s="1"/>
  <c r="N43" i="4" s="1"/>
  <c r="O13" i="4" s="1"/>
  <c r="O15" i="4" s="1"/>
  <c r="N32" i="4"/>
  <c r="AD40" i="4"/>
  <c r="AE9" i="4" s="1"/>
  <c r="AE24" i="4"/>
  <c r="AE23" i="4"/>
  <c r="AF21" i="4"/>
  <c r="AC28" i="4"/>
  <c r="AE5" i="4"/>
  <c r="AE8" i="4"/>
  <c r="AE11" i="4"/>
  <c r="AE20" i="4" s="1"/>
  <c r="AC41" i="4"/>
  <c r="AD14" i="4"/>
  <c r="AD12" i="4"/>
  <c r="AD44" i="4" s="1"/>
  <c r="AD25" i="4"/>
  <c r="AD26" i="4" s="1"/>
  <c r="AD31" i="4"/>
  <c r="O16" i="4" l="1"/>
  <c r="O17" i="4" s="1"/>
  <c r="O19" i="4" s="1"/>
  <c r="O22" i="4" s="1"/>
  <c r="O34" i="4" s="1"/>
  <c r="AE40" i="4"/>
  <c r="AF8" i="4"/>
  <c r="AF11" i="4"/>
  <c r="AF20" i="4" s="1"/>
  <c r="AF24" i="4"/>
  <c r="AF23" i="4"/>
  <c r="AG23" i="4" s="1"/>
  <c r="AF5" i="4"/>
  <c r="AE14" i="4"/>
  <c r="AD41" i="4"/>
  <c r="AE31" i="4"/>
  <c r="AE25" i="4"/>
  <c r="AE26" i="4" s="1"/>
  <c r="AF9" i="4"/>
  <c r="AG9" i="4" s="1"/>
  <c r="AD28" i="4"/>
  <c r="O29" i="4" l="1"/>
  <c r="O30" i="4"/>
  <c r="AF40" i="4"/>
  <c r="AG40" i="4" s="1"/>
  <c r="AF14" i="4"/>
  <c r="AF31" i="4"/>
  <c r="AE41" i="4"/>
  <c r="AF25" i="4"/>
  <c r="AF26" i="4" s="1"/>
  <c r="AE12" i="4"/>
  <c r="AE44" i="4" s="1"/>
  <c r="O32" i="4" l="1"/>
  <c r="O35" i="4"/>
  <c r="O36" i="4" s="1"/>
  <c r="O43" i="4" s="1"/>
  <c r="P13" i="4" s="1"/>
  <c r="P15" i="4" s="1"/>
  <c r="AH24" i="4"/>
  <c r="AF12" i="4"/>
  <c r="AF44" i="4" s="1"/>
  <c r="AE28" i="4"/>
  <c r="AF41" i="4"/>
  <c r="AG41" i="4" s="1"/>
  <c r="P16" i="4" l="1"/>
  <c r="P17" i="4" s="1"/>
  <c r="P19" i="4" s="1"/>
  <c r="P22" i="4" s="1"/>
  <c r="P34" i="4" s="1"/>
  <c r="AF28" i="4"/>
  <c r="P29" i="4" l="1"/>
  <c r="P30" i="4"/>
  <c r="P35" i="4" l="1"/>
  <c r="P36" i="4" s="1"/>
  <c r="P43" i="4" s="1"/>
  <c r="Q13" i="4" s="1"/>
  <c r="Q15" i="4" s="1"/>
  <c r="P32" i="4"/>
  <c r="Q16" i="4" l="1"/>
  <c r="Q17" i="4" s="1"/>
  <c r="Q19" i="4" s="1"/>
  <c r="Q22" i="4" s="1"/>
  <c r="Q34" i="4" s="1"/>
  <c r="Q29" i="4" l="1"/>
  <c r="Q30" i="4"/>
  <c r="Q35" i="4" l="1"/>
  <c r="Q36" i="4" s="1"/>
  <c r="Q43" i="4" s="1"/>
  <c r="R13" i="4" s="1"/>
  <c r="R15" i="4" s="1"/>
  <c r="Q32" i="4"/>
  <c r="R16" i="4" l="1"/>
  <c r="R17" i="4" s="1"/>
  <c r="R19" i="4" s="1"/>
  <c r="R22" i="4" s="1"/>
  <c r="R34" i="4" s="1"/>
  <c r="R30" i="4" l="1"/>
  <c r="R29" i="4"/>
  <c r="R35" i="4" l="1"/>
  <c r="R36" i="4" s="1"/>
  <c r="R43" i="4" s="1"/>
  <c r="S13" i="4" s="1"/>
  <c r="S15" i="4" s="1"/>
  <c r="R32" i="4"/>
  <c r="S16" i="4" l="1"/>
  <c r="S17" i="4" s="1"/>
  <c r="S19" i="4" s="1"/>
  <c r="S22" i="4" s="1"/>
  <c r="S34" i="4" s="1"/>
  <c r="S29" i="4" l="1"/>
  <c r="S30" i="4"/>
  <c r="S32" i="4" l="1"/>
  <c r="S35" i="4"/>
  <c r="S36" i="4" s="1"/>
  <c r="S43" i="4" s="1"/>
  <c r="T13" i="4" s="1"/>
  <c r="T15" i="4" s="1"/>
  <c r="T16" i="4" l="1"/>
  <c r="T17" i="4" s="1"/>
  <c r="T19" i="4" s="1"/>
  <c r="T22" i="4" s="1"/>
  <c r="T34" i="4" s="1"/>
  <c r="T30" i="4" l="1"/>
  <c r="T29" i="4"/>
  <c r="T32" i="4" l="1"/>
  <c r="T35" i="4"/>
  <c r="T36" i="4" s="1"/>
  <c r="T43" i="4" s="1"/>
  <c r="U13" i="4" s="1"/>
  <c r="U15" i="4" s="1"/>
  <c r="U16" i="4" l="1"/>
  <c r="U17" i="4" s="1"/>
  <c r="U19" i="4" s="1"/>
  <c r="U22" i="4" s="1"/>
  <c r="U34" i="4" s="1"/>
  <c r="U30" i="4" l="1"/>
  <c r="U29" i="4"/>
  <c r="U35" i="4" l="1"/>
  <c r="U36" i="4" s="1"/>
  <c r="U43" i="4" s="1"/>
  <c r="V13" i="4" s="1"/>
  <c r="V15" i="4" s="1"/>
  <c r="U32" i="4"/>
  <c r="V16" i="4" l="1"/>
  <c r="V17" i="4" s="1"/>
  <c r="V19" i="4" s="1"/>
  <c r="V22" i="4" s="1"/>
  <c r="V34" i="4" s="1"/>
  <c r="V30" i="4" l="1"/>
  <c r="V29" i="4"/>
  <c r="V35" i="4" l="1"/>
  <c r="V36" i="4" s="1"/>
  <c r="V43" i="4" s="1"/>
  <c r="W13" i="4" s="1"/>
  <c r="W15" i="4" s="1"/>
  <c r="V32" i="4"/>
  <c r="W16" i="4" l="1"/>
  <c r="W17" i="4" s="1"/>
  <c r="W19" i="4" s="1"/>
  <c r="W22" i="4" s="1"/>
  <c r="W34" i="4" s="1"/>
  <c r="W29" i="4" l="1"/>
  <c r="W30" i="4"/>
  <c r="W32" i="4" l="1"/>
  <c r="W35" i="4"/>
  <c r="W36" i="4" s="1"/>
  <c r="W43" i="4" s="1"/>
  <c r="X13" i="4" s="1"/>
  <c r="X15" i="4" s="1"/>
  <c r="X16" i="4" l="1"/>
  <c r="X17" i="4" s="1"/>
  <c r="X19" i="4" s="1"/>
  <c r="X22" i="4" s="1"/>
  <c r="X34" i="4" s="1"/>
  <c r="X29" i="4" l="1"/>
  <c r="X30" i="4"/>
  <c r="X35" i="4" l="1"/>
  <c r="X36" i="4" s="1"/>
  <c r="X43" i="4" s="1"/>
  <c r="Y13" i="4" s="1"/>
  <c r="Y15" i="4" s="1"/>
  <c r="X32" i="4"/>
  <c r="Y16" i="4" l="1"/>
  <c r="Y17" i="4" s="1"/>
  <c r="Y19" i="4" s="1"/>
  <c r="Y22" i="4" s="1"/>
  <c r="Y34" i="4" s="1"/>
  <c r="Y29" i="4" l="1"/>
  <c r="Y30" i="4"/>
  <c r="Y32" i="4" l="1"/>
  <c r="Y35" i="4"/>
  <c r="Y36" i="4" s="1"/>
  <c r="Y43" i="4" s="1"/>
  <c r="Z13" i="4" s="1"/>
  <c r="Z15" i="4" s="1"/>
  <c r="Z16" i="4" l="1"/>
  <c r="Z17" i="4" s="1"/>
  <c r="Z19" i="4" s="1"/>
  <c r="Z22" i="4" s="1"/>
  <c r="Z34" i="4" s="1"/>
  <c r="Z30" i="4" l="1"/>
  <c r="Z29" i="4"/>
  <c r="Z35" i="4" l="1"/>
  <c r="Z36" i="4" s="1"/>
  <c r="Z43" i="4" s="1"/>
  <c r="AA13" i="4" s="1"/>
  <c r="AA15" i="4" s="1"/>
  <c r="Z32" i="4"/>
  <c r="AA16" i="4" l="1"/>
  <c r="AA17" i="4" s="1"/>
  <c r="AA19" i="4" s="1"/>
  <c r="AA22" i="4" s="1"/>
  <c r="AA34" i="4" s="1"/>
  <c r="AA30" i="4" l="1"/>
  <c r="AA29" i="4"/>
  <c r="AA35" i="4" l="1"/>
  <c r="AA36" i="4" s="1"/>
  <c r="AA43" i="4" s="1"/>
  <c r="AB13" i="4" s="1"/>
  <c r="AB15" i="4" s="1"/>
  <c r="AA32" i="4"/>
  <c r="AB16" i="4" l="1"/>
  <c r="AB17" i="4" s="1"/>
  <c r="AB19" i="4" s="1"/>
  <c r="AB22" i="4" s="1"/>
  <c r="AB34" i="4" s="1"/>
  <c r="AB30" i="4" l="1"/>
  <c r="AB29" i="4"/>
  <c r="AB32" i="4" l="1"/>
  <c r="AB35" i="4"/>
  <c r="AB36" i="4" s="1"/>
  <c r="AB43" i="4" s="1"/>
  <c r="AC13" i="4" s="1"/>
  <c r="AC15" i="4" s="1"/>
  <c r="AC16" i="4" l="1"/>
  <c r="AC17" i="4" s="1"/>
  <c r="AC19" i="4" s="1"/>
  <c r="AC22" i="4" s="1"/>
  <c r="AC34" i="4" s="1"/>
  <c r="AC30" i="4" l="1"/>
  <c r="AC29" i="4"/>
  <c r="AC32" i="4" l="1"/>
  <c r="AC35" i="4"/>
  <c r="AC36" i="4" s="1"/>
  <c r="AC43" i="4" s="1"/>
  <c r="AD13" i="4" s="1"/>
  <c r="AD15" i="4" s="1"/>
  <c r="AD16" i="4" l="1"/>
  <c r="AD17" i="4" s="1"/>
  <c r="AD19" i="4" s="1"/>
  <c r="AD22" i="4" s="1"/>
  <c r="AD34" i="4" s="1"/>
  <c r="AD30" i="4" l="1"/>
  <c r="AD29" i="4"/>
  <c r="AD35" i="4" l="1"/>
  <c r="AD36" i="4" s="1"/>
  <c r="AD43" i="4" s="1"/>
  <c r="AE13" i="4" s="1"/>
  <c r="AE15" i="4" s="1"/>
  <c r="AD32" i="4"/>
  <c r="AE16" i="4" l="1"/>
  <c r="AE17" i="4" s="1"/>
  <c r="AE19" i="4" s="1"/>
  <c r="AE22" i="4" s="1"/>
  <c r="AE34" i="4" s="1"/>
  <c r="AE29" i="4" l="1"/>
  <c r="AE30" i="4"/>
  <c r="AE35" i="4" l="1"/>
  <c r="AE36" i="4" s="1"/>
  <c r="AE43" i="4" s="1"/>
  <c r="AF13" i="4" s="1"/>
  <c r="AF15" i="4" s="1"/>
  <c r="AE32" i="4"/>
  <c r="AF16" i="4" l="1"/>
  <c r="AF17" i="4" s="1"/>
  <c r="AF19" i="4" s="1"/>
  <c r="AF22" i="4" s="1"/>
  <c r="AF34" i="4" s="1"/>
  <c r="D72" i="4" s="1"/>
  <c r="AF29" i="4" l="1"/>
  <c r="AF30" i="4"/>
  <c r="AF35" i="4" l="1"/>
  <c r="AF32" i="4"/>
  <c r="AF36" i="4" l="1"/>
  <c r="AF43" i="4" s="1"/>
  <c r="D71" i="4" s="1"/>
  <c r="D73" i="4" s="1"/>
  <c r="D79" i="4" l="1"/>
  <c r="D78" i="4"/>
  <c r="D76" i="4"/>
  <c r="D75" i="4" s="1"/>
  <c r="J42" i="1" s="1"/>
  <c r="E72" i="4"/>
  <c r="E71" i="4"/>
  <c r="H40" i="1" l="1"/>
  <c r="E79" i="4"/>
  <c r="E78" i="4"/>
  <c r="K14" i="3"/>
  <c r="D18" i="3"/>
  <c r="B16" i="3" s="1"/>
  <c r="H30" i="1" s="1"/>
  <c r="B14" i="3" l="1"/>
  <c r="K18" i="3"/>
  <c r="H28" i="1"/>
  <c r="B15" i="3"/>
  <c r="H29" i="1" s="1"/>
  <c r="B17" i="3"/>
  <c r="H31" i="1" s="1"/>
  <c r="B18"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D45" authorId="3"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Joao Pedro Meruge Mendes</author>
  </authors>
  <commentList>
    <comment ref="D82" authorId="0" shapeId="0" xr:uid="{57C6BFE9-A359-4A5B-893F-C9D6B55EB5E7}">
      <text>
        <r>
          <rPr>
            <sz val="10"/>
            <rFont val="Arial"/>
            <family val="2"/>
          </rPr>
          <t>Joao Pedro Meruge Mendes:
This is adjusted value, to net profit for continuing operations. Since the Russian decided to transfer all Carlsberg's operations to the state.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tc={3FB0ED04-16F8-4AAC-A05C-41CE4C673FB9}</author>
    <author>tc={EB9CBCBC-3942-4826-9DD4-5B32CF5C9720}</author>
    <author>tc={571B71A1-9970-4AC9-8B76-8ACFAB7AD471}</author>
    <author>tc={45C6094F-2246-414B-8148-38B4D063BD73}</author>
  </authors>
  <commentList>
    <comment ref="L55" authorId="0" shapeId="0" xr:uid="{3FB0ED04-16F8-4AAC-A05C-41CE4C673FB9}">
      <text>
        <t xml:space="preserve">[Threaded comment]
Your version of Excel allows you to read this threaded comment; however, any edits to it will get removed if the file is opened in a newer version of Excel. Learn more: https://go.microsoft.com/fwlink/?linkid=870924
Comment:
    Germany
</t>
      </text>
    </comment>
    <comment ref="K56" authorId="1" shapeId="0" xr:uid="{EB9CBCBC-3942-4826-9DD4-5B32CF5C9720}">
      <text>
        <t xml:space="preserve">[Threaded comment]
Your version of Excel allows you to read this threaded comment; however, any edits to it will get removed if the file is opened in a newer version of Excel. Learn more: https://go.microsoft.com/fwlink/?linkid=870924
Comment:
    India
</t>
      </text>
    </comment>
    <comment ref="K57" authorId="2" shapeId="0" xr:uid="{571B71A1-9970-4AC9-8B76-8ACFAB7AD471}">
      <text>
        <t>[Threaded comment]
Your version of Excel allows you to read this threaded comment; however, any edits to it will get removed if the file is opened in a newer version of Excel. Learn more: https://go.microsoft.com/fwlink/?linkid=870924
Comment:
    South Africa</t>
      </text>
    </comment>
    <comment ref="K58" authorId="3" shapeId="0" xr:uid="{45C6094F-2246-414B-8148-38B4D063BD73}">
      <text>
        <t xml:space="preserve">[Threaded comment]
Your version of Excel allows you to read this threaded comment; however, any edits to it will get removed if the file is opened in a newer version of Excel. Learn more: https://go.microsoft.com/fwlink/?linkid=870924
Comment:
    Brazil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tc={0BA17D87-186D-4C4D-A683-6BBE00960860}</author>
    <author>tc={347CAD59-EED7-424F-BBE5-92D060567FE2}</author>
  </authors>
  <commentList>
    <comment ref="A49" authorId="0" shapeId="0" xr:uid="{0BA17D87-186D-4C4D-A683-6BBE00960860}">
      <text>
        <t>[Threaded comment]
Your version of Excel allows you to read this threaded comment; however, any edits to it will get removed if the file is opened in a newer version of Excel. Learn more: https://go.microsoft.com/fwlink/?linkid=870924
Comment:
    Current Port. of LT Debt/Capital Leases</t>
      </text>
    </comment>
    <comment ref="B84" authorId="1" shapeId="0" xr:uid="{347CAD59-EED7-424F-BBE5-92D060567FE2}">
      <text>
        <t>[Threaded comment]
Your version of Excel allows you to read this threaded comment; however, any edits to it will get removed if the file is opened in a newer version of Excel. Learn more: https://go.microsoft.com/fwlink/?linkid=870924
Comment:
    https://www.diageo.com/en/investors/debt-investors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3">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futureMetadata>
  <futureMetadata name="XLDAPR" count="1">
    <bk>
      <extLst>
        <ext uri="{bdbb8cdc-fa1e-496e-a857-3c3f30c029c3}">
          <xda:dynamicArrayProperties fDynamic="1" fCollapsed="0"/>
        </ext>
      </extLst>
    </bk>
  </futureMetadata>
  <cellMetadata count="1">
    <bk>
      <rc t="2" v="0"/>
    </bk>
  </cellMetadata>
  <valueMetadata count="13">
    <bk>
      <rc t="1" v="0"/>
    </bk>
    <bk>
      <rc t="1" v="1"/>
    </bk>
    <bk>
      <rc t="1" v="2"/>
    </bk>
    <bk>
      <rc t="1" v="3"/>
    </bk>
    <bk>
      <rc t="1" v="4"/>
    </bk>
    <bk>
      <rc t="1" v="5"/>
    </bk>
    <bk>
      <rc t="1" v="6"/>
    </bk>
    <bk>
      <rc t="1" v="7"/>
    </bk>
    <bk>
      <rc t="1" v="8"/>
    </bk>
    <bk>
      <rc t="1" v="9"/>
    </bk>
    <bk>
      <rc t="1" v="10"/>
    </bk>
    <bk>
      <rc t="1" v="11"/>
    </bk>
    <bk>
      <rc t="1" v="12"/>
    </bk>
  </valueMetadata>
</metadata>
</file>

<file path=xl/sharedStrings.xml><?xml version="1.0" encoding="utf-8"?>
<sst xmlns="http://schemas.openxmlformats.org/spreadsheetml/2006/main" count="1887" uniqueCount="1007">
  <si>
    <t>Team 1</t>
  </si>
  <si>
    <t>NYSE</t>
  </si>
  <si>
    <t xml:space="preserve">SIC: </t>
  </si>
  <si>
    <t>COMPANY DESCRIPTION</t>
  </si>
  <si>
    <t>CEO &amp; BOARD OF DIRECTORS</t>
  </si>
  <si>
    <t>Name (Gender; Age)</t>
  </si>
  <si>
    <t>Tenure</t>
  </si>
  <si>
    <t>Executive?</t>
  </si>
  <si>
    <t>Other roles</t>
  </si>
  <si>
    <t>Javier Ferrán (M;67)</t>
  </si>
  <si>
    <t>Yes</t>
  </si>
  <si>
    <t>Chairman</t>
  </si>
  <si>
    <t>Debra Crew  (F;53)</t>
  </si>
  <si>
    <t>Chief Executive</t>
  </si>
  <si>
    <t>Lavanya Chandrashekar (F;</t>
  </si>
  <si>
    <t>Chief Financial Officer</t>
  </si>
  <si>
    <t>Susan Kilsby (F;64)</t>
  </si>
  <si>
    <t>Director and Chairman of the Remuneration Committee</t>
  </si>
  <si>
    <t>Melissa Bethell (F;</t>
  </si>
  <si>
    <t>No</t>
  </si>
  <si>
    <t>-</t>
  </si>
  <si>
    <t>Karen Blackett (F;54)</t>
  </si>
  <si>
    <t>Valérie Chapoulaud-Floquet (F;61)</t>
  </si>
  <si>
    <t>Sir John Manzoni (M;63)</t>
  </si>
  <si>
    <t>Alan Stewart (M;</t>
  </si>
  <si>
    <t>Director and Chairman of the Audit committee</t>
  </si>
  <si>
    <t>Ireena Vittal (F;</t>
  </si>
  <si>
    <t>Lady Mendelsohn (F;</t>
  </si>
  <si>
    <t>USD MILLIONS</t>
  </si>
  <si>
    <t>COMPANY OVERVIEW</t>
  </si>
  <si>
    <t>Stock</t>
  </si>
  <si>
    <t>Liquidity and Solvency</t>
  </si>
  <si>
    <t>Segments</t>
  </si>
  <si>
    <t>Profitability (2022)</t>
  </si>
  <si>
    <t>Multiples</t>
  </si>
  <si>
    <t>Last Price</t>
  </si>
  <si>
    <t>Total Assets</t>
  </si>
  <si>
    <t>Regions</t>
  </si>
  <si>
    <t>% Sales</t>
  </si>
  <si>
    <t>Reporting Year</t>
  </si>
  <si>
    <t>Float</t>
  </si>
  <si>
    <t>Outstanding Shares</t>
  </si>
  <si>
    <t>Total Liabilities</t>
  </si>
  <si>
    <t>End of Year</t>
  </si>
  <si>
    <t>Insiders Own</t>
  </si>
  <si>
    <t>Market Cap.</t>
  </si>
  <si>
    <t>Cash/Share</t>
  </si>
  <si>
    <t>EBITDA</t>
  </si>
  <si>
    <t>b (Yahoo)</t>
  </si>
  <si>
    <t>+Total Debt</t>
  </si>
  <si>
    <t>EBITDA/Net Financial Cost (NFC)</t>
  </si>
  <si>
    <t>Depreciation &amp; Amortization</t>
  </si>
  <si>
    <t>Score (S&amp;P)</t>
  </si>
  <si>
    <t>A-</t>
  </si>
  <si>
    <t>-Cash</t>
  </si>
  <si>
    <t>Debt/EBITDA</t>
  </si>
  <si>
    <t>EBIT</t>
  </si>
  <si>
    <t>Price/Book Value</t>
  </si>
  <si>
    <t>=Enterprise Value</t>
  </si>
  <si>
    <t>"Others Assets"/Asset</t>
  </si>
  <si>
    <t>Net Income</t>
  </si>
  <si>
    <t>NCF(3y avg)/Asset</t>
  </si>
  <si>
    <t>Holdings (nac/int'l)</t>
  </si>
  <si>
    <t>Debt/Assets</t>
  </si>
  <si>
    <t>Categories</t>
  </si>
  <si>
    <t>EPS</t>
  </si>
  <si>
    <t>Price/Net Inc. (3y avg)</t>
  </si>
  <si>
    <t>t liq. (Holdings/Vol.)</t>
  </si>
  <si>
    <t>EBITDA Margin (average)</t>
  </si>
  <si>
    <t>ROA</t>
  </si>
  <si>
    <t>EV/Asset</t>
  </si>
  <si>
    <t>% Short</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</si>
  <si>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</si>
  <si>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</si>
  <si>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</si>
  <si>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</si>
  <si>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</si>
  <si>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</si>
  <si>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</si>
  <si>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</si>
  <si>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</si>
  <si>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</si>
  <si>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</si>
  <si>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</si>
  <si>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</si>
  <si>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</si>
  <si>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</si>
  <si>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</si>
  <si>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</si>
  <si>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</si>
  <si>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</si>
  <si>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</si>
  <si>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</si>
  <si>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</si>
  <si>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Sell</t>
  </si>
  <si>
    <t>Check DCF</t>
  </si>
  <si>
    <t>DCF</t>
  </si>
  <si>
    <t>Significant headroom for sustainable, long-term growth, and our ambition is to outperform the market and increase our TBA value share to 6% by 2030.</t>
  </si>
  <si>
    <t>Trends</t>
  </si>
  <si>
    <t>Consumers opting for less expensive drinks and younger gen consuming less alcohol</t>
  </si>
  <si>
    <t>Emerging market</t>
  </si>
  <si>
    <t>Globally, there is a significant opportunity to increase spirits penetration. In markets where the spirits category is less mature, our mainstream brands give emerging market consumers access to our products at affordable prices</t>
  </si>
  <si>
    <t>Risks of Investment</t>
  </si>
  <si>
    <t>Price Target</t>
  </si>
  <si>
    <t>Valuation</t>
  </si>
  <si>
    <t>Risk</t>
  </si>
  <si>
    <t>Discount Rate</t>
  </si>
  <si>
    <t>Price M. Upside</t>
  </si>
  <si>
    <t>Recession</t>
  </si>
  <si>
    <t>Some specialists believe that the alcohol business is in recession</t>
  </si>
  <si>
    <t>Financial risk</t>
  </si>
  <si>
    <t xml:space="preserve"> high levels of inflation and interest rate hikes have resulted in cost-of-living crises and instability in financial markets across many countries in which we operate.</t>
  </si>
  <si>
    <t>Downside</t>
  </si>
  <si>
    <t>EV M. Upside</t>
  </si>
  <si>
    <t>Climate change
and sustainability</t>
  </si>
  <si>
    <t xml:space="preserve">Physical and transition climate change risks, including water stress, extreme weather events, temperature rises and increased regulation, may result in increased volatility in the supply of raw materials, production costs, capacity constraints and higher costs of compliance. </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</si>
  <si>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</si>
  <si>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</si>
  <si>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</si>
  <si>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</si>
  <si>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</si>
  <si>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</si>
  <si>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</si>
  <si>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</si>
  <si>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</si>
  <si>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</si>
  <si>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</si>
  <si>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</si>
  <si>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</si>
  <si>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</si>
  <si>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</si>
  <si>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</si>
  <si>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</si>
  <si>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</si>
  <si>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</si>
  <si>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</si>
  <si>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</si>
  <si>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</si>
  <si>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</si>
  <si>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</si>
  <si>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</si>
  <si>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</si>
  <si>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</si>
  <si>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</si>
  <si>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Name</t>
  </si>
  <si>
    <t>% Stake</t>
  </si>
  <si>
    <t>Brand Portfolio, Global reach</t>
  </si>
  <si>
    <t xml:space="preserve"> Focus in mature markets, healthy trend, company strategy  (consumers opting for less expensive drinks)</t>
  </si>
  <si>
    <t>Vanguard International Stock Index-Total Intl Stock Indx</t>
  </si>
  <si>
    <t>Vanguard Specialized-Dividend Growth Fund</t>
  </si>
  <si>
    <t>MFS Series Trust I-MFS Value Fund</t>
  </si>
  <si>
    <t>Vanguard Tax Managed Fund-Vanguard Developed Markets Index Fund</t>
  </si>
  <si>
    <t>iShares Core MSCI EAFE ETF</t>
  </si>
  <si>
    <t>MFS Series Trust X-MFS International Intrinsic Value Fund</t>
  </si>
  <si>
    <t>MFS International Growth Fund</t>
  </si>
  <si>
    <t>Six Circles International Unconstrained Equity Fd</t>
  </si>
  <si>
    <t>iShares MSCI Eafe ETF</t>
  </si>
  <si>
    <t>MFS Research International Fund</t>
  </si>
  <si>
    <t>Opportunities</t>
  </si>
  <si>
    <t>Risks</t>
  </si>
  <si>
    <t>Partners Capital Investment Group, LLP</t>
  </si>
  <si>
    <t>Emerging markets, E-commerce, Diversify(non-alcoholic beverages)</t>
  </si>
  <si>
    <t>Consumer Preference, Regulations, water stress</t>
  </si>
  <si>
    <t>Kathleen S. Wright Associates Inc.</t>
  </si>
  <si>
    <t>Paradigm Asset Management Company, LLC</t>
  </si>
  <si>
    <t>First Manhattan Company</t>
  </si>
  <si>
    <t>Kennedy Capital Management, Inc.</t>
  </si>
  <si>
    <t>Gardner Russo &amp; Quinn, LLC</t>
  </si>
  <si>
    <t>NOTES</t>
  </si>
  <si>
    <t>STOCK PERFORMANCE (5 years)</t>
  </si>
  <si>
    <t>Invertir</t>
  </si>
  <si>
    <t>NO invertir</t>
  </si>
  <si>
    <t>Mantener sin elevar posición</t>
  </si>
  <si>
    <t>Mantener (y seguir comprando)</t>
  </si>
  <si>
    <t>Liquidar</t>
  </si>
  <si>
    <t>PENDIENTE</t>
  </si>
  <si>
    <t>Products</t>
  </si>
  <si>
    <t>Nominal value</t>
  </si>
  <si>
    <t>YoY Growth</t>
  </si>
  <si>
    <t>Weight</t>
  </si>
  <si>
    <t>Region</t>
  </si>
  <si>
    <t>Great Britain</t>
  </si>
  <si>
    <t>India</t>
  </si>
  <si>
    <t>United States</t>
  </si>
  <si>
    <t> </t>
  </si>
  <si>
    <t>Others</t>
  </si>
  <si>
    <t>TOTAL</t>
  </si>
  <si>
    <t>Category</t>
  </si>
  <si>
    <t>Spirits</t>
  </si>
  <si>
    <t>Beer</t>
  </si>
  <si>
    <t>Ready to drink</t>
  </si>
  <si>
    <t>Other</t>
  </si>
  <si>
    <t>Description</t>
  </si>
  <si>
    <t>Graphs</t>
  </si>
  <si>
    <t>Beverages with an high percentage of alcohol, normally between 35%-40%, their ingredients are distilled after being fermented.</t>
  </si>
  <si>
    <t>Beverages made out of grains and fermented by yeast</t>
  </si>
  <si>
    <t>Beverages for easy comsumption, mixed out of 2 or more ingredients, usually cocktails, they tend to have a low percentage of alcohol.</t>
  </si>
  <si>
    <t>Industry</t>
  </si>
  <si>
    <t>Graphs (Industry Forecasts)</t>
  </si>
  <si>
    <t>Drivers</t>
  </si>
  <si>
    <t>Consumer preference</t>
  </si>
  <si>
    <t>Diageo does a continuous job on keeping up with the consumers needs, with a wide portfolio, RTD, specialization in high quality beverages and innovation to more health aware client, such as 0% beers</t>
  </si>
  <si>
    <t>Disposable Income</t>
  </si>
  <si>
    <t>Diageo sells "luxury items" with quality spirits having a huge percentage of their sales, as alcaholic bevereges are not a necessity, an increase in disposable income would help their sales. However this may not always be the case as in crisis alcahol sales may rise as well such as in 2008 crisis</t>
  </si>
  <si>
    <t>Sales forecast</t>
  </si>
  <si>
    <t>Source</t>
  </si>
  <si>
    <t>Market Growth CAGR</t>
  </si>
  <si>
    <t>Period</t>
  </si>
  <si>
    <t>Mordor Intelligence</t>
  </si>
  <si>
    <t>3,40%</t>
  </si>
  <si>
    <t>2024-2029</t>
  </si>
  <si>
    <t>Statistica</t>
  </si>
  <si>
    <t>6,89%</t>
  </si>
  <si>
    <t>2024-2028</t>
  </si>
  <si>
    <t>Report Linker</t>
  </si>
  <si>
    <t>5,60%</t>
  </si>
  <si>
    <t>2024-2030</t>
  </si>
  <si>
    <t>IMARC group</t>
  </si>
  <si>
    <t>2,40%</t>
  </si>
  <si>
    <t>2024-2032</t>
  </si>
  <si>
    <t>Average</t>
  </si>
  <si>
    <t>4,5%</t>
  </si>
  <si>
    <t>Company's Strategy / Extra Notes</t>
  </si>
  <si>
    <t>Diageo strategy wants to achieve consistent net sales, margin growth and shareholder returns. To do this they will optimise themselves with efficient logistics who forsee alternative routes. They are keeping themselves up to date with automation, data analytics and artificial intelligence which will help preventing future disruptions. Diageo is focused on the market needs by going along with the premiumization trend by investing on their high quality brand such as Dom Papa Rum and Tanqueray. They also try to appease their customers by promoting a healthy drinking way and decarbonization.</t>
  </si>
  <si>
    <t>Diageo has a history of acquisitions of premium brands, Dom Papa Rum, Casamigos...</t>
  </si>
  <si>
    <t>Recession resilient</t>
  </si>
  <si>
    <t>Global warming, droughts may affect it</t>
  </si>
  <si>
    <t>Less alcohol comsumption</t>
  </si>
  <si>
    <t>Health awareness among the younger generations means that they dont consume as much alcohol as their predecessors.</t>
  </si>
  <si>
    <t>Diageo supports also with 0% alcohol options and focus on a drink safe campaign</t>
  </si>
  <si>
    <t>Peer Logo</t>
  </si>
  <si>
    <t>Peer Name</t>
  </si>
  <si>
    <t>Is it a good Peer?</t>
  </si>
  <si>
    <t>Business Segments</t>
  </si>
  <si>
    <t>Geographic Segments</t>
  </si>
  <si>
    <t>Market Cap</t>
  </si>
  <si>
    <t>Carlsberg is a Danish multinational brewer. Founded in 1847, the company's headquarters is in Copenhagen, Denmark. Since Jacobsen's death in 1887, the majority owner of the company has been the Carlsberg Foundation. The company's flagship brand is Carlsberg. Other brands include Tuborg, Kronenbourg, Somersby cider, Holsten, Neptun, Belgian Grimbergen, Fix, one of Greece's oldest brands and more than 500 local beers. The company employs around 41,000 people, primarily in Europe and Asia. Carlsberg is currently the 6th largest brewery in the world based on revenue.</t>
  </si>
  <si>
    <t>Beverage industry</t>
  </si>
  <si>
    <t>Eastern Europe</t>
  </si>
  <si>
    <t>129,184 B</t>
  </si>
  <si>
    <t>DK</t>
  </si>
  <si>
    <t>Other beverages</t>
  </si>
  <si>
    <t>Western Europe</t>
  </si>
  <si>
    <t>Asia</t>
  </si>
  <si>
    <t>Heineken N.V is a Dutch multinational brewing company, founded in 1864 by Gerard Adriaan Heineken in Amsterdam. As of 2019, Heineken owns over 165 breweries in more than 70 countries. It produces 348 international, regional, local and speciality beers and ciders and employs approximately 85,000 people</t>
  </si>
  <si>
    <t>Africa, Middle East</t>
  </si>
  <si>
    <t>46, 468 B</t>
  </si>
  <si>
    <t>Eur</t>
  </si>
  <si>
    <t>Europe</t>
  </si>
  <si>
    <t>Americas</t>
  </si>
  <si>
    <t>Asia Pacific</t>
  </si>
  <si>
    <t>Constellation Brands, Inc. is an American producer and marketer of beer, wine, and spirits. A Fortune 500 company, Constellation is the largest beer import company in the US, measured by sales, and has the third-largest market share (7.4 percent) of all major beer suppliers. Constellation has about 40 facilities and approximately 9,000 employees.</t>
  </si>
  <si>
    <t>U.S.</t>
  </si>
  <si>
    <t>48,93 B</t>
  </si>
  <si>
    <t>USD</t>
  </si>
  <si>
    <t>Wine</t>
  </si>
  <si>
    <t>Mexico</t>
  </si>
  <si>
    <t>New zealand</t>
  </si>
  <si>
    <t>Italy</t>
  </si>
  <si>
    <t>The Brown–Forman Corporation is an American-based company, one of the largest in the spirits and wine business. Based in Louisville, Kentucky, it manufactures several very well known brands throughout the world, including Jack Daniel's, Old Forester, Woodford Reserve, GlenDronach, BenRiach, Glenglassaugh, Herradura, Korbel, and Chambord.</t>
  </si>
  <si>
    <t>Spirits beverage industry</t>
  </si>
  <si>
    <t>US</t>
  </si>
  <si>
    <t>25 606 B</t>
  </si>
  <si>
    <t xml:space="preserve">Asia </t>
  </si>
  <si>
    <t>Molson Coors is a Canadian-American multinational drink and brewing company headquartered in Chicago, IL with main offices in Golden, Colorado, and Montreal,Quebec. 
Molson Coors has been a constituent of the S&amp;P500 since 2005.</t>
  </si>
  <si>
    <t>Middle East</t>
  </si>
  <si>
    <t>Africa</t>
  </si>
  <si>
    <t>In Millions GBp</t>
  </si>
  <si>
    <t>AVERAGE</t>
  </si>
  <si>
    <t>Deviation from Average</t>
  </si>
  <si>
    <t>Company Info</t>
  </si>
  <si>
    <t>TRAFFIC</t>
  </si>
  <si>
    <t>Best Value</t>
  </si>
  <si>
    <t>Net Sales (current)</t>
  </si>
  <si>
    <t>Profitability</t>
  </si>
  <si>
    <t>Important Value</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</si>
  <si>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</si>
  <si>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</si>
  <si>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</si>
  <si>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</si>
  <si>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</si>
  <si>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</si>
  <si>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</si>
  <si>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</si>
  <si>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</si>
  <si>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</si>
  <si>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</si>
  <si>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</si>
  <si>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</si>
  <si>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</si>
  <si>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</si>
  <si>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</si>
  <si>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</si>
  <si>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</si>
  <si>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</si>
  <si>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</si>
  <si>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NaN</t>
  </si>
  <si>
    <t>Price/Book</t>
  </si>
  <si>
    <t>EV/Sales</t>
  </si>
  <si>
    <t>EV/EBITDA</t>
  </si>
  <si>
    <t>Stock Info</t>
  </si>
  <si>
    <r>
      <t xml:space="preserve">b </t>
    </r>
    <r>
      <rPr>
        <b/>
        <sz val="10"/>
        <rFont val="Arial"/>
        <family val="2"/>
      </rPr>
      <t>(Yahoo)</t>
    </r>
  </si>
  <si>
    <t>0,57</t>
  </si>
  <si>
    <t>0,62</t>
  </si>
  <si>
    <t>0,96</t>
  </si>
  <si>
    <t>0,79</t>
  </si>
  <si>
    <t>0,85</t>
  </si>
  <si>
    <t>Dividend Yield (yahoo finance)</t>
  </si>
  <si>
    <t>Stock Performance</t>
  </si>
  <si>
    <t>1y</t>
  </si>
  <si>
    <t>3y</t>
  </si>
  <si>
    <t>Current Price</t>
  </si>
  <si>
    <t>Average Target Price</t>
  </si>
  <si>
    <t>Upside/Downside</t>
  </si>
  <si>
    <t>Extra</t>
  </si>
  <si>
    <t>3y Operating Cash Flow</t>
  </si>
  <si>
    <t>R&amp;D/Net Sales</t>
  </si>
  <si>
    <t>Financial Data</t>
  </si>
  <si>
    <t>IS</t>
  </si>
  <si>
    <t>Net Sales (36m ago)</t>
  </si>
  <si>
    <t>3 461</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</si>
  <si>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</si>
  <si>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</si>
  <si>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</si>
  <si>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</si>
  <si>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</si>
  <si>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</si>
  <si>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</si>
  <si>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</si>
  <si>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</si>
  <si>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</si>
  <si>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</si>
  <si>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</si>
  <si>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</si>
  <si>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</si>
  <si>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</si>
  <si>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</si>
  <si>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Company GICS Sector:</t>
  </si>
  <si>
    <t>Consumer Discretionary</t>
  </si>
  <si>
    <t>&lt;- Select Industry</t>
  </si>
  <si>
    <t>ESG Analysis</t>
  </si>
  <si>
    <t>Relative ESG Analysis</t>
  </si>
  <si>
    <t>Parameters</t>
  </si>
  <si>
    <t>Impact</t>
  </si>
  <si>
    <t>Do they report?</t>
  </si>
  <si>
    <t>Ranking</t>
  </si>
  <si>
    <t>Mitigation Plan</t>
  </si>
  <si>
    <t>Traffic Lights</t>
  </si>
  <si>
    <t>Improvement over time?</t>
  </si>
  <si>
    <t>Targets / Goals?</t>
  </si>
  <si>
    <t>Comments</t>
  </si>
  <si>
    <t>DIAGEO</t>
  </si>
  <si>
    <t>Carlsberg</t>
  </si>
  <si>
    <t>Heineken</t>
  </si>
  <si>
    <t>Constellation Brands</t>
  </si>
  <si>
    <t>Brown-Forman</t>
  </si>
  <si>
    <t>Molson Coors</t>
  </si>
  <si>
    <t>Environmental</t>
  </si>
  <si>
    <t>Ratios</t>
  </si>
  <si>
    <t>CO2 Direct Emissions</t>
  </si>
  <si>
    <t>CO2 Emissions/$M Sales</t>
  </si>
  <si>
    <t>Total Water Consumption</t>
  </si>
  <si>
    <t>Water Consumption/$M Sales</t>
  </si>
  <si>
    <t>Total Energy Consumption</t>
  </si>
  <si>
    <t>"Best in class"</t>
  </si>
  <si>
    <t>The company's energy strategy acknowledges climate change and rising energy costs. They aim to use 100% renewable energy by 2030. Their approach focuses on using less energy, switching to renewables, and reducing energy in their supply chain. Progress is monitored regularly. The total energy consumption is decreasing from 2022 to 2023, driven mainly by the decrease in Non-renewable energy (as shown in their sustainability Report from 7,077 to 6,798 meaning a decrease of 3.9%)</t>
  </si>
  <si>
    <t>Energy Consumption/$M Sales</t>
  </si>
  <si>
    <t>Waste Management</t>
  </si>
  <si>
    <t>Medium High</t>
  </si>
  <si>
    <t>The goal is to eliminate waste in direct operations and prevent waste from going to landfills in the supply chain. Performance is measured through reductions in waste sent to landfills compared to previous years and the total volume of waste disposed of. The definition of zero waste involves disposing of less than 0.2% of waste volume annually, excluding waste due to local regulations.</t>
  </si>
  <si>
    <t>Waste Production/$M Sales</t>
  </si>
  <si>
    <t>Land Degradation/Deforestation/Biodiversity loss/Animal sufering/…</t>
  </si>
  <si>
    <t>The company's operations are closely tied to important ecosystems, where getting raw materials can sometimes harm habitats and water quality. To fix this, the company is taking care of nature by checking how their actions affect plants and animals and make plans to help. Their big goal is to stop any more damage to nature by 2025 for some of their suppliers and by 2030 for others. They're also trying out new ways of farming to be kinder to the environment.</t>
  </si>
  <si>
    <t>Inputs</t>
  </si>
  <si>
    <t>Social</t>
  </si>
  <si>
    <t>Net Sales ($M)</t>
  </si>
  <si>
    <t>Employee Turnover %</t>
  </si>
  <si>
    <t>Medium</t>
  </si>
  <si>
    <t>Employee turnover in fiscal year 23 amounted to 16.3%, driven by voluntary departures accounting for 9.5% and involuntary departures for 5.4%. The main reasons behind the involuntary departures were organizational changes and one-time disposals in certain business segments. The remaining 1.4% turnover was attributed to other factors, including retirements and the conclusion of fixed-term contracts. Comparing these numbers with peers we can see that the employee turnover in the industry is higher than the average (Carlsberg 15%, Heineken 24.09%, Constellation Brands n.d., Brown-Forman Group n.d., Molson Coors n.d.)</t>
  </si>
  <si>
    <t>CO2 Emissions Total (Tonnes)</t>
  </si>
  <si>
    <t>Salaries &amp; Compensation</t>
  </si>
  <si>
    <t>Diageo has overall ratings higher than competitors according to Glassdoor</t>
  </si>
  <si>
    <t>Water Consumption Total (Cubic Meters)</t>
  </si>
  <si>
    <t>Reputation</t>
  </si>
  <si>
    <t>Energy Consumption Total (Gigajoules)</t>
  </si>
  <si>
    <t>Discrimination Events</t>
  </si>
  <si>
    <t>Waste Production Total (Tonnes)</t>
  </si>
  <si>
    <t>Work Safety</t>
  </si>
  <si>
    <t xml:space="preserve"> Achieving a leading total recordable accident frequency rate (TRAFR) of less than 3.5 per 1,000 people;
Achieving less than one lost-time accident (LTA) per 1,000 people and no fatalities</t>
  </si>
  <si>
    <t>The company implemented Global Risk Management Standards (GRMS) for occupational health and safety, which are applicable to all its operations and business units. These standards aim to ensure that everyone, regardless of location, is safer when working on-site, at home, or on the road. In 2023 the TRAFR was 2.06, the LTA was 0.91% decreasing from the 1.1% in 2022, meaning that Diageo succesfully reached its tragets. No fatalities in 2023.</t>
  </si>
  <si>
    <t>ESG Scores</t>
  </si>
  <si>
    <t>Damage to consumer health</t>
  </si>
  <si>
    <t>Preventing harmful use of alcohol; Ensuring responsible marketing/retailing of alcohol; Promoting moderation</t>
  </si>
  <si>
    <t>Diageo Consumer Information Standard; positive drinking people, meaninng people who drinks responsively thanks to a Diageo support programme went from 607,374 to 1,985,817 (Source: Diageo)</t>
  </si>
  <si>
    <t>Refinitiv</t>
  </si>
  <si>
    <t>76 (10/129) (80/91/46)</t>
  </si>
  <si>
    <t>73 (15/129) (66/80/67)</t>
  </si>
  <si>
    <t>66 (25/129) (68/72/55)</t>
  </si>
  <si>
    <t>35 (90/129) (15/53/27)</t>
  </si>
  <si>
    <t>59 (41/129) (58/58/63)</t>
  </si>
  <si>
    <t>67 (24/129) (61/67/72)</t>
  </si>
  <si>
    <t>PXP?</t>
  </si>
  <si>
    <t>Diageo operates a several number of pension plans all over the world, considering government's conditions and policies</t>
  </si>
  <si>
    <t>Sustainalytics</t>
  </si>
  <si>
    <t>19.3 Low Risk</t>
  </si>
  <si>
    <t>23.4 Medium Risk</t>
  </si>
  <si>
    <t>23.9 Medium Risk</t>
  </si>
  <si>
    <t>26.7 Medium Risk</t>
  </si>
  <si>
    <t>22.3 Medium Risk</t>
  </si>
  <si>
    <t>25.5 Medium Risk</t>
  </si>
  <si>
    <t>Supply chain</t>
  </si>
  <si>
    <t>Diageo collaborates with its suppliers to support them in managing social and environmental risks while promoting positive impacts. Diageo is a member of the CDP Supply Chain and Water Security programs, throughout which the company engages key suppliers to measure and manage their carbon emissions and water-related impacts.Over 81% of the volume of raw materials it uses comes from suppliers located within the same country where its sites are located. The locations mentioned are where the company has operations. So, for the sites in India, Ireland, Mexico, Turkey, the United Kingdom, and the United States, the company primarily sources its raw materials from suppliers within those respective countries. during fiscal year 23, 72% of the volume of agricultural raw materials used in these African operations came from suppliers located within Africa itself.</t>
  </si>
  <si>
    <t>ISS</t>
  </si>
  <si>
    <t>C+</t>
  </si>
  <si>
    <t>C</t>
  </si>
  <si>
    <t>D+</t>
  </si>
  <si>
    <t>C-</t>
  </si>
  <si>
    <t>Community involvement</t>
  </si>
  <si>
    <t>CDP</t>
  </si>
  <si>
    <t>A / A-</t>
  </si>
  <si>
    <t>A- / A-</t>
  </si>
  <si>
    <t>B / A-</t>
  </si>
  <si>
    <t>B / B</t>
  </si>
  <si>
    <t>A- / B</t>
  </si>
  <si>
    <t>Public Sector</t>
  </si>
  <si>
    <t>Diageo is not part-owned by any government</t>
  </si>
  <si>
    <t>Litigation</t>
  </si>
  <si>
    <t>Corporate Governance</t>
  </si>
  <si>
    <t>PARAMETERS</t>
  </si>
  <si>
    <t>Diversity (Gender, Age, Industry, Region)</t>
  </si>
  <si>
    <t>ambition to achieve 50% representation of women in leadership roles by 2030; ambition to achieve an increase representation of leaders from ethnically diverse backgrounds to
45% by 2030 (Source: Diageo's sustainability report 2023)</t>
  </si>
  <si>
    <t>The company's aim is to enhance representation of women and individuals from ethnically diverse backgrounds in leadership positions, promoting progressive marketing through media spend and influence, collaborating with diverse creative teams and suppliers, and providing support to local communities by offering hospitality and business skills training. The board was composed by 11 members, of which eight members
of the Board were women and four members of the Board were from ethnic minority backgrounds (2023)</t>
  </si>
  <si>
    <t>IMPACT</t>
  </si>
  <si>
    <t>RANKING</t>
  </si>
  <si>
    <t>MITIGATION PLAN</t>
  </si>
  <si>
    <t>% Independence</t>
  </si>
  <si>
    <t>66.67% of independence (Source: Refinitiv)</t>
  </si>
  <si>
    <t>Low</t>
  </si>
  <si>
    <t>Is there evidence of a plan/program ?</t>
  </si>
  <si>
    <t>average time as independent directors</t>
  </si>
  <si>
    <t>between 3 and 4 years (Source: Corporate Governance Report 2023 Diageo)</t>
  </si>
  <si>
    <t>Recent departures of directors / C-level executives?</t>
  </si>
  <si>
    <t>Recent departure of ex-CEO Ivan Menezes in March 2023. Debra Crew took over</t>
  </si>
  <si>
    <t>High</t>
  </si>
  <si>
    <t>CEO/Chairman duality</t>
  </si>
  <si>
    <t>Chairman is a Non Executive Director</t>
  </si>
  <si>
    <t>Very high</t>
  </si>
  <si>
    <t>"Villain"</t>
  </si>
  <si>
    <t>Transparency (ESG, segments, acquisitions, other)</t>
  </si>
  <si>
    <t>Information are public</t>
  </si>
  <si>
    <t>Time taken to report after the end of the quarter / year</t>
  </si>
  <si>
    <t>30 days; the fiscal year ends in June, and the annual report is presented on last days of July</t>
  </si>
  <si>
    <t>Additional participation of the CEO in other boards or excessive participation of Ch.</t>
  </si>
  <si>
    <t>CEO has a current external appointment as Non-executive director at Stanley, Black &amp; Decker, Inc.</t>
  </si>
  <si>
    <t>Audit / Consulting</t>
  </si>
  <si>
    <t>No evidence of audit fees</t>
  </si>
  <si>
    <t>ESG-compensation related</t>
  </si>
  <si>
    <t>Not mentioned or reported</t>
  </si>
  <si>
    <t>Management compensation schemes</t>
  </si>
  <si>
    <t>VALUATION MODEL</t>
  </si>
  <si>
    <t>Short Term</t>
  </si>
  <si>
    <t>Long Term</t>
  </si>
  <si>
    <t>Section</t>
  </si>
  <si>
    <t>Line #</t>
  </si>
  <si>
    <t>ITEM</t>
  </si>
  <si>
    <t>2021 (Real)</t>
  </si>
  <si>
    <t>2022 (Real)</t>
  </si>
  <si>
    <t>2023 (Real)</t>
  </si>
  <si>
    <t>INCOME STATEMENT</t>
  </si>
  <si>
    <t>Growth</t>
  </si>
  <si>
    <t>Revenues/Sales</t>
  </si>
  <si>
    <t>EBIT/Operating Margin</t>
  </si>
  <si>
    <t>5a</t>
  </si>
  <si>
    <t>(Dep)</t>
  </si>
  <si>
    <t>5b</t>
  </si>
  <si>
    <t>(Amort)</t>
  </si>
  <si>
    <t>5c</t>
  </si>
  <si>
    <t>(Stock based compensation)</t>
  </si>
  <si>
    <t>(Net financing cost)</t>
  </si>
  <si>
    <t>Other income/(cost)</t>
  </si>
  <si>
    <t>Earnings before taxes</t>
  </si>
  <si>
    <t>(Income tax)</t>
  </si>
  <si>
    <t>Net income</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</si>
  <si>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</si>
  <si>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</si>
  <si>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</si>
  <si>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</si>
  <si>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</si>
  <si>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</si>
  <si>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</si>
  <si>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</si>
  <si>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</si>
  <si>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</si>
  <si>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</si>
  <si>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</si>
  <si>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</si>
  <si>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</si>
  <si>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</si>
  <si>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</si>
  <si>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</si>
  <si>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</si>
  <si>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</si>
  <si>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</si>
  <si>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</si>
  <si>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</si>
  <si>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</si>
  <si>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</si>
  <si>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</si>
  <si>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</si>
  <si>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</si>
  <si>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</si>
  <si>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</si>
  <si>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</si>
  <si>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</si>
  <si>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</si>
  <si>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</si>
  <si>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</si>
  <si>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</si>
  <si>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</si>
  <si>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</si>
  <si>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</si>
  <si>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Depreciation factor</t>
  </si>
  <si>
    <t>% PPE</t>
  </si>
  <si>
    <t>Rf</t>
  </si>
  <si>
    <t>Equity Premium</t>
  </si>
  <si>
    <t>Amortization factor</t>
  </si>
  <si>
    <t>% IA</t>
  </si>
  <si>
    <t>NAM</t>
  </si>
  <si>
    <t>Stock-based comp</t>
  </si>
  <si>
    <t>% revenue</t>
  </si>
  <si>
    <t>Tax Rate</t>
  </si>
  <si>
    <t>% (line 9)</t>
  </si>
  <si>
    <t>Asia pacific</t>
  </si>
  <si>
    <t>Interest Rate on debt</t>
  </si>
  <si>
    <t>% debt (l29)</t>
  </si>
  <si>
    <t>Interest Rate on cash</t>
  </si>
  <si>
    <t>% of cash (l28)</t>
  </si>
  <si>
    <t>PPE+ROA</t>
  </si>
  <si>
    <t>Growing with capex</t>
  </si>
  <si>
    <t>Working capital flows</t>
  </si>
  <si>
    <t>% of change revenues (l2)</t>
  </si>
  <si>
    <t>Intangible Assets</t>
  </si>
  <si>
    <t>Growing with amortization</t>
  </si>
  <si>
    <t>Capex</t>
  </si>
  <si>
    <t>% revenue (l2)</t>
  </si>
  <si>
    <t>Acquisition factor</t>
  </si>
  <si>
    <t>% net income (11)</t>
  </si>
  <si>
    <t>Repurchases</t>
  </si>
  <si>
    <t>Leases</t>
  </si>
  <si>
    <t>Cash Costs for EBIT</t>
  </si>
  <si>
    <t>% EBITDA</t>
  </si>
  <si>
    <t>$ millions</t>
  </si>
  <si>
    <t>Value of flows</t>
  </si>
  <si>
    <t>Value of perpetuity</t>
  </si>
  <si>
    <t>Total Value</t>
  </si>
  <si>
    <t>Actual share price</t>
  </si>
  <si>
    <t>Total value vs Mkt Cap</t>
  </si>
  <si>
    <t>Estimated NPV per share</t>
  </si>
  <si>
    <t>Sensibility</t>
  </si>
  <si>
    <t>Sensitivity +0.1%</t>
  </si>
  <si>
    <t>Sensitivity +0.5%</t>
  </si>
  <si>
    <t>Notes</t>
  </si>
  <si>
    <t>x\</t>
  </si>
  <si>
    <t>Assumptions</t>
  </si>
  <si>
    <t>Prospects:</t>
  </si>
  <si>
    <t>Links:</t>
  </si>
  <si>
    <t xml:space="preserve">Average </t>
  </si>
  <si>
    <t>Short Term Forecast</t>
  </si>
  <si>
    <t>Long Term Forecast</t>
  </si>
  <si>
    <t>Revenue growth</t>
  </si>
  <si>
    <t>Damodaran Alcoholic beverage operating margin</t>
  </si>
  <si>
    <t>Modelling Factors</t>
  </si>
  <si>
    <t>Last 5 Years</t>
  </si>
  <si>
    <t>Reference</t>
  </si>
  <si>
    <t xml:space="preserve">CAPEX </t>
  </si>
  <si>
    <t>Forecasts</t>
  </si>
  <si>
    <t>TBA DIAGEO market share</t>
  </si>
  <si>
    <t>Delta</t>
  </si>
  <si>
    <t>TBA value</t>
  </si>
  <si>
    <t>CAGR</t>
  </si>
  <si>
    <t>Revenues in  millions $</t>
  </si>
  <si>
    <t>long term inflation</t>
  </si>
  <si>
    <t>Div</t>
  </si>
  <si>
    <t>NI</t>
  </si>
  <si>
    <t>%</t>
  </si>
  <si>
    <t>Coverage ratio</t>
  </si>
  <si>
    <t>I</t>
  </si>
  <si>
    <t>EBT</t>
  </si>
  <si>
    <t>T</t>
  </si>
  <si>
    <t>T/EBT</t>
  </si>
  <si>
    <t>CapEx</t>
  </si>
  <si>
    <t>Revenues</t>
  </si>
  <si>
    <t>Factor</t>
  </si>
  <si>
    <t>Acquisitions</t>
  </si>
  <si>
    <t>repurchases</t>
  </si>
  <si>
    <t>revenue</t>
  </si>
  <si>
    <t>Stock based compensation</t>
  </si>
  <si>
    <t>changes in NWC</t>
  </si>
  <si>
    <t>Retained earnings</t>
  </si>
  <si>
    <t>factor</t>
  </si>
  <si>
    <t>Rates</t>
  </si>
  <si>
    <t>£ million</t>
  </si>
  <si>
    <t>Nominal Value</t>
  </si>
  <si>
    <t>Bank overdrafts 36 74</t>
  </si>
  <si>
    <t>Commercial paper 198 —</t>
  </si>
  <si>
    <t>Bank and other loans 121 105</t>
  </si>
  <si>
    <t>Credit support obligations 15 (19)</t>
  </si>
  <si>
    <t>$300 million 8% bonds due 2022(1) — 248</t>
  </si>
  <si>
    <t>$1,350 million 2.625% bonds due 2023(2) — 1,115</t>
  </si>
  <si>
    <t>€600 million 0.125% bonds due 2023 513 —</t>
  </si>
  <si>
    <t>$500 million 3.5% bonds due 2023(2) 397 —</t>
  </si>
  <si>
    <t>€500 million 0.5% bonds due 2024 427 —</t>
  </si>
  <si>
    <t>Fair value adjustment to borrowings (6) (1)</t>
  </si>
  <si>
    <t>Borrowings due within one year 1,701 1,522</t>
  </si>
  <si>
    <t>Investment grade bonds - Upper medium grade</t>
  </si>
  <si>
    <t>€600 million 0.125% bonds due 2023 — 516</t>
  </si>
  <si>
    <t>Diageo completed several acquisitions in the past years</t>
  </si>
  <si>
    <t>$500 million 3.5% bonds due 2023(2) — 413</t>
  </si>
  <si>
    <t>€500 million 0.5% bonds due 2024 — 430</t>
  </si>
  <si>
    <t>$600 million 2.125% bonds due 2024(2) 476 495</t>
  </si>
  <si>
    <t>€500 million 1.75% bonds due 2024 427 430</t>
  </si>
  <si>
    <t>$500 million 5.2% bonds due 2025(2) 396 —</t>
  </si>
  <si>
    <t>$750 million 1.375% bonds due 2025(2) 594 618</t>
  </si>
  <si>
    <t>€600 million 1% bonds due 2025 511 515</t>
  </si>
  <si>
    <t>€ 500 million 3.5% bonds due 2025 427 —</t>
  </si>
  <si>
    <t>€850 million 2.375% bonds due 2026 725 731</t>
  </si>
  <si>
    <t>£500 million 1.75% bonds due 2026 497 498</t>
  </si>
  <si>
    <t>$750 million 5.3% bonds due 2027(2) 593 —</t>
  </si>
  <si>
    <t>€750 million 1.875% bonds due 2027 638 643</t>
  </si>
  <si>
    <t>€500 million 1.5% bonds due 2027 426 430</t>
  </si>
  <si>
    <t>Borrowings due within the short-term period considered (till 2027)</t>
  </si>
  <si>
    <t>€700 million 0.125% bonds due 2028 595 600</t>
  </si>
  <si>
    <t>$500 million 3.875% bonds due 2028(2) 395 411</t>
  </si>
  <si>
    <t>BS measure</t>
  </si>
  <si>
    <t>£300 million 2.375% bonds due 2028 298 298</t>
  </si>
  <si>
    <t>$1,000 million 2.375% bonds due 2029(2) 787 819</t>
  </si>
  <si>
    <t>Debt</t>
  </si>
  <si>
    <t>£300 million 2.875% bonds due 2029 299 298</t>
  </si>
  <si>
    <t>Adjustment</t>
  </si>
  <si>
    <t>€750 million 1.15% bonds due 2029 640 645</t>
  </si>
  <si>
    <t>$1,000 million 2% bonds due 2030(2) 789 821</t>
  </si>
  <si>
    <t>€1,000 million 2.5% bonds due 2032 850 856</t>
  </si>
  <si>
    <t>$750 million 2.125% bonds due 2032(2) 590 614</t>
  </si>
  <si>
    <t>£400 million 1.25% bonds due 2033 396 395</t>
  </si>
  <si>
    <t>$750 million 5.5% bonds due 2033(2) 590 —</t>
  </si>
  <si>
    <t>€900 million 1.15% bonds due 2034 764 770</t>
  </si>
  <si>
    <t>$400 million 7.45% bonds due 2035(1) 317 331</t>
  </si>
  <si>
    <t>$600 million 5.875% bonds due 2036(2) 472 491</t>
  </si>
  <si>
    <t>£600 million 2.75% bonds due 2038 595 595</t>
  </si>
  <si>
    <t>$500 million 4.25% bonds due 2042(1) 393 409</t>
  </si>
  <si>
    <t>$500 million 3.875% bonds due 2043(2) 391 407</t>
  </si>
  <si>
    <t>Bank and other loans 296 293</t>
  </si>
  <si>
    <t>Fair value adjustment to borrowings (366) (274)</t>
  </si>
  <si>
    <t>Borrowings due in the long-term period</t>
  </si>
  <si>
    <t>Borrowings due after one year 14,801 14,498</t>
  </si>
  <si>
    <t>Total borrowings before derivative financial instruments 16,502 16,020</t>
  </si>
  <si>
    <t>Fair value of cross currency interest rate swaps (348) (367)</t>
  </si>
  <si>
    <t>Fair value of foreign currency swaps and forwards 1 11</t>
  </si>
  <si>
    <t>Fair value of interest rate hedging instruments 377 283</t>
  </si>
  <si>
    <t>Lease liabilities 448 475</t>
  </si>
  <si>
    <t>Gross borrowings 16,980 16,422</t>
  </si>
  <si>
    <t>Less: Cash and cash equivalents (1,439) (2,285)</t>
  </si>
  <si>
    <t>Net borrowings 15,541 14,137</t>
  </si>
  <si>
    <t>Weighted Average Cost of Debt</t>
  </si>
  <si>
    <t>GDP USA</t>
  </si>
  <si>
    <t>UK GDP</t>
  </si>
  <si>
    <t>INDIA GDP</t>
  </si>
  <si>
    <t>Mexico GDP</t>
  </si>
  <si>
    <t>BRAZIL GDP</t>
  </si>
  <si>
    <t>"Total GDP"</t>
  </si>
  <si>
    <t>40% US,20% UK, 20% INDIA, 20% MEXICO and BRAZIL</t>
  </si>
  <si>
    <t>11856105,8</t>
  </si>
  <si>
    <t>NET SALES</t>
  </si>
  <si>
    <t>GROWTH DECAY</t>
  </si>
  <si>
    <t>0,4%</t>
  </si>
  <si>
    <t>20 582</t>
  </si>
  <si>
    <t>20 539</t>
  </si>
  <si>
    <t>17 128</t>
  </si>
  <si>
    <t>14 799</t>
  </si>
  <si>
    <t>16 647</t>
  </si>
  <si>
    <t>16 366</t>
  </si>
  <si>
    <t>15 273</t>
  </si>
  <si>
    <t>15 532</t>
  </si>
  <si>
    <t>17 002</t>
  </si>
  <si>
    <t>16 670</t>
  </si>
  <si>
    <t>17 719</t>
  </si>
  <si>
    <t>5 965</t>
  </si>
  <si>
    <t>5 793</t>
  </si>
  <si>
    <t>5 038</t>
  </si>
  <si>
    <t>2 662</t>
  </si>
  <si>
    <t>5 404</t>
  </si>
  <si>
    <t>4 967</t>
  </si>
  <si>
    <t>4 536</t>
  </si>
  <si>
    <t>4 391</t>
  </si>
  <si>
    <t>4 985</t>
  </si>
  <si>
    <t>4 626</t>
  </si>
  <si>
    <t>5 169</t>
  </si>
  <si>
    <t>AVG 10 Y</t>
  </si>
  <si>
    <t>https://pages.stern.nyu.edu/~adamodar/New_Home_Page/datafile/margin.html</t>
  </si>
  <si>
    <t>Damodoran source says operating margin of alcoholic beverages is about 21%, as i think water stress might effect this business, I believe all companies operating margins will decrease</t>
  </si>
  <si>
    <t>AVG 10y no covid</t>
  </si>
  <si>
    <t>LT</t>
  </si>
  <si>
    <t>in the short term it might be constant the avg of 10 y</t>
  </si>
  <si>
    <t>but in long term it might decrease it will be probably be higher than average industry but with threats to its manufacture such as water stress in North America, India, Turkey and Mexico, it will get a lower operating margin</t>
  </si>
  <si>
    <t>Operating margin forecast</t>
  </si>
  <si>
    <t>28,27%</t>
  </si>
  <si>
    <t>27,55%</t>
  </si>
  <si>
    <t>26,82%</t>
  </si>
  <si>
    <t>26,09%</t>
  </si>
  <si>
    <t>25,36%</t>
  </si>
  <si>
    <t>24,64%</t>
  </si>
  <si>
    <t>23,91%</t>
  </si>
  <si>
    <t>23,18%</t>
  </si>
  <si>
    <t>22,45%</t>
  </si>
  <si>
    <t>21,73%</t>
  </si>
  <si>
    <t>21,00%</t>
  </si>
  <si>
    <t>Degrowth</t>
  </si>
  <si>
    <t>-0,73%</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</si>
  <si>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</si>
  <si>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</si>
  <si>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</si>
  <si>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</si>
  <si>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</si>
  <si>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</si>
  <si>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</si>
  <si>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</si>
  <si>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</si>
  <si>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</si>
  <si>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</si>
  <si>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</si>
  <si>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</si>
  <si>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</si>
  <si>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</si>
  <si>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</si>
  <si>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</si>
  <si>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</si>
  <si>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</si>
  <si>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</si>
  <si>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</si>
  <si>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</si>
  <si>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Direct CO2 emissions</t>
  </si>
  <si>
    <t>Cable &amp; Satellite</t>
  </si>
  <si>
    <t>Consumer Staples</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</si>
  <si>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</si>
  <si>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</si>
  <si>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</si>
  <si>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</si>
  <si>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</si>
  <si>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</si>
  <si>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</si>
  <si>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</si>
  <si>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</si>
  <si>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</si>
  <si>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</si>
  <si>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</si>
  <si>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</si>
  <si>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</si>
  <si>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</si>
  <si>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</si>
  <si>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</si>
  <si>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</si>
  <si>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</si>
  <si>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</si>
  <si>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</si>
  <si>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</si>
  <si>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</si>
  <si>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</si>
  <si>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</si>
  <si>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</si>
  <si>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</si>
  <si>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</si>
  <si>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</si>
  <si>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</si>
  <si>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</si>
  <si>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</si>
  <si>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</si>
  <si>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</si>
  <si>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</si>
  <si>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</si>
  <si>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</si>
  <si>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</si>
  <si>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</si>
  <si>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</si>
  <si>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</si>
  <si>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</si>
  <si>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</si>
  <si>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</si>
  <si>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</si>
  <si>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</si>
  <si>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</si>
  <si>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</si>
  <si>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</si>
  <si>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</si>
  <si>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</si>
  <si>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</si>
  <si>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</si>
  <si>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</si>
  <si>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</si>
  <si>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</si>
  <si>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</si>
  <si>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</si>
  <si>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</si>
  <si>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</si>
  <si>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</si>
  <si>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</si>
  <si>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</si>
  <si>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</si>
  <si>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</si>
  <si>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</si>
  <si>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</si>
  <si>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</si>
  <si>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</si>
  <si>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</si>
  <si>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</si>
  <si>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</si>
  <si>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</si>
  <si>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</si>
  <si>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</si>
  <si>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</si>
  <si>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</si>
  <si>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</si>
  <si>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</si>
  <si>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</si>
  <si>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</si>
  <si>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</si>
  <si>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</si>
  <si>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</si>
  <si>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</si>
  <si>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</si>
  <si>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</si>
  <si>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</si>
  <si>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</si>
  <si>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</si>
  <si>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</si>
  <si>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</si>
  <si>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</si>
  <si>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</si>
  <si>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</si>
  <si>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</si>
  <si>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</si>
  <si>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</si>
  <si>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</si>
  <si>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</si>
  <si>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</si>
  <si>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</si>
  <si>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</si>
  <si>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</si>
  <si>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</si>
  <si>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</si>
  <si>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</si>
  <si>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</si>
  <si>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</si>
  <si>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</si>
  <si>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</si>
  <si>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</si>
  <si>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</si>
  <si>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</si>
  <si>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</si>
  <si>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</si>
  <si>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</si>
  <si>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</si>
  <si>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</si>
  <si>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</si>
  <si>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</si>
  <si>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</si>
  <si>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</si>
  <si>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</si>
  <si>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</si>
  <si>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</si>
  <si>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</si>
  <si>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</si>
  <si>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</si>
  <si>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</si>
  <si>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</si>
  <si>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</si>
  <si>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</si>
  <si>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</si>
  <si>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</si>
  <si>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</si>
  <si>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</si>
  <si>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Results</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</si>
  <si>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</si>
  <si>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</si>
  <si>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</si>
  <si>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</si>
  <si>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</si>
  <si>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</si>
  <si>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</si>
  <si>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</si>
  <si>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</si>
  <si>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</si>
  <si>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Share buyback</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</si>
  <si>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</si>
  <si>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</si>
  <si>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</si>
  <si>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</si>
  <si>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</si>
  <si>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</si>
  <si>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</si>
  <si>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</si>
  <si>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</si>
  <si>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</si>
  <si>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</si>
  <si>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</si>
  <si>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</si>
  <si>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</si>
  <si>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</si>
  <si>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</si>
  <si>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</si>
  <si>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</si>
  <si>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</si>
  <si>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</si>
  <si>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</si>
  <si>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</si>
  <si>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</si>
  <si>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</si>
  <si>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</si>
  <si>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</si>
  <si>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</si>
  <si>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</si>
  <si>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</si>
  <si>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</si>
  <si>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</si>
  <si>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Figures in Millions of GBp</t>
  </si>
  <si>
    <t>Company</t>
  </si>
  <si>
    <t>Report in millions</t>
  </si>
  <si>
    <t>RESULTS</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</si>
  <si>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</si>
  <si>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</si>
  <si>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</si>
  <si>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</si>
  <si>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</si>
  <si>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</si>
  <si>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</si>
  <si>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</si>
  <si>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</si>
  <si>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</si>
  <si>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</si>
  <si>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</si>
  <si>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</si>
  <si>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</si>
  <si>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</si>
  <si>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</si>
  <si>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</si>
  <si>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</si>
  <si>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</si>
  <si>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</si>
  <si>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</si>
  <si>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Weighted Average Shares (Diluted NI)</t>
  </si>
  <si>
    <t>Net gains (losses) from ForEx</t>
  </si>
  <si>
    <t>Total Comprehensive Income</t>
  </si>
  <si>
    <t>cash flows</t>
  </si>
  <si>
    <t>NWC</t>
  </si>
  <si>
    <t>Net Working Capital</t>
  </si>
  <si>
    <t xml:space="preserve">  + Dividendos pagados</t>
  </si>
  <si>
    <t>Cambiar signo</t>
  </si>
  <si>
    <t xml:space="preserve">    + Aumento en capital</t>
  </si>
  <si>
    <t xml:space="preserve">    + Baja en capital</t>
  </si>
  <si>
    <t>Cambiar signo y hacer suma</t>
  </si>
  <si>
    <t>ASSETS</t>
  </si>
  <si>
    <t>Current</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</si>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</sst>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176" formatCode="_-* #,##0.00\ &quot;€&quot;_-;\-* #,##0.00\ &quot;€&quot;_-;_-* &quot;-&quot;??\ &quot;€&quot;_-;_-@_-"/>
    <numFmt numFmtId="177" formatCode="_-&quot;$&quot;* #,##0.00_-;\-&quot;$&quot;* #,##0.00_-;_-&quot;$&quot;* &quot;-&quot;??_-;_-@_-"/>
    <numFmt numFmtId="178" formatCode="&quot;$&quot;#,##0.00"/>
    <numFmt numFmtId="179" formatCode="&quot;$&quot;#,##0"/>
    <numFmt numFmtId="180" formatCode="0.0%"/>
    <numFmt numFmtId="181" formatCode="0.0"/>
    <numFmt numFmtId="182" formatCode="#,##0.0"/>
    <numFmt numFmtId="183" formatCode="[$$-409]#,##0.00_ ;\-[$$-409]#,##0.00\ "/>
    <numFmt numFmtId="184" formatCode="[$$-409]#,##0.00"/>
    <numFmt numFmtId="185" formatCode="[$$-409]#,##0"/>
    <numFmt numFmtId="186" formatCode="_-[$$-409]* #,##0.00_ ;_-[$$-409]* \-#,##0.00\ ;_-[$$-409]* &quot;-&quot;??_ ;_-@_ "/>
    <numFmt numFmtId="187" formatCode="0.000000"/>
    <numFmt numFmtId="188" formatCode="_([$$-409]* #,##0.00_);_([$$-409]* \(#,##0.00\);_([$$-409]* &quot;-&quot;??_);_(@_)"/>
    <numFmt numFmtId="189" formatCode="0.000%"/>
    <numFmt numFmtId="190" formatCode="&quot;€&quot;#,##0.00"/>
    <numFmt numFmtId="191" formatCode="#,##0.000"/>
  </numFmts>
  <fonts count="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sz val="12"/>
      <name val="Arial"/>
      <family val="2"/>
    </font>
    <font>
      <b/>
      <sz val="11"/>
      <color rgb="FF374151"/>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b/>
      <sz val="20"/>
      <color theme="0"/>
      <name val="Arial"/>
      <family val="2"/>
    </font>
    <font>
      <b/>
      <sz val="20"/>
      <color rgb="FF374151"/>
      <name val="Arial"/>
      <family val="2"/>
    </font>
    <font>
      <b/>
      <sz val="20"/>
      <name val="Arial"/>
      <family val="2"/>
    </font>
    <font>
      <sz val="10"/>
      <color theme="6" tint="-0.249977111117893"/>
      <name val="Arial"/>
      <family val="2"/>
    </font>
    <font>
      <sz val="11"/>
      <color rgb="FF242424"/>
      <name val="Aptos Narrow"/>
      <family val="2"/>
    </font>
    <font>
      <sz val="11"/>
      <name val="Calibri"/>
      <family val="2"/>
      <charset val="1"/>
    </font>
    <font>
      <b/>
      <sz val="12"/>
      <color rgb="FFFFFFFF"/>
      <name val="Arial"/>
      <family val="2"/>
      <charset val="1"/>
    </font>
    <font>
      <sz val="10"/>
      <color rgb="FF000000"/>
      <name val="Calibri"/>
      <family val="2"/>
    </font>
    <font>
      <sz val="11"/>
      <color rgb="FF006100"/>
      <name val="Calibri"/>
      <family val="2"/>
      <scheme val="minor"/>
    </font>
    <font>
      <b/>
      <sz val="11"/>
      <color rgb="FF3F3F3F"/>
      <name val="Calibri"/>
      <family val="2"/>
      <scheme val="minor"/>
    </font>
    <font>
      <sz val="11"/>
      <color rgb="FF9C0006"/>
      <name val="Calibri"/>
      <family val="2"/>
      <scheme val="minor"/>
    </font>
    <font>
      <sz val="11"/>
      <color rgb="FF3F3F76"/>
      <name val="Calibri"/>
      <family val="2"/>
      <scheme val="minor"/>
    </font>
    <font>
      <b/>
      <u/>
      <sz val="10"/>
      <color theme="1"/>
      <name val="Arial"/>
      <family val="2"/>
    </font>
  </fonts>
  <fills count="60">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rgb="FFE26B0A"/>
        <bgColor indexed="64"/>
      </patternFill>
    </fill>
    <fill>
      <patternFill patternType="solid">
        <fgColor rgb="FFBFBFBF"/>
        <bgColor rgb="FF000000"/>
      </patternFill>
    </fill>
    <fill>
      <patternFill patternType="solid">
        <fgColor rgb="FFFF7C80"/>
        <bgColor indexed="64"/>
      </patternFill>
    </fill>
    <fill>
      <patternFill patternType="solid">
        <fgColor rgb="FFC6EFCE"/>
      </patternFill>
    </fill>
    <fill>
      <patternFill patternType="solid">
        <fgColor rgb="FFF2F2F2"/>
      </patternFill>
    </fill>
    <fill>
      <patternFill patternType="solid">
        <fgColor theme="6"/>
        <bgColor indexed="64"/>
      </patternFill>
    </fill>
    <fill>
      <patternFill patternType="solid">
        <fgColor rgb="FFFFC7CE"/>
      </patternFill>
    </fill>
    <fill>
      <patternFill patternType="solid">
        <fgColor rgb="FFFFCC99"/>
      </patternFill>
    </fill>
    <fill>
      <patternFill patternType="solid">
        <fgColor theme="0" tint="-0.34998626667073579"/>
        <bgColor indexed="64"/>
      </patternFill>
    </fill>
    <fill>
      <patternFill patternType="solid">
        <fgColor rgb="FFC65911"/>
        <bgColor rgb="FF000000"/>
      </patternFill>
    </fill>
    <fill>
      <patternFill patternType="solid">
        <fgColor rgb="FF339966"/>
        <bgColor rgb="FF000000"/>
      </patternFill>
    </fill>
    <fill>
      <patternFill patternType="solid">
        <fgColor rgb="FFFFC000"/>
        <bgColor indexed="64"/>
      </patternFill>
    </fill>
    <fill>
      <patternFill patternType="solid">
        <fgColor theme="9"/>
        <bgColor indexed="64"/>
      </patternFill>
    </fill>
  </fills>
  <borders count="294">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right style="medium">
        <color theme="3"/>
      </right>
      <top/>
      <bottom style="thin">
        <color theme="0" tint="-0.249977111117893"/>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indexed="64"/>
      </left>
      <right style="medium">
        <color rgb="FF1F497D"/>
      </right>
      <top style="thin">
        <color indexed="64"/>
      </top>
      <bottom style="thin">
        <color indexed="64"/>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top style="medium">
        <color theme="3"/>
      </top>
      <bottom style="medium">
        <color theme="3"/>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right style="medium">
        <color indexed="64"/>
      </right>
      <top style="medium">
        <color rgb="FF1F497D"/>
      </top>
      <bottom style="medium">
        <color rgb="FF1F497D"/>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right style="medium">
        <color rgb="FF1F497D"/>
      </right>
      <top style="medium">
        <color rgb="FF1F497D"/>
      </top>
      <bottom style="medium">
        <color theme="0" tint="-0.24994659260841701"/>
      </bottom>
      <diagonal/>
    </border>
    <border>
      <left/>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style="medium">
        <color indexed="64"/>
      </top>
      <bottom style="medium">
        <color rgb="FF000000"/>
      </bottom>
      <diagonal/>
    </border>
    <border>
      <left/>
      <right style="thin">
        <color indexed="64"/>
      </right>
      <top style="medium">
        <color indexed="64"/>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theme="3"/>
      </right>
      <top/>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style="medium">
        <color rgb="FF000000"/>
      </left>
      <right style="thin">
        <color theme="0" tint="-0.24994659260841701"/>
      </right>
      <top style="medium">
        <color rgb="FF000000"/>
      </top>
      <bottom style="medium">
        <color rgb="FF000000"/>
      </bottom>
      <diagonal/>
    </border>
    <border>
      <left style="thin">
        <color theme="0" tint="-0.24994659260841701"/>
      </left>
      <right style="thin">
        <color theme="0" tint="-0.24994659260841701"/>
      </right>
      <top style="medium">
        <color rgb="FF000000"/>
      </top>
      <bottom style="medium">
        <color rgb="FF000000"/>
      </bottom>
      <diagonal/>
    </border>
    <border>
      <left style="thin">
        <color theme="0" tint="-0.24994659260841701"/>
      </left>
      <right style="medium">
        <color rgb="FF000000"/>
      </right>
      <top style="medium">
        <color rgb="FF000000"/>
      </top>
      <bottom style="medium">
        <color rgb="FF000000"/>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rgb="FF1F497D"/>
      </left>
      <right/>
      <top/>
      <bottom style="thin">
        <color theme="0" tint="-0.24994659260841701"/>
      </bottom>
      <diagonal/>
    </border>
    <border>
      <left style="medium">
        <color indexed="64"/>
      </left>
      <right/>
      <top style="thin">
        <color indexed="64"/>
      </top>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top/>
      <bottom style="thin">
        <color rgb="FF000000"/>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indexed="64"/>
      </right>
      <top style="medium">
        <color rgb="FF000000"/>
      </top>
      <bottom style="thin">
        <color indexed="64"/>
      </bottom>
      <diagonal/>
    </border>
    <border>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thin">
        <color indexed="64"/>
      </left>
      <right style="medium">
        <color rgb="FF000000"/>
      </right>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indexed="64"/>
      </right>
      <top style="thin">
        <color indexed="64"/>
      </top>
      <bottom style="medium">
        <color rgb="FF000000"/>
      </bottom>
      <diagonal/>
    </border>
    <border>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right/>
      <top style="medium">
        <color indexed="64"/>
      </top>
      <bottom/>
      <diagonal/>
    </border>
    <border>
      <left/>
      <right style="medium">
        <color theme="3"/>
      </right>
      <top style="thin">
        <color theme="0" tint="-0.249977111117893"/>
      </top>
      <bottom style="thin">
        <color theme="0" tint="-0.249977111117893"/>
      </bottom>
      <diagonal/>
    </border>
    <border>
      <left style="medium">
        <color indexed="64"/>
      </left>
      <right/>
      <top style="thin">
        <color indexed="64"/>
      </top>
      <bottom style="thin">
        <color indexed="64"/>
      </bottom>
      <diagonal/>
    </border>
    <border>
      <left style="thin">
        <color rgb="FF1F497D"/>
      </left>
      <right/>
      <top/>
      <bottom/>
      <diagonal/>
    </border>
    <border>
      <left style="thin">
        <color rgb="FF1F497D"/>
      </left>
      <right style="thin">
        <color rgb="FF1F497D"/>
      </right>
      <top style="thin">
        <color rgb="FF1F497D"/>
      </top>
      <bottom/>
      <diagonal/>
    </border>
    <border>
      <left style="thin">
        <color rgb="FF1F497D"/>
      </left>
      <right style="thin">
        <color rgb="FF1F497D"/>
      </right>
      <top/>
      <bottom/>
      <diagonal/>
    </border>
    <border>
      <left style="thin">
        <color rgb="FF1F497D"/>
      </left>
      <right style="thin">
        <color rgb="FF1F497D"/>
      </right>
      <top/>
      <bottom style="thin">
        <color rgb="FF1F497D"/>
      </bottom>
      <diagonal/>
    </border>
    <border>
      <left style="thin">
        <color rgb="FF1F497D"/>
      </left>
      <right/>
      <top style="thin">
        <color rgb="FF1F497D"/>
      </top>
      <bottom/>
      <diagonal/>
    </border>
    <border>
      <left/>
      <right/>
      <top style="thin">
        <color rgb="FF1F497D"/>
      </top>
      <bottom/>
      <diagonal/>
    </border>
    <border>
      <left/>
      <right style="thin">
        <color rgb="FF1F497D"/>
      </right>
      <top style="thin">
        <color rgb="FF1F497D"/>
      </top>
      <bottom/>
      <diagonal/>
    </border>
    <border>
      <left/>
      <right style="thin">
        <color rgb="FF1F497D"/>
      </right>
      <top/>
      <bottom/>
      <diagonal/>
    </border>
    <border>
      <left style="thin">
        <color rgb="FF1F497D"/>
      </left>
      <right/>
      <top/>
      <bottom style="thin">
        <color rgb="FF1F497D"/>
      </bottom>
      <diagonal/>
    </border>
    <border>
      <left/>
      <right/>
      <top/>
      <bottom style="thin">
        <color rgb="FF1F497D"/>
      </bottom>
      <diagonal/>
    </border>
    <border>
      <left/>
      <right style="thin">
        <color rgb="FF1F497D"/>
      </right>
      <top/>
      <bottom style="thin">
        <color rgb="FF1F497D"/>
      </bottom>
      <diagonal/>
    </border>
    <border>
      <left/>
      <right/>
      <top style="thin">
        <color rgb="FF000000"/>
      </top>
      <bottom style="thin">
        <color rgb="FF1F497D"/>
      </bottom>
      <diagonal/>
    </border>
    <border>
      <left/>
      <right style="thin">
        <color rgb="FF1F497D"/>
      </right>
      <top style="thin">
        <color rgb="FF000000"/>
      </top>
      <bottom/>
      <diagonal/>
    </border>
    <border>
      <left style="thin">
        <color rgb="FF1F497D"/>
      </left>
      <right/>
      <top style="thin">
        <color rgb="FF000000"/>
      </top>
      <bottom/>
      <diagonal/>
    </border>
    <border>
      <left/>
      <right style="thin">
        <color rgb="FF000000"/>
      </right>
      <top style="thin">
        <color rgb="FF1F497D"/>
      </top>
      <bottom/>
      <diagonal/>
    </border>
    <border>
      <left/>
      <right style="thin">
        <color rgb="FF000000"/>
      </right>
      <top/>
      <bottom style="thin">
        <color rgb="FF1F497D"/>
      </bottom>
      <diagonal/>
    </border>
    <border>
      <left/>
      <right style="thin">
        <color rgb="FF1F497D"/>
      </right>
      <top/>
      <bottom style="thin">
        <color rgb="FF000000"/>
      </bottom>
      <diagonal/>
    </border>
    <border>
      <left/>
      <right/>
      <top style="thin">
        <color rgb="FF1F497D"/>
      </top>
      <bottom style="thin">
        <color rgb="FF000000"/>
      </bottom>
      <diagonal/>
    </border>
    <border>
      <left style="thin">
        <color rgb="FF1F497D"/>
      </left>
      <right style="thin">
        <color rgb="FF1F497D"/>
      </right>
      <top style="thin">
        <color rgb="FF1F497D"/>
      </top>
      <bottom style="thin">
        <color rgb="FF000000"/>
      </bottom>
      <diagonal/>
    </border>
    <border>
      <left/>
      <right/>
      <top style="thin">
        <color theme="0" tint="-0.249977111117893"/>
      </top>
      <bottom/>
      <diagonal/>
    </border>
    <border>
      <left/>
      <right style="thin">
        <color theme="0" tint="-0.249977111117893"/>
      </right>
      <top style="thin">
        <color theme="0" tint="-0.249977111117893"/>
      </top>
      <bottom/>
      <diagonal/>
    </border>
    <border>
      <left/>
      <right style="thin">
        <color theme="0" tint="-0.249977111117893"/>
      </right>
      <top/>
      <bottom/>
      <diagonal/>
    </border>
    <border>
      <left style="medium">
        <color rgb="FF1F497D"/>
      </left>
      <right style="medium">
        <color rgb="FF1F497D"/>
      </right>
      <top/>
      <bottom style="thin">
        <color rgb="FFBFBFBF"/>
      </bottom>
      <diagonal/>
    </border>
    <border>
      <left/>
      <right/>
      <top style="medium">
        <color rgb="FF1F497D"/>
      </top>
      <bottom style="thin">
        <color theme="0" tint="-0.24994659260841701"/>
      </bottom>
      <diagonal/>
    </border>
    <border>
      <left/>
      <right style="medium">
        <color rgb="FF1F497D"/>
      </right>
      <top style="medium">
        <color theme="3"/>
      </top>
      <bottom style="medium">
        <color theme="3"/>
      </bottom>
      <diagonal/>
    </border>
    <border>
      <left style="medium">
        <color rgb="FF1F497D"/>
      </left>
      <right/>
      <top style="medium">
        <color rgb="FF1F497D"/>
      </top>
      <bottom style="medium">
        <color theme="3"/>
      </bottom>
      <diagonal/>
    </border>
    <border>
      <left/>
      <right/>
      <top style="medium">
        <color rgb="FF1F497D"/>
      </top>
      <bottom style="medium">
        <color theme="3"/>
      </bottom>
      <diagonal/>
    </border>
    <border>
      <left/>
      <right style="medium">
        <color rgb="FF1F497D"/>
      </right>
      <top style="medium">
        <color rgb="FF1F497D"/>
      </top>
      <bottom style="medium">
        <color theme="3"/>
      </bottom>
      <diagonal/>
    </border>
    <border>
      <left style="medium">
        <color rgb="FF1F497D"/>
      </left>
      <right/>
      <top style="medium">
        <color rgb="FF1F497D"/>
      </top>
      <bottom style="thin">
        <color theme="0" tint="-0.499984740745262"/>
      </bottom>
      <diagonal/>
    </border>
    <border>
      <left/>
      <right/>
      <top style="medium">
        <color rgb="FF1F497D"/>
      </top>
      <bottom style="thin">
        <color theme="0" tint="-0.499984740745262"/>
      </bottom>
      <diagonal/>
    </border>
    <border>
      <left/>
      <right style="medium">
        <color rgb="FF1F497D"/>
      </right>
      <top style="medium">
        <color rgb="FF1F497D"/>
      </top>
      <bottom style="thin">
        <color theme="0" tint="-0.499984740745262"/>
      </bottom>
      <diagonal/>
    </border>
    <border>
      <left/>
      <right style="medium">
        <color rgb="FF1F497D"/>
      </right>
      <top/>
      <bottom style="thin">
        <color rgb="FFBFBFBF"/>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right/>
      <top style="medium">
        <color rgb="FFE5EBF4"/>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thin">
        <color rgb="FF7F7F7F"/>
      </left>
      <right style="thin">
        <color rgb="FF7F7F7F"/>
      </right>
      <top style="thin">
        <color rgb="FF7F7F7F"/>
      </top>
      <bottom style="thin">
        <color rgb="FF7F7F7F"/>
      </bottom>
      <diagonal/>
    </border>
    <border>
      <left style="thin">
        <color rgb="FF1F497D"/>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rgb="FF1F497D"/>
      </left>
      <right/>
      <top style="thin">
        <color theme="0" tint="-0.24994659260841701"/>
      </top>
      <bottom/>
      <diagonal/>
    </border>
    <border>
      <left style="medium">
        <color rgb="FF000000"/>
      </left>
      <right style="medium">
        <color rgb="FF000000"/>
      </right>
      <top style="medium">
        <color rgb="FF000000"/>
      </top>
      <bottom style="medium">
        <color rgb="FF000000"/>
      </bottom>
      <diagonal/>
    </border>
    <border>
      <left/>
      <right style="medium">
        <color rgb="FF1F497D"/>
      </right>
      <top/>
      <bottom style="medium">
        <color rgb="FF000000"/>
      </bottom>
      <diagonal/>
    </border>
    <border>
      <left/>
      <right style="medium">
        <color rgb="FF000000"/>
      </right>
      <top/>
      <bottom style="thin">
        <color theme="0" tint="-0.24994659260841701"/>
      </bottom>
      <diagonal/>
    </border>
    <border>
      <left style="medium">
        <color rgb="FF000000"/>
      </left>
      <right/>
      <top/>
      <bottom style="thin">
        <color rgb="FFBFBFBF"/>
      </bottom>
      <diagonal/>
    </border>
    <border>
      <left style="medium">
        <color rgb="FF000000"/>
      </left>
      <right style="medium">
        <color rgb="FF1F497D"/>
      </right>
      <top style="medium">
        <color rgb="FF000000"/>
      </top>
      <bottom style="thin">
        <color theme="0" tint="-0.24994659260841701"/>
      </bottom>
      <diagonal/>
    </border>
    <border>
      <left style="medium">
        <color rgb="FF1F497D"/>
      </left>
      <right style="medium">
        <color rgb="FF1F497D"/>
      </right>
      <top style="medium">
        <color rgb="FF000000"/>
      </top>
      <bottom style="thin">
        <color theme="0" tint="-0.24994659260841701"/>
      </bottom>
      <diagonal/>
    </border>
    <border>
      <left style="medium">
        <color rgb="FF1F497D"/>
      </left>
      <right style="medium">
        <color rgb="FF000000"/>
      </right>
      <top style="medium">
        <color rgb="FF000000"/>
      </top>
      <bottom style="thin">
        <color theme="0" tint="-0.24994659260841701"/>
      </bottom>
      <diagonal/>
    </border>
    <border>
      <left style="medium">
        <color rgb="FF000000"/>
      </left>
      <right style="medium">
        <color rgb="FF1F497D"/>
      </right>
      <top/>
      <bottom style="thin">
        <color theme="0" tint="-0.24994659260841701"/>
      </bottom>
      <diagonal/>
    </border>
  </borders>
  <cellStyleXfs count="38">
    <xf numFmtId="0" fontId="0" fillId="0" borderId="0"/>
    <xf numFmtId="0" fontId="16" fillId="2" borderId="1" applyNumberFormat="0" applyProtection="0">
      <alignment horizontal="left" vertical="center" readingOrder="1"/>
    </xf>
    <xf numFmtId="0" fontId="17" fillId="2" borderId="2">
      <alignment horizontal="left"/>
    </xf>
    <xf numFmtId="0" fontId="17" fillId="2" borderId="3">
      <alignment horizontal="right"/>
    </xf>
    <xf numFmtId="0" fontId="17" fillId="2" borderId="3">
      <alignment horizontal="left"/>
    </xf>
    <xf numFmtId="3" fontId="18" fillId="3" borderId="4">
      <alignment horizontal="right"/>
    </xf>
    <xf numFmtId="182" fontId="11" fillId="3" borderId="4">
      <alignment horizontal="right"/>
    </xf>
    <xf numFmtId="4" fontId="11" fillId="3" borderId="4">
      <alignment horizontal="right"/>
    </xf>
    <xf numFmtId="0" fontId="20" fillId="4" borderId="5" applyNumberFormat="0" applyAlignment="0" applyProtection="0"/>
    <xf numFmtId="0" fontId="18" fillId="3" borderId="6"/>
    <xf numFmtId="0" fontId="19" fillId="3" borderId="6"/>
    <xf numFmtId="0" fontId="10" fillId="0" borderId="0" applyNumberFormat="0" applyFill="0" applyBorder="0" applyAlignment="0" applyProtection="0">
      <alignment vertical="top"/>
      <protection locked="0"/>
    </xf>
    <xf numFmtId="177" fontId="22" fillId="0" borderId="0" applyFont="0" applyFill="0" applyBorder="0" applyAlignment="0" applyProtection="0"/>
    <xf numFmtId="177" fontId="12" fillId="0" borderId="0" applyFont="0" applyFill="0" applyBorder="0" applyAlignment="0" applyProtection="0"/>
    <xf numFmtId="0" fontId="24" fillId="0" borderId="0"/>
    <xf numFmtId="0" fontId="12" fillId="0" borderId="0"/>
    <xf numFmtId="9" fontId="8" fillId="0" borderId="0" applyFont="0" applyFill="0" applyBorder="0" applyAlignment="0" applyProtection="0"/>
    <xf numFmtId="9" fontId="22" fillId="0" borderId="0" applyFont="0" applyFill="0" applyBorder="0" applyAlignment="0" applyProtection="0"/>
    <xf numFmtId="9" fontId="12" fillId="0" borderId="0" applyFont="0" applyFill="0" applyBorder="0" applyAlignment="0" applyProtection="0"/>
    <xf numFmtId="9" fontId="24"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0" fontId="88" fillId="50" borderId="0" applyNumberFormat="0" applyBorder="0" applyAlignment="0" applyProtection="0"/>
    <xf numFmtId="0" fontId="89" fillId="51" borderId="280" applyNumberFormat="0" applyAlignment="0" applyProtection="0"/>
    <xf numFmtId="0" fontId="90" fillId="53" borderId="0" applyNumberFormat="0" applyBorder="0" applyAlignment="0" applyProtection="0"/>
    <xf numFmtId="0" fontId="91" fillId="54" borderId="282" applyNumberFormat="0" applyAlignment="0" applyProtection="0"/>
  </cellStyleXfs>
  <cellXfs count="1245">
    <xf numFmtId="0" fontId="0" fillId="0" borderId="0" xfId="0"/>
    <xf numFmtId="9" fontId="0" fillId="0" borderId="0" xfId="16" applyFont="1" applyAlignment="1">
      <alignment horizontal="center"/>
    </xf>
    <xf numFmtId="0" fontId="0" fillId="0" borderId="0" xfId="0" applyAlignment="1">
      <alignment horizontal="center"/>
    </xf>
    <xf numFmtId="179" fontId="0" fillId="0" borderId="0" xfId="0" applyNumberFormat="1"/>
    <xf numFmtId="10" fontId="0" fillId="0" borderId="0" xfId="0" applyNumberFormat="1" applyAlignment="1">
      <alignment horizontal="center"/>
    </xf>
    <xf numFmtId="180" fontId="0" fillId="0" borderId="0" xfId="0" applyNumberFormat="1" applyAlignment="1">
      <alignment horizontal="center"/>
    </xf>
    <xf numFmtId="0" fontId="26" fillId="0" borderId="0" xfId="0" applyFont="1"/>
    <xf numFmtId="0" fontId="15" fillId="0" borderId="18" xfId="0" applyFont="1" applyBorder="1"/>
    <xf numFmtId="0" fontId="13" fillId="0" borderId="21" xfId="0" applyFont="1" applyBorder="1" applyAlignment="1">
      <alignment horizontal="center"/>
    </xf>
    <xf numFmtId="0" fontId="23" fillId="0" borderId="0" xfId="0" applyFont="1"/>
    <xf numFmtId="0" fontId="8" fillId="0" borderId="0" xfId="0" applyFont="1"/>
    <xf numFmtId="0" fontId="8" fillId="0" borderId="18" xfId="0" applyFont="1" applyBorder="1"/>
    <xf numFmtId="0" fontId="8" fillId="0" borderId="18" xfId="0" applyFont="1" applyBorder="1" applyAlignment="1">
      <alignment horizontal="left"/>
    </xf>
    <xf numFmtId="0" fontId="13" fillId="0" borderId="0" xfId="0" applyFont="1"/>
    <xf numFmtId="179" fontId="13" fillId="0" borderId="0" xfId="0" applyNumberFormat="1" applyFont="1" applyAlignment="1">
      <alignment horizontal="center"/>
    </xf>
    <xf numFmtId="9" fontId="13" fillId="0" borderId="0" xfId="16" applyFont="1"/>
    <xf numFmtId="9" fontId="8" fillId="8" borderId="18" xfId="16" applyFont="1" applyFill="1" applyBorder="1" applyAlignment="1">
      <alignment horizontal="center"/>
    </xf>
    <xf numFmtId="10" fontId="8" fillId="8" borderId="18" xfId="0" applyNumberFormat="1" applyFont="1" applyFill="1" applyBorder="1" applyAlignment="1">
      <alignment horizontal="center"/>
    </xf>
    <xf numFmtId="0" fontId="8" fillId="8" borderId="25" xfId="0" applyFont="1" applyFill="1" applyBorder="1" applyAlignment="1">
      <alignment horizontal="center" vertical="center"/>
    </xf>
    <xf numFmtId="0" fontId="26" fillId="8" borderId="0" xfId="0" applyFont="1" applyFill="1"/>
    <xf numFmtId="0" fontId="33" fillId="0" borderId="0" xfId="0" applyFont="1"/>
    <xf numFmtId="0" fontId="26" fillId="8" borderId="0" xfId="0" applyFont="1" applyFill="1" applyAlignment="1">
      <alignment horizontal="center"/>
    </xf>
    <xf numFmtId="0" fontId="35" fillId="0" borderId="0" xfId="0" applyFont="1"/>
    <xf numFmtId="0" fontId="35" fillId="12" borderId="0" xfId="0" applyFont="1" applyFill="1"/>
    <xf numFmtId="3" fontId="35" fillId="0" borderId="0" xfId="0" applyNumberFormat="1" applyFont="1" applyAlignment="1">
      <alignment horizontal="center"/>
    </xf>
    <xf numFmtId="0" fontId="35" fillId="0" borderId="0" xfId="0" applyFont="1" applyAlignment="1">
      <alignment horizontal="left"/>
    </xf>
    <xf numFmtId="0" fontId="35" fillId="19" borderId="0" xfId="0" applyFont="1" applyFill="1"/>
    <xf numFmtId="3" fontId="35" fillId="19" borderId="0" xfId="0" applyNumberFormat="1" applyFont="1" applyFill="1" applyAlignment="1">
      <alignment horizontal="center"/>
    </xf>
    <xf numFmtId="0" fontId="0" fillId="12" borderId="0" xfId="0" applyFill="1"/>
    <xf numFmtId="3" fontId="35" fillId="0" borderId="0" xfId="0" applyNumberFormat="1" applyFont="1"/>
    <xf numFmtId="3" fontId="36" fillId="19" borderId="0" xfId="0" applyNumberFormat="1" applyFont="1" applyFill="1" applyAlignment="1">
      <alignment horizontal="center"/>
    </xf>
    <xf numFmtId="3" fontId="35" fillId="12" borderId="0" xfId="0" applyNumberFormat="1" applyFont="1" applyFill="1" applyAlignment="1">
      <alignment horizontal="center"/>
    </xf>
    <xf numFmtId="3" fontId="36" fillId="12" borderId="0" xfId="0" applyNumberFormat="1" applyFont="1" applyFill="1" applyAlignment="1">
      <alignment horizontal="center"/>
    </xf>
    <xf numFmtId="0" fontId="19" fillId="3" borderId="6" xfId="10"/>
    <xf numFmtId="0" fontId="0" fillId="20" borderId="0" xfId="0" applyFill="1"/>
    <xf numFmtId="3" fontId="23" fillId="0" borderId="0" xfId="0" applyNumberFormat="1" applyFont="1" applyAlignment="1">
      <alignment horizontal="center"/>
    </xf>
    <xf numFmtId="3" fontId="23" fillId="0" borderId="0" xfId="0" applyNumberFormat="1" applyFont="1"/>
    <xf numFmtId="0" fontId="0" fillId="21" borderId="0" xfId="0" applyFill="1"/>
    <xf numFmtId="3" fontId="23" fillId="19" borderId="0" xfId="0" applyNumberFormat="1" applyFont="1" applyFill="1" applyAlignment="1">
      <alignment horizontal="center"/>
    </xf>
    <xf numFmtId="0" fontId="23" fillId="19" borderId="0" xfId="0" applyFont="1" applyFill="1"/>
    <xf numFmtId="0" fontId="0" fillId="22" borderId="0" xfId="0" applyFill="1"/>
    <xf numFmtId="182" fontId="35" fillId="0" borderId="0" xfId="0" applyNumberFormat="1" applyFont="1" applyAlignment="1">
      <alignment horizontal="center"/>
    </xf>
    <xf numFmtId="9" fontId="0" fillId="8" borderId="18" xfId="16" applyFont="1" applyFill="1" applyBorder="1" applyAlignment="1">
      <alignment horizontal="center"/>
    </xf>
    <xf numFmtId="0" fontId="0" fillId="0" borderId="42" xfId="0" applyBorder="1"/>
    <xf numFmtId="0" fontId="38" fillId="0" borderId="0" xfId="0" applyFont="1"/>
    <xf numFmtId="0" fontId="39" fillId="0" borderId="0" xfId="0" applyFont="1"/>
    <xf numFmtId="0" fontId="40" fillId="0" borderId="0" xfId="0" applyFont="1" applyAlignment="1">
      <alignment horizontal="center"/>
    </xf>
    <xf numFmtId="181" fontId="39" fillId="0" borderId="0" xfId="0" applyNumberFormat="1" applyFont="1" applyAlignment="1">
      <alignment horizontal="center"/>
    </xf>
    <xf numFmtId="0" fontId="41" fillId="0" borderId="0" xfId="0" applyFont="1"/>
    <xf numFmtId="0" fontId="42" fillId="0" borderId="0" xfId="0" applyFont="1"/>
    <xf numFmtId="0" fontId="0" fillId="0" borderId="12" xfId="0" applyBorder="1"/>
    <xf numFmtId="0" fontId="23" fillId="0" borderId="0" xfId="0" applyFont="1" applyAlignment="1">
      <alignment horizontal="center"/>
    </xf>
    <xf numFmtId="0" fontId="39" fillId="0" borderId="0" xfId="0" applyFont="1" applyAlignment="1">
      <alignment horizontal="center"/>
    </xf>
    <xf numFmtId="179" fontId="8" fillId="24" borderId="18" xfId="0" applyNumberFormat="1" applyFont="1" applyFill="1" applyBorder="1" applyAlignment="1">
      <alignment horizontal="center"/>
    </xf>
    <xf numFmtId="3" fontId="38" fillId="0" borderId="0" xfId="0" applyNumberFormat="1" applyFont="1"/>
    <xf numFmtId="0" fontId="40" fillId="17" borderId="0" xfId="0" applyFont="1" applyFill="1" applyAlignment="1">
      <alignment horizontal="center"/>
    </xf>
    <xf numFmtId="3" fontId="0" fillId="25" borderId="1" xfId="0" applyNumberFormat="1" applyFill="1" applyBorder="1" applyAlignment="1">
      <alignment horizontal="center"/>
    </xf>
    <xf numFmtId="3" fontId="0" fillId="25" borderId="44" xfId="0" applyNumberFormat="1" applyFill="1" applyBorder="1" applyAlignment="1">
      <alignment horizontal="center"/>
    </xf>
    <xf numFmtId="180" fontId="13" fillId="26" borderId="1" xfId="16" applyNumberFormat="1" applyFont="1" applyFill="1" applyBorder="1" applyAlignment="1">
      <alignment horizontal="center"/>
    </xf>
    <xf numFmtId="180" fontId="13" fillId="26" borderId="44" xfId="16" applyNumberFormat="1" applyFont="1" applyFill="1" applyBorder="1" applyAlignment="1">
      <alignment horizontal="center"/>
    </xf>
    <xf numFmtId="3" fontId="0" fillId="25" borderId="1" xfId="16" applyNumberFormat="1" applyFont="1" applyFill="1" applyBorder="1" applyAlignment="1">
      <alignment horizontal="center"/>
    </xf>
    <xf numFmtId="3" fontId="0" fillId="25" borderId="44" xfId="16" applyNumberFormat="1" applyFont="1" applyFill="1" applyBorder="1" applyAlignment="1">
      <alignment horizontal="center"/>
    </xf>
    <xf numFmtId="3" fontId="13" fillId="27" borderId="1" xfId="16" applyNumberFormat="1" applyFont="1" applyFill="1" applyBorder="1" applyAlignment="1">
      <alignment horizontal="center"/>
    </xf>
    <xf numFmtId="3" fontId="0" fillId="0" borderId="0" xfId="0" applyNumberFormat="1" applyAlignment="1">
      <alignment horizontal="center"/>
    </xf>
    <xf numFmtId="181" fontId="0" fillId="0" borderId="0" xfId="0" applyNumberFormat="1" applyAlignment="1">
      <alignment horizontal="center"/>
    </xf>
    <xf numFmtId="182" fontId="35" fillId="19" borderId="0" xfId="0" applyNumberFormat="1" applyFont="1" applyFill="1" applyAlignment="1">
      <alignment horizontal="center"/>
    </xf>
    <xf numFmtId="0" fontId="35" fillId="19" borderId="0" xfId="0" applyFont="1" applyFill="1" applyAlignment="1">
      <alignment horizontal="center"/>
    </xf>
    <xf numFmtId="180" fontId="35" fillId="19" borderId="0" xfId="0" applyNumberFormat="1" applyFont="1" applyFill="1" applyAlignment="1">
      <alignment horizontal="center"/>
    </xf>
    <xf numFmtId="9" fontId="35" fillId="0" borderId="0" xfId="16" applyFont="1" applyFill="1" applyAlignment="1">
      <alignment horizontal="center"/>
    </xf>
    <xf numFmtId="180" fontId="35" fillId="0" borderId="0" xfId="16" applyNumberFormat="1" applyFont="1" applyFill="1" applyAlignment="1">
      <alignment horizontal="center"/>
    </xf>
    <xf numFmtId="9" fontId="35" fillId="0" borderId="0" xfId="22" applyFont="1" applyFill="1" applyAlignment="1">
      <alignment horizontal="center"/>
    </xf>
    <xf numFmtId="184" fontId="8" fillId="24" borderId="18" xfId="0" applyNumberFormat="1" applyFont="1" applyFill="1" applyBorder="1" applyAlignment="1">
      <alignment horizontal="center"/>
    </xf>
    <xf numFmtId="180" fontId="33" fillId="24" borderId="18" xfId="16" applyNumberFormat="1" applyFont="1" applyFill="1" applyBorder="1" applyAlignment="1">
      <alignment horizontal="center"/>
    </xf>
    <xf numFmtId="0" fontId="13" fillId="0" borderId="36" xfId="0" applyFont="1" applyBorder="1"/>
    <xf numFmtId="0" fontId="17" fillId="5" borderId="8" xfId="4" applyFill="1" applyBorder="1" applyAlignment="1"/>
    <xf numFmtId="0" fontId="8" fillId="0" borderId="0" xfId="26"/>
    <xf numFmtId="0" fontId="27" fillId="5" borderId="7" xfId="26" applyFont="1" applyFill="1" applyBorder="1" applyAlignment="1">
      <alignment horizontal="center"/>
    </xf>
    <xf numFmtId="0" fontId="27" fillId="5" borderId="11" xfId="26" applyFont="1" applyFill="1" applyBorder="1" applyAlignment="1">
      <alignment horizontal="center"/>
    </xf>
    <xf numFmtId="0" fontId="29" fillId="3" borderId="10" xfId="10" applyFont="1" applyBorder="1"/>
    <xf numFmtId="0" fontId="8" fillId="0" borderId="0" xfId="26" applyAlignment="1">
      <alignment vertical="center"/>
    </xf>
    <xf numFmtId="0" fontId="29" fillId="3" borderId="13" xfId="10" applyFont="1" applyBorder="1"/>
    <xf numFmtId="0" fontId="29" fillId="0" borderId="10" xfId="10" applyFont="1" applyFill="1" applyBorder="1"/>
    <xf numFmtId="0" fontId="20" fillId="0" borderId="0" xfId="8" applyFill="1" applyBorder="1"/>
    <xf numFmtId="9" fontId="8" fillId="0" borderId="0" xfId="28" applyFont="1"/>
    <xf numFmtId="0" fontId="30" fillId="0" borderId="0" xfId="11" applyFont="1" applyAlignment="1" applyProtection="1"/>
    <xf numFmtId="0" fontId="27" fillId="29" borderId="0" xfId="26" applyFont="1" applyFill="1" applyAlignment="1">
      <alignment horizontal="center" vertical="center"/>
    </xf>
    <xf numFmtId="0" fontId="28" fillId="0" borderId="9" xfId="9" applyFont="1" applyFill="1" applyBorder="1"/>
    <xf numFmtId="0" fontId="19" fillId="3" borderId="13" xfId="10" applyBorder="1"/>
    <xf numFmtId="0" fontId="19" fillId="3" borderId="10" xfId="10" applyBorder="1"/>
    <xf numFmtId="0" fontId="26" fillId="0" borderId="0" xfId="26" applyFont="1"/>
    <xf numFmtId="0" fontId="13" fillId="0" borderId="31" xfId="0" applyFont="1" applyBorder="1"/>
    <xf numFmtId="0" fontId="13" fillId="0" borderId="37" xfId="0" applyFont="1" applyBorder="1"/>
    <xf numFmtId="0" fontId="0" fillId="0" borderId="4" xfId="0" applyBorder="1"/>
    <xf numFmtId="0" fontId="0" fillId="0" borderId="6" xfId="0" applyBorder="1"/>
    <xf numFmtId="0" fontId="0" fillId="0" borderId="35" xfId="0" applyBorder="1"/>
    <xf numFmtId="0" fontId="0" fillId="0" borderId="2" xfId="0" applyBorder="1"/>
    <xf numFmtId="0" fontId="0" fillId="0" borderId="36" xfId="0" applyBorder="1"/>
    <xf numFmtId="0" fontId="0" fillId="0" borderId="31" xfId="0" applyBorder="1"/>
    <xf numFmtId="0" fontId="0" fillId="0" borderId="37" xfId="0" applyBorder="1"/>
    <xf numFmtId="0" fontId="13" fillId="0" borderId="43" xfId="0" applyFont="1" applyBorder="1"/>
    <xf numFmtId="0" fontId="13" fillId="0" borderId="1" xfId="0" applyFont="1" applyBorder="1"/>
    <xf numFmtId="0" fontId="13" fillId="0" borderId="44" xfId="0" applyFont="1" applyBorder="1"/>
    <xf numFmtId="0" fontId="0" fillId="8" borderId="0" xfId="0" applyFill="1"/>
    <xf numFmtId="0" fontId="35" fillId="19" borderId="0" xfId="0" applyFont="1" applyFill="1" applyAlignment="1">
      <alignment horizontal="left" indent="1"/>
    </xf>
    <xf numFmtId="182" fontId="35" fillId="19" borderId="0" xfId="0" applyNumberFormat="1" applyFont="1" applyFill="1" applyAlignment="1">
      <alignment horizontal="left" indent="1"/>
    </xf>
    <xf numFmtId="0" fontId="35" fillId="30" borderId="0" xfId="0" applyFont="1" applyFill="1" applyAlignment="1">
      <alignment horizontal="left" indent="1"/>
    </xf>
    <xf numFmtId="0" fontId="23" fillId="0" borderId="0" xfId="0" applyFont="1" applyAlignment="1">
      <alignment horizontal="left"/>
    </xf>
    <xf numFmtId="0" fontId="27" fillId="32" borderId="27" xfId="0" applyFont="1" applyFill="1" applyBorder="1" applyAlignment="1">
      <alignment horizontal="center"/>
    </xf>
    <xf numFmtId="0" fontId="27" fillId="32" borderId="24" xfId="0" applyFont="1" applyFill="1" applyBorder="1" applyAlignment="1">
      <alignment horizontal="center"/>
    </xf>
    <xf numFmtId="9" fontId="33" fillId="8" borderId="51" xfId="16" applyFont="1" applyFill="1" applyBorder="1" applyAlignment="1">
      <alignment horizontal="center"/>
    </xf>
    <xf numFmtId="9" fontId="8" fillId="8" borderId="51" xfId="16" applyFont="1" applyFill="1" applyBorder="1" applyAlignment="1">
      <alignment horizontal="center"/>
    </xf>
    <xf numFmtId="0" fontId="13" fillId="0" borderId="51" xfId="0" applyFont="1" applyBorder="1" applyAlignment="1">
      <alignment horizontal="center"/>
    </xf>
    <xf numFmtId="180" fontId="33" fillId="24" borderId="51" xfId="16" applyNumberFormat="1" applyFont="1" applyFill="1" applyBorder="1" applyAlignment="1">
      <alignment horizontal="center"/>
    </xf>
    <xf numFmtId="0" fontId="27" fillId="32" borderId="18" xfId="0" applyFont="1" applyFill="1" applyBorder="1" applyAlignment="1">
      <alignment horizontal="center" vertical="center" wrapText="1"/>
    </xf>
    <xf numFmtId="0" fontId="27" fillId="32" borderId="18" xfId="0" applyFont="1" applyFill="1" applyBorder="1" applyAlignment="1">
      <alignment horizontal="center"/>
    </xf>
    <xf numFmtId="0" fontId="8" fillId="8" borderId="18" xfId="0" applyFont="1" applyFill="1" applyBorder="1" applyAlignment="1">
      <alignment vertical="center" wrapText="1"/>
    </xf>
    <xf numFmtId="0" fontId="27" fillId="32" borderId="51" xfId="0" applyFont="1" applyFill="1" applyBorder="1" applyAlignment="1">
      <alignment horizontal="center"/>
    </xf>
    <xf numFmtId="3" fontId="8" fillId="0" borderId="0" xfId="0" applyNumberFormat="1" applyFont="1"/>
    <xf numFmtId="0" fontId="8" fillId="17" borderId="43" xfId="0" applyFont="1" applyFill="1" applyBorder="1"/>
    <xf numFmtId="0" fontId="8" fillId="0" borderId="43" xfId="0" applyFont="1" applyBorder="1" applyAlignment="1">
      <alignment horizontal="left" indent="1"/>
    </xf>
    <xf numFmtId="0" fontId="8" fillId="0" borderId="43" xfId="0" applyFont="1" applyBorder="1" applyAlignment="1">
      <alignment horizontal="left"/>
    </xf>
    <xf numFmtId="0" fontId="8" fillId="17" borderId="43" xfId="0" applyFont="1" applyFill="1" applyBorder="1" applyAlignment="1">
      <alignment horizontal="left" indent="1"/>
    </xf>
    <xf numFmtId="0" fontId="13" fillId="0" borderId="43" xfId="0" applyFont="1" applyBorder="1" applyAlignment="1">
      <alignment horizontal="left"/>
    </xf>
    <xf numFmtId="0" fontId="13" fillId="17" borderId="43" xfId="0" applyFont="1" applyFill="1" applyBorder="1"/>
    <xf numFmtId="0" fontId="8" fillId="0" borderId="43" xfId="0" applyFont="1" applyBorder="1"/>
    <xf numFmtId="185" fontId="8" fillId="24" borderId="18" xfId="0" applyNumberFormat="1" applyFont="1" applyFill="1" applyBorder="1" applyAlignment="1">
      <alignment horizontal="center"/>
    </xf>
    <xf numFmtId="9" fontId="8" fillId="24" borderId="18" xfId="16" applyFont="1" applyFill="1" applyBorder="1" applyAlignment="1">
      <alignment horizontal="center"/>
    </xf>
    <xf numFmtId="179" fontId="8" fillId="7" borderId="18" xfId="0" applyNumberFormat="1" applyFont="1" applyFill="1" applyBorder="1" applyAlignment="1">
      <alignment horizontal="center"/>
    </xf>
    <xf numFmtId="4" fontId="8" fillId="7" borderId="18" xfId="0" applyNumberFormat="1" applyFont="1" applyFill="1" applyBorder="1" applyAlignment="1">
      <alignment horizontal="center"/>
    </xf>
    <xf numFmtId="9" fontId="33" fillId="7" borderId="51" xfId="16" applyFont="1" applyFill="1" applyBorder="1" applyAlignment="1">
      <alignment horizontal="center"/>
    </xf>
    <xf numFmtId="0" fontId="8" fillId="7" borderId="18" xfId="0" applyFont="1" applyFill="1" applyBorder="1"/>
    <xf numFmtId="9" fontId="8" fillId="7" borderId="18" xfId="16" applyFont="1" applyFill="1" applyBorder="1" applyAlignment="1">
      <alignment horizontal="center"/>
    </xf>
    <xf numFmtId="180" fontId="8" fillId="7" borderId="18" xfId="16" applyNumberFormat="1" applyFont="1" applyFill="1" applyBorder="1" applyAlignment="1">
      <alignment horizontal="center"/>
    </xf>
    <xf numFmtId="9" fontId="8" fillId="7" borderId="18" xfId="16" applyFont="1" applyFill="1" applyBorder="1"/>
    <xf numFmtId="185" fontId="33" fillId="8" borderId="51" xfId="16" applyNumberFormat="1" applyFont="1" applyFill="1" applyBorder="1" applyAlignment="1">
      <alignment horizontal="center"/>
    </xf>
    <xf numFmtId="185" fontId="8" fillId="8" borderId="51" xfId="0" applyNumberFormat="1" applyFont="1" applyFill="1" applyBorder="1" applyAlignment="1">
      <alignment horizontal="center"/>
    </xf>
    <xf numFmtId="0" fontId="48" fillId="32" borderId="51" xfId="0" applyFont="1" applyFill="1" applyBorder="1" applyAlignment="1">
      <alignment horizontal="center"/>
    </xf>
    <xf numFmtId="0" fontId="49" fillId="32" borderId="51" xfId="0" applyFont="1" applyFill="1" applyBorder="1" applyAlignment="1">
      <alignment horizontal="center"/>
    </xf>
    <xf numFmtId="179" fontId="13" fillId="24" borderId="18" xfId="0" applyNumberFormat="1" applyFont="1" applyFill="1" applyBorder="1" applyAlignment="1">
      <alignment horizontal="center"/>
    </xf>
    <xf numFmtId="0" fontId="0" fillId="0" borderId="49" xfId="0" applyBorder="1"/>
    <xf numFmtId="0" fontId="0" fillId="0" borderId="68" xfId="0" applyBorder="1"/>
    <xf numFmtId="179" fontId="13" fillId="0" borderId="72" xfId="0" applyNumberFormat="1" applyFont="1" applyBorder="1" applyAlignment="1">
      <alignment horizontal="center"/>
    </xf>
    <xf numFmtId="0" fontId="0" fillId="33" borderId="82" xfId="0" applyFill="1" applyBorder="1"/>
    <xf numFmtId="0" fontId="0" fillId="33" borderId="83" xfId="0" applyFill="1" applyBorder="1"/>
    <xf numFmtId="10" fontId="0" fillId="33" borderId="84" xfId="0" applyNumberFormat="1" applyFill="1" applyBorder="1"/>
    <xf numFmtId="0" fontId="13" fillId="8" borderId="38" xfId="0" applyFont="1" applyFill="1" applyBorder="1" applyAlignment="1">
      <alignment horizontal="center"/>
    </xf>
    <xf numFmtId="9" fontId="0" fillId="0" borderId="85" xfId="16" applyFont="1" applyBorder="1"/>
    <xf numFmtId="0" fontId="13" fillId="14" borderId="64" xfId="0" applyFont="1" applyFill="1" applyBorder="1" applyAlignment="1">
      <alignment horizontal="center"/>
    </xf>
    <xf numFmtId="9" fontId="13" fillId="14" borderId="64" xfId="16" applyFont="1" applyFill="1" applyBorder="1" applyAlignment="1">
      <alignment horizontal="center"/>
    </xf>
    <xf numFmtId="0" fontId="13" fillId="0" borderId="64" xfId="0" applyFont="1" applyBorder="1" applyAlignment="1">
      <alignment horizontal="center"/>
    </xf>
    <xf numFmtId="179" fontId="0" fillId="0" borderId="86" xfId="0" applyNumberFormat="1" applyBorder="1" applyAlignment="1">
      <alignment horizontal="center"/>
    </xf>
    <xf numFmtId="0" fontId="10" fillId="0" borderId="66" xfId="11" applyBorder="1" applyAlignment="1" applyProtection="1">
      <alignment horizontal="center"/>
    </xf>
    <xf numFmtId="0" fontId="0" fillId="0" borderId="66" xfId="0" applyBorder="1" applyAlignment="1">
      <alignment horizontal="center"/>
    </xf>
    <xf numFmtId="0" fontId="0" fillId="0" borderId="66" xfId="0" applyBorder="1"/>
    <xf numFmtId="0" fontId="0" fillId="0" borderId="67" xfId="0" applyBorder="1"/>
    <xf numFmtId="0" fontId="0" fillId="0" borderId="50" xfId="0" applyBorder="1"/>
    <xf numFmtId="0" fontId="0" fillId="0" borderId="72" xfId="0" applyBorder="1"/>
    <xf numFmtId="0" fontId="0" fillId="0" borderId="72" xfId="0" applyBorder="1" applyAlignment="1">
      <alignment horizontal="center"/>
    </xf>
    <xf numFmtId="0" fontId="0" fillId="0" borderId="73" xfId="0" applyBorder="1"/>
    <xf numFmtId="0" fontId="0" fillId="33" borderId="69" xfId="0" applyFill="1" applyBorder="1"/>
    <xf numFmtId="0" fontId="0" fillId="33" borderId="71" xfId="0" applyFill="1" applyBorder="1"/>
    <xf numFmtId="0" fontId="13" fillId="0" borderId="69" xfId="0" applyFont="1" applyBorder="1" applyAlignment="1">
      <alignment horizontal="center"/>
    </xf>
    <xf numFmtId="0" fontId="13" fillId="8" borderId="9" xfId="0" applyFont="1" applyFill="1" applyBorder="1" applyAlignment="1">
      <alignment horizontal="center"/>
    </xf>
    <xf numFmtId="185" fontId="0" fillId="0" borderId="88" xfId="0" applyNumberFormat="1" applyBorder="1" applyAlignment="1">
      <alignment horizontal="center"/>
    </xf>
    <xf numFmtId="185" fontId="0" fillId="0" borderId="90" xfId="0" applyNumberFormat="1" applyBorder="1" applyAlignment="1">
      <alignment horizontal="center"/>
    </xf>
    <xf numFmtId="0" fontId="0" fillId="31" borderId="70" xfId="0" applyFill="1" applyBorder="1"/>
    <xf numFmtId="0" fontId="27" fillId="31" borderId="70" xfId="0" applyFont="1" applyFill="1" applyBorder="1" applyAlignment="1">
      <alignment horizontal="left"/>
    </xf>
    <xf numFmtId="9" fontId="0" fillId="31" borderId="70" xfId="16" applyFont="1" applyFill="1" applyBorder="1" applyAlignment="1">
      <alignment horizontal="center" vertical="center"/>
    </xf>
    <xf numFmtId="183" fontId="27" fillId="31" borderId="71" xfId="0" applyNumberFormat="1" applyFont="1" applyFill="1" applyBorder="1" applyAlignment="1">
      <alignment horizontal="center" vertical="center"/>
    </xf>
    <xf numFmtId="0" fontId="13" fillId="17" borderId="94" xfId="0" applyFont="1" applyFill="1" applyBorder="1"/>
    <xf numFmtId="0" fontId="13" fillId="17" borderId="96" xfId="0" applyFont="1" applyFill="1" applyBorder="1"/>
    <xf numFmtId="185" fontId="0" fillId="0" borderId="97" xfId="0" applyNumberFormat="1" applyBorder="1" applyAlignment="1">
      <alignment horizontal="center"/>
    </xf>
    <xf numFmtId="185" fontId="0" fillId="0" borderId="95" xfId="0" applyNumberFormat="1" applyBorder="1" applyAlignment="1">
      <alignment horizontal="center"/>
    </xf>
    <xf numFmtId="185" fontId="0" fillId="0" borderId="98" xfId="0" applyNumberFormat="1" applyBorder="1" applyAlignment="1">
      <alignment horizontal="center"/>
    </xf>
    <xf numFmtId="0" fontId="27" fillId="32" borderId="99" xfId="0" applyFont="1" applyFill="1" applyBorder="1" applyAlignment="1">
      <alignment horizontal="center"/>
    </xf>
    <xf numFmtId="0" fontId="0" fillId="32" borderId="100" xfId="0" applyFill="1" applyBorder="1"/>
    <xf numFmtId="0" fontId="0" fillId="32" borderId="101" xfId="0" applyFill="1" applyBorder="1"/>
    <xf numFmtId="0" fontId="27" fillId="32" borderId="94" xfId="0" applyFont="1" applyFill="1" applyBorder="1" applyAlignment="1">
      <alignment horizontal="center"/>
    </xf>
    <xf numFmtId="0" fontId="0" fillId="32" borderId="90" xfId="0" applyFill="1" applyBorder="1"/>
    <xf numFmtId="0" fontId="0" fillId="32" borderId="95" xfId="0" applyFill="1" applyBorder="1"/>
    <xf numFmtId="0" fontId="13" fillId="0" borderId="92" xfId="0" applyFont="1" applyBorder="1" applyAlignment="1">
      <alignment horizontal="left" vertical="center"/>
    </xf>
    <xf numFmtId="0" fontId="47" fillId="5" borderId="69" xfId="0" applyFont="1" applyFill="1" applyBorder="1" applyAlignment="1">
      <alignment horizontal="left" vertical="center"/>
    </xf>
    <xf numFmtId="0" fontId="47" fillId="31" borderId="69" xfId="0" applyFont="1" applyFill="1" applyBorder="1" applyAlignment="1">
      <alignment horizontal="left" vertical="center"/>
    </xf>
    <xf numFmtId="0" fontId="13" fillId="8" borderId="92" xfId="0" applyFont="1" applyFill="1" applyBorder="1" applyAlignment="1">
      <alignment horizontal="left" vertical="center"/>
    </xf>
    <xf numFmtId="0" fontId="13" fillId="8" borderId="94" xfId="0" applyFont="1" applyFill="1" applyBorder="1" applyAlignment="1">
      <alignment horizontal="left" vertical="center"/>
    </xf>
    <xf numFmtId="0" fontId="0" fillId="31" borderId="70" xfId="0" applyFill="1" applyBorder="1" applyAlignment="1">
      <alignment horizontal="center"/>
    </xf>
    <xf numFmtId="0" fontId="8" fillId="0" borderId="65" xfId="0" applyFont="1" applyBorder="1"/>
    <xf numFmtId="185" fontId="0" fillId="24" borderId="90" xfId="0" applyNumberFormat="1" applyFill="1" applyBorder="1" applyAlignment="1">
      <alignment horizontal="center"/>
    </xf>
    <xf numFmtId="185" fontId="0" fillId="24" borderId="97" xfId="0" applyNumberFormat="1" applyFill="1" applyBorder="1" applyAlignment="1">
      <alignment horizontal="center"/>
    </xf>
    <xf numFmtId="0" fontId="29" fillId="0" borderId="10" xfId="26" applyFont="1" applyBorder="1" applyAlignment="1">
      <alignment horizontal="center"/>
    </xf>
    <xf numFmtId="0" fontId="29" fillId="0" borderId="15" xfId="26" applyFont="1" applyBorder="1" applyAlignment="1">
      <alignment horizontal="center"/>
    </xf>
    <xf numFmtId="0" fontId="29" fillId="0" borderId="10" xfId="26" applyFont="1" applyBorder="1" applyAlignment="1">
      <alignment horizontal="center" vertical="center"/>
    </xf>
    <xf numFmtId="0" fontId="29" fillId="0" borderId="15" xfId="26" applyFont="1" applyBorder="1" applyAlignment="1">
      <alignment horizontal="center" vertical="center"/>
    </xf>
    <xf numFmtId="0" fontId="29" fillId="0" borderId="14" xfId="26" applyFont="1" applyBorder="1" applyAlignment="1">
      <alignment horizontal="center"/>
    </xf>
    <xf numFmtId="0" fontId="29" fillId="0" borderId="16" xfId="26" applyFont="1" applyBorder="1" applyAlignment="1">
      <alignment horizontal="center"/>
    </xf>
    <xf numFmtId="0" fontId="51" fillId="5" borderId="103" xfId="4" applyFont="1" applyFill="1" applyBorder="1" applyAlignment="1">
      <alignment horizontal="center" vertical="center"/>
    </xf>
    <xf numFmtId="0" fontId="51" fillId="5" borderId="103" xfId="3" applyFont="1" applyFill="1" applyBorder="1" applyAlignment="1">
      <alignment horizontal="center" vertical="center" wrapText="1"/>
    </xf>
    <xf numFmtId="0" fontId="51" fillId="5" borderId="103" xfId="3" applyFont="1" applyFill="1" applyBorder="1" applyAlignment="1">
      <alignment horizontal="center" vertical="center"/>
    </xf>
    <xf numFmtId="0" fontId="8" fillId="3" borderId="103" xfId="10" applyFont="1" applyBorder="1" applyAlignment="1">
      <alignment horizontal="center" vertical="center"/>
    </xf>
    <xf numFmtId="182" fontId="8" fillId="8" borderId="103" xfId="6" applyFont="1" applyFill="1" applyBorder="1" applyAlignment="1">
      <alignment horizontal="right" vertical="center" wrapText="1"/>
    </xf>
    <xf numFmtId="0" fontId="29" fillId="3" borderId="103" xfId="10" applyFont="1" applyBorder="1" applyAlignment="1">
      <alignment vertical="center"/>
    </xf>
    <xf numFmtId="182" fontId="8" fillId="3" borderId="103" xfId="6" applyFont="1" applyBorder="1" applyAlignment="1">
      <alignment horizontal="right" vertical="center" wrapText="1"/>
    </xf>
    <xf numFmtId="0" fontId="29" fillId="3" borderId="103" xfId="10" applyFont="1" applyBorder="1" applyAlignment="1">
      <alignment horizontal="center" vertical="center"/>
    </xf>
    <xf numFmtId="3" fontId="13" fillId="34" borderId="105" xfId="5" applyFont="1" applyFill="1" applyBorder="1" applyAlignment="1">
      <alignment horizontal="center" vertical="center"/>
    </xf>
    <xf numFmtId="0" fontId="13" fillId="0" borderId="0" xfId="26" applyFont="1" applyAlignment="1">
      <alignment vertical="center"/>
    </xf>
    <xf numFmtId="0" fontId="8" fillId="12" borderId="0" xfId="26" applyFill="1" applyAlignment="1">
      <alignment vertical="center"/>
    </xf>
    <xf numFmtId="0" fontId="28" fillId="0" borderId="103" xfId="9" applyFont="1" applyFill="1" applyBorder="1" applyAlignment="1">
      <alignment horizontal="center" vertical="center"/>
    </xf>
    <xf numFmtId="3" fontId="52" fillId="34" borderId="104" xfId="5" applyFont="1" applyFill="1" applyBorder="1" applyAlignment="1">
      <alignment horizontal="right" vertical="center"/>
    </xf>
    <xf numFmtId="3" fontId="52" fillId="34" borderId="105" xfId="5" applyFont="1" applyFill="1" applyBorder="1" applyAlignment="1">
      <alignment horizontal="right" vertical="center"/>
    </xf>
    <xf numFmtId="3" fontId="52" fillId="34" borderId="106" xfId="5" applyFont="1" applyFill="1" applyBorder="1" applyAlignment="1">
      <alignment horizontal="right" vertical="center"/>
    </xf>
    <xf numFmtId="182" fontId="8" fillId="3" borderId="103" xfId="6" applyFont="1" applyBorder="1" applyAlignment="1">
      <alignment horizontal="center" vertical="center"/>
    </xf>
    <xf numFmtId="4" fontId="32" fillId="0" borderId="103" xfId="7" applyFont="1" applyFill="1" applyBorder="1" applyAlignment="1">
      <alignment horizontal="right" vertical="center"/>
    </xf>
    <xf numFmtId="0" fontId="0" fillId="34" borderId="105" xfId="0" applyFill="1" applyBorder="1" applyAlignment="1">
      <alignment horizontal="center" vertical="center"/>
    </xf>
    <xf numFmtId="4" fontId="8" fillId="34" borderId="105" xfId="7" applyFont="1" applyFill="1" applyBorder="1" applyAlignment="1">
      <alignment horizontal="right" vertical="center"/>
    </xf>
    <xf numFmtId="3" fontId="13" fillId="34" borderId="106" xfId="5" applyFont="1" applyFill="1" applyBorder="1" applyAlignment="1">
      <alignment horizontal="right" vertical="center" wrapText="1"/>
    </xf>
    <xf numFmtId="4" fontId="8" fillId="8" borderId="103" xfId="7" applyFont="1" applyFill="1" applyBorder="1" applyAlignment="1">
      <alignment horizontal="right" vertical="center" wrapText="1"/>
    </xf>
    <xf numFmtId="4" fontId="8" fillId="3" borderId="103" xfId="7" applyFont="1" applyBorder="1" applyAlignment="1">
      <alignment horizontal="center" vertical="center"/>
    </xf>
    <xf numFmtId="4" fontId="8" fillId="3" borderId="103" xfId="7" applyFont="1" applyBorder="1" applyAlignment="1">
      <alignment horizontal="right" vertical="center" wrapText="1"/>
    </xf>
    <xf numFmtId="0" fontId="29" fillId="0" borderId="103" xfId="10" applyFont="1" applyFill="1" applyBorder="1" applyAlignment="1">
      <alignment vertical="center"/>
    </xf>
    <xf numFmtId="0" fontId="8" fillId="0" borderId="103" xfId="10" applyFont="1" applyFill="1" applyBorder="1" applyAlignment="1">
      <alignment horizontal="center" vertical="center"/>
    </xf>
    <xf numFmtId="0" fontId="8" fillId="0" borderId="103" xfId="27" applyFont="1" applyBorder="1" applyAlignment="1">
      <alignment horizontal="right" vertical="center" wrapText="1"/>
    </xf>
    <xf numFmtId="3" fontId="13" fillId="34" borderId="104" xfId="5" applyFont="1" applyFill="1" applyBorder="1" applyAlignment="1">
      <alignment horizontal="right" vertical="center"/>
    </xf>
    <xf numFmtId="4" fontId="8" fillId="6" borderId="103" xfId="7" applyFont="1" applyFill="1" applyBorder="1" applyAlignment="1">
      <alignment horizontal="right" vertical="center"/>
    </xf>
    <xf numFmtId="4" fontId="8" fillId="6" borderId="103" xfId="7" applyFont="1" applyFill="1" applyBorder="1" applyAlignment="1">
      <alignment horizontal="center" vertical="center"/>
    </xf>
    <xf numFmtId="4" fontId="8" fillId="0" borderId="103" xfId="7" applyFont="1" applyFill="1" applyBorder="1" applyAlignment="1">
      <alignment horizontal="right" vertical="center" wrapText="1"/>
    </xf>
    <xf numFmtId="0" fontId="29" fillId="3" borderId="103" xfId="10" applyFont="1" applyBorder="1" applyAlignment="1">
      <alignment vertical="center" wrapText="1"/>
    </xf>
    <xf numFmtId="4" fontId="8" fillId="0" borderId="103" xfId="7" applyFont="1" applyFill="1" applyBorder="1" applyAlignment="1">
      <alignment horizontal="center" vertical="center"/>
    </xf>
    <xf numFmtId="0" fontId="51" fillId="32" borderId="103" xfId="3" applyFont="1" applyFill="1" applyBorder="1" applyAlignment="1">
      <alignment horizontal="center" vertical="center" wrapText="1"/>
    </xf>
    <xf numFmtId="0" fontId="8" fillId="0" borderId="103" xfId="26" applyBorder="1"/>
    <xf numFmtId="0" fontId="8" fillId="0" borderId="103" xfId="26" applyBorder="1" applyAlignment="1">
      <alignment vertical="center"/>
    </xf>
    <xf numFmtId="0" fontId="54" fillId="0" borderId="0" xfId="0" applyFont="1"/>
    <xf numFmtId="0" fontId="56" fillId="0" borderId="0" xfId="0" applyFont="1"/>
    <xf numFmtId="0" fontId="13" fillId="0" borderId="37" xfId="0" applyFont="1" applyBorder="1" applyAlignment="1">
      <alignment horizontal="center"/>
    </xf>
    <xf numFmtId="0" fontId="13" fillId="0" borderId="35" xfId="0" applyFont="1" applyBorder="1" applyAlignment="1">
      <alignment horizontal="center"/>
    </xf>
    <xf numFmtId="0" fontId="56" fillId="0" borderId="37" xfId="0" applyFont="1" applyBorder="1" applyAlignment="1">
      <alignment horizontal="center"/>
    </xf>
    <xf numFmtId="0" fontId="56" fillId="0" borderId="35" xfId="0" applyFont="1" applyBorder="1" applyAlignment="1">
      <alignment horizontal="center"/>
    </xf>
    <xf numFmtId="0" fontId="56" fillId="0" borderId="31" xfId="0" applyFont="1" applyBorder="1"/>
    <xf numFmtId="0" fontId="56" fillId="0" borderId="108" xfId="0" applyFont="1" applyBorder="1" applyAlignment="1">
      <alignment horizontal="center" vertical="center"/>
    </xf>
    <xf numFmtId="0" fontId="56" fillId="0" borderId="112" xfId="0" applyFont="1" applyBorder="1" applyAlignment="1">
      <alignment horizontal="center" vertical="center"/>
    </xf>
    <xf numFmtId="0" fontId="8" fillId="0" borderId="31" xfId="0" applyFont="1" applyBorder="1"/>
    <xf numFmtId="0" fontId="13" fillId="12" borderId="115" xfId="0" applyFont="1" applyFill="1" applyBorder="1" applyAlignment="1">
      <alignment horizontal="center"/>
    </xf>
    <xf numFmtId="0" fontId="56" fillId="12" borderId="115" xfId="0" applyFont="1" applyFill="1" applyBorder="1"/>
    <xf numFmtId="0" fontId="56" fillId="12" borderId="121" xfId="0" applyFont="1" applyFill="1" applyBorder="1"/>
    <xf numFmtId="0" fontId="54" fillId="12" borderId="121" xfId="0" applyFont="1" applyFill="1" applyBorder="1"/>
    <xf numFmtId="10" fontId="0" fillId="0" borderId="123" xfId="0" applyNumberFormat="1" applyBorder="1" applyAlignment="1">
      <alignment horizontal="center" vertical="center"/>
    </xf>
    <xf numFmtId="10" fontId="0" fillId="0" borderId="124" xfId="0" applyNumberFormat="1" applyBorder="1" applyAlignment="1">
      <alignment horizontal="center" vertical="center"/>
    </xf>
    <xf numFmtId="0" fontId="56" fillId="0" borderId="125" xfId="0" applyFont="1" applyBorder="1" applyAlignment="1">
      <alignment horizontal="center" vertical="center"/>
    </xf>
    <xf numFmtId="0" fontId="56" fillId="0" borderId="126" xfId="0" applyFont="1" applyBorder="1" applyAlignment="1">
      <alignment horizontal="center" vertical="center"/>
    </xf>
    <xf numFmtId="0" fontId="27" fillId="5" borderId="8" xfId="26" applyFont="1" applyFill="1" applyBorder="1" applyAlignment="1">
      <alignment horizontal="center"/>
    </xf>
    <xf numFmtId="0" fontId="54" fillId="8" borderId="0" xfId="0" applyFont="1" applyFill="1"/>
    <xf numFmtId="0" fontId="58" fillId="42" borderId="0" xfId="0" applyFont="1" applyFill="1"/>
    <xf numFmtId="0" fontId="8" fillId="37" borderId="31" xfId="0" applyFont="1" applyFill="1" applyBorder="1"/>
    <xf numFmtId="0" fontId="56" fillId="0" borderId="131" xfId="0" applyFont="1" applyBorder="1" applyAlignment="1">
      <alignment horizontal="center"/>
    </xf>
    <xf numFmtId="0" fontId="54" fillId="12" borderId="132" xfId="0" applyFont="1" applyFill="1" applyBorder="1" applyAlignment="1">
      <alignment horizontal="center"/>
    </xf>
    <xf numFmtId="0" fontId="8" fillId="39" borderId="132" xfId="0" applyFont="1" applyFill="1" applyBorder="1"/>
    <xf numFmtId="0" fontId="56" fillId="0" borderId="133" xfId="0" applyFont="1" applyBorder="1" applyAlignment="1">
      <alignment horizontal="center"/>
    </xf>
    <xf numFmtId="0" fontId="57" fillId="0" borderId="134" xfId="0" applyFont="1" applyBorder="1" applyAlignment="1">
      <alignment horizontal="center"/>
    </xf>
    <xf numFmtId="0" fontId="13" fillId="0" borderId="135" xfId="0" applyFont="1" applyBorder="1" applyAlignment="1">
      <alignment horizontal="center"/>
    </xf>
    <xf numFmtId="0" fontId="13" fillId="0" borderId="138" xfId="0" applyFont="1" applyBorder="1" applyAlignment="1">
      <alignment horizontal="center"/>
    </xf>
    <xf numFmtId="0" fontId="8" fillId="39" borderId="0" xfId="0" applyFont="1" applyFill="1"/>
    <xf numFmtId="0" fontId="13" fillId="41" borderId="31" xfId="0" quotePrefix="1" applyFont="1" applyFill="1" applyBorder="1"/>
    <xf numFmtId="0" fontId="13" fillId="41" borderId="0" xfId="0" quotePrefix="1" applyFont="1" applyFill="1"/>
    <xf numFmtId="0" fontId="54" fillId="39" borderId="0" xfId="0" applyFont="1" applyFill="1"/>
    <xf numFmtId="0" fontId="13" fillId="37" borderId="31" xfId="0" applyFont="1" applyFill="1" applyBorder="1"/>
    <xf numFmtId="0" fontId="8" fillId="0" borderId="148" xfId="0" applyFont="1" applyBorder="1"/>
    <xf numFmtId="0" fontId="13" fillId="0" borderId="149" xfId="0" applyFont="1" applyBorder="1" applyAlignment="1">
      <alignment horizontal="center"/>
    </xf>
    <xf numFmtId="0" fontId="13" fillId="0" borderId="40" xfId="0" applyFont="1" applyBorder="1" applyAlignment="1">
      <alignment horizontal="center"/>
    </xf>
    <xf numFmtId="0" fontId="13" fillId="0" borderId="150" xfId="0" applyFont="1" applyBorder="1" applyAlignment="1">
      <alignment horizontal="center"/>
    </xf>
    <xf numFmtId="0" fontId="13" fillId="0" borderId="141" xfId="0" applyFont="1" applyBorder="1" applyAlignment="1">
      <alignment horizontal="center"/>
    </xf>
    <xf numFmtId="0" fontId="8" fillId="39" borderId="116" xfId="0" applyFont="1" applyFill="1" applyBorder="1"/>
    <xf numFmtId="14" fontId="13" fillId="0" borderId="20" xfId="0" applyNumberFormat="1" applyFont="1" applyBorder="1" applyAlignment="1">
      <alignment horizontal="center" vertical="center"/>
    </xf>
    <xf numFmtId="0" fontId="8" fillId="0" borderId="56" xfId="0" applyFont="1" applyBorder="1" applyAlignment="1">
      <alignment horizontal="center" vertical="center"/>
    </xf>
    <xf numFmtId="10" fontId="0" fillId="0" borderId="0" xfId="16" applyNumberFormat="1" applyFont="1"/>
    <xf numFmtId="9" fontId="33" fillId="38" borderId="143" xfId="16" applyFont="1" applyFill="1" applyBorder="1" applyAlignment="1">
      <alignment horizontal="center" vertical="center"/>
    </xf>
    <xf numFmtId="3" fontId="23" fillId="0" borderId="0" xfId="0" applyNumberFormat="1" applyFont="1" applyAlignment="1">
      <alignment horizontal="center" vertical="center"/>
    </xf>
    <xf numFmtId="3" fontId="35" fillId="19" borderId="0" xfId="0" applyNumberFormat="1" applyFont="1" applyFill="1" applyAlignment="1">
      <alignment horizontal="center" vertical="center"/>
    </xf>
    <xf numFmtId="180" fontId="33" fillId="43" borderId="144" xfId="30" applyNumberFormat="1" applyFont="1" applyFill="1" applyBorder="1" applyAlignment="1">
      <alignment horizontal="center" vertical="center"/>
    </xf>
    <xf numFmtId="0" fontId="59" fillId="0" borderId="146" xfId="0" applyFont="1" applyBorder="1" applyAlignment="1">
      <alignment horizontal="center" vertical="center"/>
    </xf>
    <xf numFmtId="0" fontId="59" fillId="0" borderId="45" xfId="0" applyFont="1" applyBorder="1" applyAlignment="1">
      <alignment horizontal="center" vertical="center"/>
    </xf>
    <xf numFmtId="0" fontId="59" fillId="41" borderId="45" xfId="0" applyFont="1" applyFill="1" applyBorder="1" applyAlignment="1">
      <alignment horizontal="center" vertical="center"/>
    </xf>
    <xf numFmtId="3" fontId="59" fillId="40" borderId="45" xfId="0" applyNumberFormat="1" applyFont="1" applyFill="1" applyBorder="1" applyAlignment="1">
      <alignment horizontal="center" vertical="center"/>
    </xf>
    <xf numFmtId="3" fontId="59" fillId="40" borderId="146" xfId="0" applyNumberFormat="1" applyFont="1" applyFill="1" applyBorder="1" applyAlignment="1">
      <alignment horizontal="center" vertical="center"/>
    </xf>
    <xf numFmtId="0" fontId="62" fillId="0" borderId="146" xfId="0" applyFont="1" applyBorder="1" applyAlignment="1">
      <alignment horizontal="center" vertical="center"/>
    </xf>
    <xf numFmtId="0" fontId="62" fillId="0" borderId="45" xfId="0" applyFont="1" applyBorder="1" applyAlignment="1">
      <alignment horizontal="center" vertical="center"/>
    </xf>
    <xf numFmtId="0" fontId="8" fillId="0" borderId="45" xfId="0" quotePrefix="1" applyFont="1" applyBorder="1" applyAlignment="1">
      <alignment horizontal="center" vertical="center"/>
    </xf>
    <xf numFmtId="0" fontId="8" fillId="0" borderId="137" xfId="0" quotePrefix="1" applyFont="1" applyBorder="1" applyAlignment="1">
      <alignment horizontal="center" vertical="center"/>
    </xf>
    <xf numFmtId="9" fontId="38" fillId="0" borderId="0" xfId="16" applyFont="1"/>
    <xf numFmtId="9" fontId="0" fillId="0" borderId="86" xfId="0" applyNumberFormat="1" applyBorder="1" applyAlignment="1">
      <alignment horizontal="center"/>
    </xf>
    <xf numFmtId="9" fontId="13" fillId="0" borderId="69" xfId="0" applyNumberFormat="1" applyFont="1" applyBorder="1" applyAlignment="1">
      <alignment horizontal="center"/>
    </xf>
    <xf numFmtId="9" fontId="13" fillId="0" borderId="70" xfId="0" applyNumberFormat="1" applyFont="1" applyBorder="1" applyAlignment="1">
      <alignment horizontal="center"/>
    </xf>
    <xf numFmtId="9" fontId="8" fillId="0" borderId="76" xfId="0" applyNumberFormat="1" applyFont="1" applyBorder="1" applyAlignment="1">
      <alignment horizontal="center"/>
    </xf>
    <xf numFmtId="3" fontId="0" fillId="0" borderId="0" xfId="0" applyNumberFormat="1"/>
    <xf numFmtId="0" fontId="10" fillId="0" borderId="49" xfId="11" applyBorder="1" applyAlignment="1" applyProtection="1"/>
    <xf numFmtId="10" fontId="0" fillId="0" borderId="0" xfId="0" applyNumberFormat="1"/>
    <xf numFmtId="4" fontId="32" fillId="12" borderId="103" xfId="7" applyFont="1" applyFill="1" applyBorder="1" applyAlignment="1">
      <alignment horizontal="right" vertical="center"/>
    </xf>
    <xf numFmtId="4" fontId="8" fillId="0" borderId="0" xfId="7" applyFont="1" applyFill="1" applyBorder="1">
      <alignment horizontal="right"/>
    </xf>
    <xf numFmtId="4" fontId="32" fillId="0" borderId="0" xfId="7" applyFont="1" applyFill="1" applyBorder="1">
      <alignment horizontal="right"/>
    </xf>
    <xf numFmtId="4" fontId="32" fillId="9" borderId="103" xfId="7" applyFont="1" applyFill="1" applyBorder="1" applyAlignment="1">
      <alignment horizontal="right" vertical="center"/>
    </xf>
    <xf numFmtId="4" fontId="32" fillId="28" borderId="103" xfId="7" applyFont="1" applyFill="1" applyBorder="1" applyAlignment="1">
      <alignment horizontal="right" vertical="center"/>
    </xf>
    <xf numFmtId="4" fontId="25" fillId="28" borderId="103" xfId="7" applyFont="1" applyFill="1" applyBorder="1" applyAlignment="1">
      <alignment horizontal="right" vertical="center"/>
    </xf>
    <xf numFmtId="1" fontId="59" fillId="41" borderId="137" xfId="0" applyNumberFormat="1" applyFont="1" applyFill="1" applyBorder="1" applyAlignment="1">
      <alignment horizontal="center" vertical="center"/>
    </xf>
    <xf numFmtId="3" fontId="59" fillId="40" borderId="45" xfId="0" quotePrefix="1" applyNumberFormat="1" applyFont="1" applyFill="1" applyBorder="1" applyAlignment="1">
      <alignment horizontal="center" vertical="center"/>
    </xf>
    <xf numFmtId="3" fontId="59" fillId="40" borderId="146" xfId="0" quotePrefix="1" applyNumberFormat="1" applyFont="1" applyFill="1" applyBorder="1" applyAlignment="1">
      <alignment horizontal="center" vertical="center"/>
    </xf>
    <xf numFmtId="1" fontId="54" fillId="40" borderId="37" xfId="0" applyNumberFormat="1" applyFont="1" applyFill="1" applyBorder="1" applyAlignment="1">
      <alignment horizontal="center" vertical="center"/>
    </xf>
    <xf numFmtId="4" fontId="5" fillId="0" borderId="45" xfId="29" applyNumberFormat="1" applyBorder="1" applyAlignment="1">
      <alignment horizontal="center"/>
    </xf>
    <xf numFmtId="0" fontId="26" fillId="0" borderId="0" xfId="0" applyFont="1" applyAlignment="1">
      <alignment horizontal="center"/>
    </xf>
    <xf numFmtId="0" fontId="66" fillId="0" borderId="0" xfId="0" applyFont="1"/>
    <xf numFmtId="0" fontId="0" fillId="0" borderId="45" xfId="0" applyBorder="1"/>
    <xf numFmtId="0" fontId="65" fillId="0" borderId="0" xfId="0" applyFont="1"/>
    <xf numFmtId="3" fontId="54" fillId="0" borderId="37" xfId="0" applyNumberFormat="1" applyFont="1" applyBorder="1" applyAlignment="1">
      <alignment horizontal="center" vertical="center"/>
    </xf>
    <xf numFmtId="180" fontId="33" fillId="38" borderId="45" xfId="16" applyNumberFormat="1" applyFont="1" applyFill="1" applyBorder="1" applyAlignment="1">
      <alignment horizontal="center" vertical="center"/>
    </xf>
    <xf numFmtId="3" fontId="62" fillId="0" borderId="45" xfId="0" applyNumberFormat="1" applyFont="1" applyBorder="1" applyAlignment="1">
      <alignment horizontal="center" vertical="center"/>
    </xf>
    <xf numFmtId="3" fontId="62" fillId="38" borderId="45" xfId="0" applyNumberFormat="1" applyFont="1" applyFill="1" applyBorder="1" applyAlignment="1">
      <alignment horizontal="center" vertical="center"/>
    </xf>
    <xf numFmtId="180" fontId="33" fillId="38" borderId="146" xfId="16" applyNumberFormat="1" applyFont="1" applyFill="1" applyBorder="1" applyAlignment="1">
      <alignment horizontal="center" vertical="center"/>
    </xf>
    <xf numFmtId="3" fontId="62" fillId="0" borderId="146" xfId="0" applyNumberFormat="1" applyFont="1" applyBorder="1" applyAlignment="1">
      <alignment horizontal="center" vertical="center"/>
    </xf>
    <xf numFmtId="3" fontId="62" fillId="38" borderId="146" xfId="0" applyNumberFormat="1" applyFont="1" applyFill="1" applyBorder="1" applyAlignment="1">
      <alignment horizontal="center" vertical="center"/>
    </xf>
    <xf numFmtId="0" fontId="62" fillId="38" borderId="147" xfId="0" applyFont="1" applyFill="1" applyBorder="1" applyAlignment="1">
      <alignment horizontal="center" vertical="center"/>
    </xf>
    <xf numFmtId="180" fontId="33" fillId="43" borderId="162" xfId="30" applyNumberFormat="1" applyFont="1" applyFill="1" applyBorder="1" applyAlignment="1">
      <alignment horizontal="center" vertical="center"/>
    </xf>
    <xf numFmtId="3" fontId="4" fillId="43" borderId="43" xfId="30" applyNumberFormat="1" applyFill="1" applyBorder="1" applyAlignment="1">
      <alignment horizontal="center" vertical="center"/>
    </xf>
    <xf numFmtId="180" fontId="33" fillId="38" borderId="43" xfId="16" applyNumberFormat="1" applyFont="1" applyFill="1" applyBorder="1" applyAlignment="1">
      <alignment horizontal="center" vertical="center"/>
    </xf>
    <xf numFmtId="3" fontId="62" fillId="0" borderId="43" xfId="0" applyNumberFormat="1" applyFont="1" applyBorder="1" applyAlignment="1">
      <alignment horizontal="center" vertical="center"/>
    </xf>
    <xf numFmtId="0" fontId="62" fillId="0" borderId="43" xfId="0" applyFont="1" applyBorder="1" applyAlignment="1">
      <alignment horizontal="center" vertical="center"/>
    </xf>
    <xf numFmtId="3" fontId="62" fillId="38" borderId="43" xfId="0" applyNumberFormat="1" applyFont="1" applyFill="1" applyBorder="1" applyAlignment="1">
      <alignment horizontal="center" vertical="center"/>
    </xf>
    <xf numFmtId="0" fontId="62" fillId="38" borderId="163" xfId="0" applyFont="1" applyFill="1" applyBorder="1" applyAlignment="1">
      <alignment horizontal="center" vertical="center"/>
    </xf>
    <xf numFmtId="1" fontId="54" fillId="0" borderId="45" xfId="0" applyNumberFormat="1" applyFont="1" applyBorder="1" applyAlignment="1">
      <alignment horizontal="center" vertical="center"/>
    </xf>
    <xf numFmtId="1" fontId="59" fillId="0" borderId="45" xfId="0" applyNumberFormat="1" applyFont="1" applyBorder="1" applyAlignment="1">
      <alignment horizontal="center" vertical="center"/>
    </xf>
    <xf numFmtId="1" fontId="54" fillId="0" borderId="146" xfId="0" applyNumberFormat="1" applyFont="1" applyBorder="1" applyAlignment="1">
      <alignment horizontal="center" vertical="center"/>
    </xf>
    <xf numFmtId="1" fontId="54" fillId="0" borderId="137" xfId="0" applyNumberFormat="1" applyFont="1" applyBorder="1" applyAlignment="1">
      <alignment horizontal="center" vertical="center"/>
    </xf>
    <xf numFmtId="1" fontId="59" fillId="0" borderId="146" xfId="0" applyNumberFormat="1" applyFont="1" applyBorder="1" applyAlignment="1">
      <alignment horizontal="center" vertical="center"/>
    </xf>
    <xf numFmtId="1" fontId="59" fillId="0" borderId="137" xfId="0" applyNumberFormat="1" applyFont="1" applyBorder="1" applyAlignment="1">
      <alignment horizontal="center" vertical="center"/>
    </xf>
    <xf numFmtId="1" fontId="62" fillId="38" borderId="147" xfId="0" applyNumberFormat="1" applyFont="1" applyFill="1" applyBorder="1" applyAlignment="1">
      <alignment horizontal="center" vertical="center"/>
    </xf>
    <xf numFmtId="1" fontId="62" fillId="38" borderId="160" xfId="0" applyNumberFormat="1" applyFont="1" applyFill="1" applyBorder="1" applyAlignment="1">
      <alignment horizontal="center" vertical="center"/>
    </xf>
    <xf numFmtId="1" fontId="62" fillId="38" borderId="161" xfId="0" applyNumberFormat="1" applyFont="1" applyFill="1" applyBorder="1" applyAlignment="1">
      <alignment horizontal="center" vertical="center"/>
    </xf>
    <xf numFmtId="180" fontId="8" fillId="0" borderId="143" xfId="16" applyNumberFormat="1" applyFont="1" applyFill="1" applyBorder="1" applyAlignment="1">
      <alignment horizontal="center" vertical="center"/>
    </xf>
    <xf numFmtId="180" fontId="8" fillId="0" borderId="144" xfId="16" applyNumberFormat="1" applyFont="1" applyFill="1" applyBorder="1" applyAlignment="1">
      <alignment horizontal="center" vertical="center"/>
    </xf>
    <xf numFmtId="180" fontId="0" fillId="0" borderId="145" xfId="16" applyNumberFormat="1" applyFont="1" applyFill="1" applyBorder="1" applyAlignment="1">
      <alignment horizontal="center" vertical="center"/>
    </xf>
    <xf numFmtId="180" fontId="33" fillId="0" borderId="146" xfId="16" applyNumberFormat="1" applyFont="1" applyFill="1" applyBorder="1" applyAlignment="1">
      <alignment horizontal="center" vertical="center"/>
    </xf>
    <xf numFmtId="180" fontId="33" fillId="0" borderId="137" xfId="16" applyNumberFormat="1" applyFont="1" applyFill="1" applyBorder="1" applyAlignment="1">
      <alignment horizontal="center" vertical="center"/>
    </xf>
    <xf numFmtId="1" fontId="62" fillId="0" borderId="146" xfId="0" applyNumberFormat="1" applyFont="1" applyBorder="1" applyAlignment="1">
      <alignment horizontal="center" vertical="center"/>
    </xf>
    <xf numFmtId="1" fontId="62" fillId="0" borderId="45" xfId="0" applyNumberFormat="1" applyFont="1" applyBorder="1" applyAlignment="1">
      <alignment horizontal="center" vertical="center"/>
    </xf>
    <xf numFmtId="1" fontId="62" fillId="0" borderId="137" xfId="0" applyNumberFormat="1" applyFont="1" applyBorder="1" applyAlignment="1">
      <alignment horizontal="center" vertical="center"/>
    </xf>
    <xf numFmtId="1" fontId="59" fillId="41" borderId="45" xfId="0" applyNumberFormat="1" applyFont="1" applyFill="1" applyBorder="1" applyAlignment="1">
      <alignment horizontal="center" vertical="center"/>
    </xf>
    <xf numFmtId="1" fontId="59" fillId="41" borderId="146" xfId="0" applyNumberFormat="1" applyFont="1" applyFill="1" applyBorder="1" applyAlignment="1">
      <alignment horizontal="center" vertical="center"/>
    </xf>
    <xf numFmtId="0" fontId="8" fillId="0" borderId="146" xfId="0" quotePrefix="1" applyFont="1" applyBorder="1" applyAlignment="1">
      <alignment horizontal="center" vertical="center"/>
    </xf>
    <xf numFmtId="1" fontId="54" fillId="40" borderId="45" xfId="0" applyNumberFormat="1" applyFont="1" applyFill="1" applyBorder="1" applyAlignment="1">
      <alignment horizontal="center" vertical="center"/>
    </xf>
    <xf numFmtId="1" fontId="54" fillId="40" borderId="143" xfId="0" applyNumberFormat="1" applyFont="1" applyFill="1" applyBorder="1" applyAlignment="1">
      <alignment horizontal="center" vertical="center"/>
    </xf>
    <xf numFmtId="1" fontId="54" fillId="40" borderId="144" xfId="0" applyNumberFormat="1" applyFont="1" applyFill="1" applyBorder="1" applyAlignment="1">
      <alignment horizontal="center" vertical="center"/>
    </xf>
    <xf numFmtId="1" fontId="54" fillId="40" borderId="146" xfId="0" applyNumberFormat="1" applyFont="1" applyFill="1" applyBorder="1" applyAlignment="1">
      <alignment horizontal="center" vertical="center"/>
    </xf>
    <xf numFmtId="1" fontId="54" fillId="40" borderId="162" xfId="0" applyNumberFormat="1" applyFont="1" applyFill="1" applyBorder="1" applyAlignment="1">
      <alignment horizontal="center" vertical="center"/>
    </xf>
    <xf numFmtId="1" fontId="54" fillId="40" borderId="43" xfId="0" applyNumberFormat="1" applyFont="1" applyFill="1" applyBorder="1" applyAlignment="1">
      <alignment horizontal="center" vertical="center"/>
    </xf>
    <xf numFmtId="1" fontId="54" fillId="40" borderId="163" xfId="0" applyNumberFormat="1" applyFont="1" applyFill="1" applyBorder="1" applyAlignment="1">
      <alignment horizontal="center" vertical="center"/>
    </xf>
    <xf numFmtId="1" fontId="0" fillId="0" borderId="45" xfId="0" applyNumberFormat="1" applyBorder="1" applyAlignment="1">
      <alignment horizontal="center" vertical="center"/>
    </xf>
    <xf numFmtId="1" fontId="0" fillId="0" borderId="143" xfId="0" applyNumberFormat="1" applyBorder="1" applyAlignment="1">
      <alignment horizontal="center" vertical="center"/>
    </xf>
    <xf numFmtId="1" fontId="0" fillId="0" borderId="144" xfId="0" applyNumberFormat="1" applyBorder="1" applyAlignment="1">
      <alignment horizontal="center" vertical="center"/>
    </xf>
    <xf numFmtId="1" fontId="0" fillId="0" borderId="145" xfId="0" applyNumberFormat="1" applyBorder="1" applyAlignment="1">
      <alignment horizontal="center" vertical="center"/>
    </xf>
    <xf numFmtId="1" fontId="0" fillId="0" borderId="146" xfId="0" applyNumberFormat="1" applyBorder="1" applyAlignment="1">
      <alignment horizontal="center" vertical="center"/>
    </xf>
    <xf numFmtId="1" fontId="0" fillId="0" borderId="137" xfId="0" applyNumberFormat="1" applyBorder="1" applyAlignment="1">
      <alignment horizontal="center" vertical="center"/>
    </xf>
    <xf numFmtId="1" fontId="54" fillId="40" borderId="135" xfId="0" applyNumberFormat="1" applyFont="1" applyFill="1" applyBorder="1" applyAlignment="1">
      <alignment horizontal="center" vertical="center"/>
    </xf>
    <xf numFmtId="1" fontId="54" fillId="40" borderId="136" xfId="0" applyNumberFormat="1" applyFont="1" applyFill="1" applyBorder="1" applyAlignment="1">
      <alignment horizontal="center" vertical="center"/>
    </xf>
    <xf numFmtId="1" fontId="54" fillId="40" borderId="138" xfId="0" applyNumberFormat="1" applyFont="1" applyFill="1" applyBorder="1" applyAlignment="1">
      <alignment horizontal="center" vertical="center"/>
    </xf>
    <xf numFmtId="1" fontId="54" fillId="40" borderId="139" xfId="0" applyNumberFormat="1" applyFont="1" applyFill="1" applyBorder="1" applyAlignment="1">
      <alignment horizontal="center" vertical="center"/>
    </xf>
    <xf numFmtId="1" fontId="54" fillId="40" borderId="140" xfId="0" applyNumberFormat="1" applyFont="1" applyFill="1" applyBorder="1" applyAlignment="1">
      <alignment horizontal="center" vertical="center"/>
    </xf>
    <xf numFmtId="4" fontId="5" fillId="0" borderId="137" xfId="29" applyNumberFormat="1" applyBorder="1" applyAlignment="1">
      <alignment horizontal="center"/>
    </xf>
    <xf numFmtId="9" fontId="0" fillId="0" borderId="0" xfId="16" applyFont="1" applyBorder="1" applyAlignment="1">
      <alignment horizontal="left"/>
    </xf>
    <xf numFmtId="3" fontId="8" fillId="0" borderId="146" xfId="0" applyNumberFormat="1" applyFont="1" applyBorder="1" applyAlignment="1">
      <alignment horizontal="center" vertical="center"/>
    </xf>
    <xf numFmtId="3" fontId="59" fillId="0" borderId="45" xfId="0" applyNumberFormat="1" applyFont="1" applyBorder="1" applyAlignment="1">
      <alignment horizontal="center" vertical="center"/>
    </xf>
    <xf numFmtId="3" fontId="59" fillId="0" borderId="146" xfId="0" applyNumberFormat="1" applyFont="1" applyBorder="1" applyAlignment="1">
      <alignment horizontal="center" vertical="center"/>
    </xf>
    <xf numFmtId="2" fontId="8" fillId="24" borderId="18" xfId="0" applyNumberFormat="1" applyFont="1" applyFill="1" applyBorder="1" applyAlignment="1">
      <alignment horizontal="center"/>
    </xf>
    <xf numFmtId="0" fontId="23" fillId="0" borderId="0" xfId="0" applyFont="1" applyAlignment="1">
      <alignment horizontal="center" vertical="center"/>
    </xf>
    <xf numFmtId="3" fontId="35" fillId="19" borderId="0" xfId="21" applyNumberFormat="1" applyFont="1" applyFill="1" applyAlignment="1">
      <alignment horizontal="center" vertical="center"/>
    </xf>
    <xf numFmtId="3" fontId="35" fillId="0" borderId="0" xfId="0" applyNumberFormat="1" applyFont="1" applyAlignment="1">
      <alignment horizontal="center" vertical="center"/>
    </xf>
    <xf numFmtId="182" fontId="23" fillId="0" borderId="0" xfId="0" applyNumberFormat="1" applyFont="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xf>
    <xf numFmtId="0" fontId="8" fillId="8" borderId="18" xfId="0" applyFont="1" applyFill="1" applyBorder="1" applyAlignment="1">
      <alignment horizontal="center" vertical="center" wrapText="1"/>
    </xf>
    <xf numFmtId="185" fontId="0" fillId="0" borderId="90" xfId="0" applyNumberFormat="1" applyBorder="1" applyAlignment="1">
      <alignment horizontal="center" wrapText="1"/>
    </xf>
    <xf numFmtId="0" fontId="47" fillId="9" borderId="69" xfId="0" applyFont="1" applyFill="1" applyBorder="1" applyAlignment="1">
      <alignment horizontal="center" vertical="center" wrapText="1"/>
    </xf>
    <xf numFmtId="0" fontId="47" fillId="10" borderId="70" xfId="0" applyFont="1" applyFill="1" applyBorder="1" applyAlignment="1">
      <alignment horizontal="center" vertical="center" wrapText="1"/>
    </xf>
    <xf numFmtId="0" fontId="47" fillId="11" borderId="70" xfId="0" applyFont="1" applyFill="1" applyBorder="1" applyAlignment="1">
      <alignment horizontal="center" vertical="center" wrapText="1"/>
    </xf>
    <xf numFmtId="0" fontId="47" fillId="15" borderId="70" xfId="0" applyFont="1" applyFill="1" applyBorder="1" applyAlignment="1">
      <alignment horizontal="center" vertical="center" wrapText="1"/>
    </xf>
    <xf numFmtId="0" fontId="47" fillId="23" borderId="91" xfId="0" applyFont="1" applyFill="1" applyBorder="1" applyAlignment="1">
      <alignment horizontal="center" vertical="center" wrapText="1"/>
    </xf>
    <xf numFmtId="0" fontId="47" fillId="16" borderId="70" xfId="0" applyFont="1" applyFill="1" applyBorder="1" applyAlignment="1">
      <alignment horizontal="center" vertical="center" wrapText="1"/>
    </xf>
    <xf numFmtId="0" fontId="56" fillId="0" borderId="0" xfId="0" applyFont="1" applyAlignment="1">
      <alignment horizontal="center" vertical="center"/>
    </xf>
    <xf numFmtId="14" fontId="13" fillId="0" borderId="19" xfId="0" applyNumberFormat="1" applyFont="1" applyBorder="1" applyAlignment="1">
      <alignment horizontal="center" vertical="center"/>
    </xf>
    <xf numFmtId="14" fontId="13" fillId="0" borderId="53" xfId="0" applyNumberFormat="1" applyFont="1" applyBorder="1" applyAlignment="1">
      <alignment horizontal="center" vertical="center"/>
    </xf>
    <xf numFmtId="0" fontId="0" fillId="0" borderId="0" xfId="0" applyAlignment="1">
      <alignment horizontal="left"/>
    </xf>
    <xf numFmtId="2" fontId="8" fillId="24" borderId="51" xfId="0" applyNumberFormat="1" applyFont="1" applyFill="1" applyBorder="1" applyAlignment="1">
      <alignment horizontal="center"/>
    </xf>
    <xf numFmtId="2" fontId="33" fillId="24" borderId="51" xfId="16" applyNumberFormat="1" applyFont="1" applyFill="1" applyBorder="1" applyAlignment="1">
      <alignment horizontal="center"/>
    </xf>
    <xf numFmtId="0" fontId="8" fillId="7" borderId="164" xfId="0" applyFont="1" applyFill="1" applyBorder="1"/>
    <xf numFmtId="0" fontId="27" fillId="32" borderId="60" xfId="0" applyFont="1" applyFill="1" applyBorder="1" applyAlignment="1">
      <alignment horizontal="center"/>
    </xf>
    <xf numFmtId="0" fontId="13" fillId="0" borderId="60" xfId="0" applyFont="1" applyBorder="1" applyAlignment="1">
      <alignment horizontal="center"/>
    </xf>
    <xf numFmtId="179" fontId="13" fillId="24" borderId="22" xfId="0" applyNumberFormat="1" applyFont="1" applyFill="1" applyBorder="1" applyAlignment="1">
      <alignment horizontal="center"/>
    </xf>
    <xf numFmtId="2" fontId="33" fillId="24" borderId="60" xfId="16" applyNumberFormat="1" applyFont="1" applyFill="1" applyBorder="1" applyAlignment="1">
      <alignment horizontal="center"/>
    </xf>
    <xf numFmtId="0" fontId="8" fillId="0" borderId="0" xfId="0" applyFont="1" applyAlignment="1">
      <alignment horizontal="center"/>
    </xf>
    <xf numFmtId="10" fontId="8" fillId="0" borderId="114" xfId="0" applyNumberFormat="1" applyFont="1" applyBorder="1" applyAlignment="1">
      <alignment horizontal="center" vertical="center"/>
    </xf>
    <xf numFmtId="10" fontId="8" fillId="0" borderId="5" xfId="0" applyNumberFormat="1" applyFont="1" applyBorder="1" applyAlignment="1">
      <alignment horizontal="center" vertical="center"/>
    </xf>
    <xf numFmtId="10" fontId="0" fillId="0" borderId="109" xfId="0" applyNumberFormat="1" applyBorder="1" applyAlignment="1">
      <alignment horizontal="center" vertical="center"/>
    </xf>
    <xf numFmtId="10" fontId="8" fillId="0" borderId="107" xfId="0" applyNumberFormat="1" applyFont="1" applyBorder="1" applyAlignment="1">
      <alignment horizontal="center" vertical="center"/>
    </xf>
    <xf numFmtId="1" fontId="59" fillId="40" borderId="147" xfId="0" applyNumberFormat="1" applyFont="1" applyFill="1" applyBorder="1" applyAlignment="1">
      <alignment horizontal="center" vertical="center"/>
    </xf>
    <xf numFmtId="1" fontId="59" fillId="40" borderId="160" xfId="0" applyNumberFormat="1" applyFont="1" applyFill="1" applyBorder="1" applyAlignment="1">
      <alignment horizontal="center" vertical="center"/>
    </xf>
    <xf numFmtId="10" fontId="8" fillId="0" borderId="113" xfId="0" applyNumberFormat="1" applyFont="1" applyBorder="1" applyAlignment="1">
      <alignment horizontal="center" vertical="center"/>
    </xf>
    <xf numFmtId="10" fontId="8" fillId="0" borderId="109" xfId="0" applyNumberFormat="1" applyFont="1" applyBorder="1" applyAlignment="1">
      <alignment horizontal="center" vertical="center"/>
    </xf>
    <xf numFmtId="0" fontId="0" fillId="0" borderId="45" xfId="0" applyBorder="1" applyAlignment="1">
      <alignment horizontal="center"/>
    </xf>
    <xf numFmtId="179" fontId="0" fillId="0" borderId="45" xfId="0" applyNumberFormat="1" applyBorder="1" applyAlignment="1">
      <alignment horizontal="center"/>
    </xf>
    <xf numFmtId="180" fontId="65" fillId="0" borderId="45" xfId="16" applyNumberFormat="1" applyFont="1" applyBorder="1" applyAlignment="1">
      <alignment horizontal="center"/>
    </xf>
    <xf numFmtId="0" fontId="65" fillId="0" borderId="45" xfId="0" applyFont="1" applyBorder="1"/>
    <xf numFmtId="178" fontId="65" fillId="0" borderId="45" xfId="0" applyNumberFormat="1" applyFont="1" applyBorder="1" applyAlignment="1">
      <alignment horizontal="center"/>
    </xf>
    <xf numFmtId="9" fontId="0" fillId="0" borderId="0" xfId="16" applyFont="1" applyAlignment="1">
      <alignment horizontal="left"/>
    </xf>
    <xf numFmtId="4" fontId="5" fillId="0" borderId="44" xfId="29" applyNumberFormat="1" applyBorder="1" applyAlignment="1">
      <alignment horizontal="center"/>
    </xf>
    <xf numFmtId="0" fontId="54" fillId="0" borderId="165" xfId="0" applyFont="1" applyBorder="1"/>
    <xf numFmtId="0" fontId="54" fillId="0" borderId="34" xfId="0" applyFont="1" applyBorder="1"/>
    <xf numFmtId="3" fontId="69" fillId="0" borderId="146" xfId="0" quotePrefix="1" applyNumberFormat="1" applyFont="1" applyBorder="1" applyAlignment="1">
      <alignment horizontal="center" vertical="center"/>
    </xf>
    <xf numFmtId="3" fontId="69" fillId="0" borderId="45" xfId="0" quotePrefix="1" applyNumberFormat="1" applyFont="1" applyBorder="1" applyAlignment="1">
      <alignment horizontal="center" vertical="center"/>
    </xf>
    <xf numFmtId="3" fontId="69" fillId="0" borderId="137" xfId="0" quotePrefix="1" applyNumberFormat="1" applyFont="1" applyBorder="1" applyAlignment="1">
      <alignment horizontal="center" vertical="center"/>
    </xf>
    <xf numFmtId="1" fontId="54" fillId="40" borderId="112" xfId="0" applyNumberFormat="1" applyFont="1" applyFill="1" applyBorder="1" applyAlignment="1">
      <alignment horizontal="center" vertical="center"/>
    </xf>
    <xf numFmtId="1" fontId="54" fillId="40" borderId="167" xfId="0" applyNumberFormat="1" applyFont="1" applyFill="1" applyBorder="1" applyAlignment="1">
      <alignment horizontal="center" vertical="center"/>
    </xf>
    <xf numFmtId="3" fontId="59" fillId="41" borderId="168" xfId="0" applyNumberFormat="1" applyFont="1" applyFill="1" applyBorder="1" applyAlignment="1">
      <alignment horizontal="center" vertical="center"/>
    </xf>
    <xf numFmtId="3" fontId="59" fillId="41" borderId="3" xfId="0" applyNumberFormat="1" applyFont="1" applyFill="1" applyBorder="1" applyAlignment="1">
      <alignment horizontal="center" vertical="center"/>
    </xf>
    <xf numFmtId="3" fontId="59" fillId="41" borderId="33" xfId="0" applyNumberFormat="1" applyFont="1" applyFill="1" applyBorder="1" applyAlignment="1">
      <alignment horizontal="center" vertical="center"/>
    </xf>
    <xf numFmtId="3" fontId="60" fillId="12" borderId="0" xfId="0" applyNumberFormat="1" applyFont="1" applyFill="1" applyAlignment="1">
      <alignment horizontal="center" vertical="center"/>
    </xf>
    <xf numFmtId="3" fontId="60" fillId="12" borderId="169" xfId="0" applyNumberFormat="1" applyFont="1" applyFill="1" applyBorder="1" applyAlignment="1">
      <alignment horizontal="center" vertical="center"/>
    </xf>
    <xf numFmtId="1" fontId="59" fillId="41" borderId="43" xfId="0" applyNumberFormat="1" applyFont="1" applyFill="1" applyBorder="1" applyAlignment="1">
      <alignment horizontal="center" vertical="center"/>
    </xf>
    <xf numFmtId="1" fontId="59" fillId="0" borderId="43" xfId="0" applyNumberFormat="1" applyFont="1" applyBorder="1" applyAlignment="1">
      <alignment horizontal="center" vertical="center"/>
    </xf>
    <xf numFmtId="0" fontId="0" fillId="37" borderId="31" xfId="0" applyFill="1" applyBorder="1"/>
    <xf numFmtId="0" fontId="65" fillId="0" borderId="0" xfId="29" applyFont="1" applyAlignment="1">
      <alignment horizontal="center" vertical="center"/>
    </xf>
    <xf numFmtId="0" fontId="5" fillId="0" borderId="0" xfId="29"/>
    <xf numFmtId="0" fontId="5" fillId="0" borderId="35" xfId="29" applyBorder="1"/>
    <xf numFmtId="0" fontId="54" fillId="0" borderId="170" xfId="0" applyFont="1" applyBorder="1"/>
    <xf numFmtId="0" fontId="56" fillId="0" borderId="110" xfId="0" applyFont="1" applyBorder="1" applyAlignment="1">
      <alignment horizontal="center" vertical="center"/>
    </xf>
    <xf numFmtId="0" fontId="56" fillId="0" borderId="111" xfId="0" applyFont="1" applyBorder="1" applyAlignment="1">
      <alignment horizontal="center" vertical="center"/>
    </xf>
    <xf numFmtId="0" fontId="54" fillId="0" borderId="171" xfId="0" applyFont="1" applyBorder="1"/>
    <xf numFmtId="0" fontId="54" fillId="0" borderId="109" xfId="0" applyFont="1" applyBorder="1" applyAlignment="1">
      <alignment horizontal="center" vertical="center"/>
    </xf>
    <xf numFmtId="0" fontId="54" fillId="0" borderId="172" xfId="0" applyFont="1" applyBorder="1"/>
    <xf numFmtId="0" fontId="54" fillId="0" borderId="113" xfId="0" applyFont="1" applyBorder="1" applyAlignment="1">
      <alignment horizontal="center" vertical="center"/>
    </xf>
    <xf numFmtId="10" fontId="0" fillId="0" borderId="0" xfId="0" applyNumberFormat="1" applyAlignment="1">
      <alignment horizontal="center" vertical="center"/>
    </xf>
    <xf numFmtId="0" fontId="54" fillId="0" borderId="110" xfId="0" applyFont="1" applyBorder="1" applyAlignment="1">
      <alignment horizontal="center" vertical="center"/>
    </xf>
    <xf numFmtId="0" fontId="54" fillId="0" borderId="109" xfId="0" applyFont="1" applyBorder="1"/>
    <xf numFmtId="0" fontId="56" fillId="0" borderId="45" xfId="0" applyFont="1" applyBorder="1"/>
    <xf numFmtId="9" fontId="23" fillId="0" borderId="0" xfId="16" applyFont="1" applyAlignment="1">
      <alignment horizontal="center" vertical="center"/>
    </xf>
    <xf numFmtId="1" fontId="59" fillId="41" borderId="135" xfId="0" applyNumberFormat="1" applyFont="1" applyFill="1" applyBorder="1" applyAlignment="1">
      <alignment horizontal="center" vertical="center"/>
    </xf>
    <xf numFmtId="1" fontId="59" fillId="41" borderId="2" xfId="0" applyNumberFormat="1" applyFont="1" applyFill="1" applyBorder="1" applyAlignment="1">
      <alignment horizontal="center" vertical="center"/>
    </xf>
    <xf numFmtId="1" fontId="59" fillId="41" borderId="36" xfId="0" applyNumberFormat="1" applyFont="1" applyFill="1" applyBorder="1" applyAlignment="1">
      <alignment horizontal="center" vertical="center"/>
    </xf>
    <xf numFmtId="1" fontId="59" fillId="41" borderId="166" xfId="0" applyNumberFormat="1" applyFont="1" applyFill="1" applyBorder="1" applyAlignment="1">
      <alignment horizontal="center" vertical="center"/>
    </xf>
    <xf numFmtId="3" fontId="0" fillId="0" borderId="45" xfId="0" applyNumberFormat="1" applyBorder="1" applyAlignment="1">
      <alignment horizontal="center" vertical="center"/>
    </xf>
    <xf numFmtId="3" fontId="0" fillId="0" borderId="137" xfId="0" applyNumberFormat="1" applyBorder="1" applyAlignment="1">
      <alignment horizontal="center" vertical="center"/>
    </xf>
    <xf numFmtId="180" fontId="38" fillId="0" borderId="0" xfId="0" applyNumberFormat="1" applyFont="1"/>
    <xf numFmtId="10" fontId="8" fillId="0" borderId="110" xfId="0" applyNumberFormat="1" applyFont="1" applyBorder="1" applyAlignment="1">
      <alignment horizontal="center" vertical="center"/>
    </xf>
    <xf numFmtId="10" fontId="54" fillId="0" borderId="109" xfId="0" applyNumberFormat="1" applyFont="1" applyBorder="1" applyAlignment="1">
      <alignment horizontal="center" vertical="center"/>
    </xf>
    <xf numFmtId="10" fontId="0" fillId="0" borderId="109" xfId="16" applyNumberFormat="1" applyFont="1" applyFill="1" applyBorder="1" applyAlignment="1">
      <alignment horizontal="center" vertical="center"/>
    </xf>
    <xf numFmtId="1" fontId="54" fillId="40" borderId="174" xfId="0" applyNumberFormat="1" applyFont="1" applyFill="1" applyBorder="1" applyAlignment="1">
      <alignment horizontal="center" vertical="center"/>
    </xf>
    <xf numFmtId="1" fontId="0" fillId="0" borderId="175" xfId="0" applyNumberFormat="1" applyBorder="1" applyAlignment="1">
      <alignment horizontal="center" vertical="center"/>
    </xf>
    <xf numFmtId="1" fontId="0" fillId="0" borderId="44" xfId="0" applyNumberFormat="1" applyBorder="1" applyAlignment="1">
      <alignment horizontal="center" vertical="center"/>
    </xf>
    <xf numFmtId="3" fontId="69" fillId="0" borderId="146" xfId="0" applyNumberFormat="1" applyFont="1" applyBorder="1" applyAlignment="1">
      <alignment horizontal="center" vertical="center"/>
    </xf>
    <xf numFmtId="2" fontId="0" fillId="24" borderId="60" xfId="0" applyNumberFormat="1" applyFill="1" applyBorder="1" applyAlignment="1">
      <alignment horizontal="center"/>
    </xf>
    <xf numFmtId="179" fontId="0" fillId="24" borderId="22" xfId="0" applyNumberFormat="1" applyFill="1" applyBorder="1" applyAlignment="1">
      <alignment horizontal="center"/>
    </xf>
    <xf numFmtId="10" fontId="0" fillId="8" borderId="22" xfId="25" applyNumberFormat="1" applyFont="1" applyFill="1" applyBorder="1" applyAlignment="1">
      <alignment horizontal="center"/>
    </xf>
    <xf numFmtId="180" fontId="0" fillId="8" borderId="22" xfId="25" applyNumberFormat="1" applyFont="1" applyFill="1" applyBorder="1" applyAlignment="1">
      <alignment horizontal="center"/>
    </xf>
    <xf numFmtId="180" fontId="0" fillId="8" borderId="22" xfId="16" quotePrefix="1" applyNumberFormat="1" applyFont="1" applyFill="1" applyBorder="1" applyAlignment="1">
      <alignment horizontal="center"/>
    </xf>
    <xf numFmtId="181" fontId="0" fillId="24" borderId="22" xfId="0" applyNumberFormat="1" applyFill="1" applyBorder="1" applyAlignment="1">
      <alignment horizontal="center"/>
    </xf>
    <xf numFmtId="181" fontId="0" fillId="24" borderId="22" xfId="16" applyNumberFormat="1" applyFont="1" applyFill="1" applyBorder="1" applyAlignment="1">
      <alignment horizontal="center"/>
    </xf>
    <xf numFmtId="180" fontId="0" fillId="24" borderId="22" xfId="16" applyNumberFormat="1" applyFont="1" applyFill="1" applyBorder="1" applyAlignment="1">
      <alignment horizontal="center"/>
    </xf>
    <xf numFmtId="2" fontId="0" fillId="24" borderId="22" xfId="16" applyNumberFormat="1" applyFont="1" applyFill="1" applyBorder="1" applyAlignment="1">
      <alignment horizontal="center"/>
    </xf>
    <xf numFmtId="180" fontId="0" fillId="8" borderId="22" xfId="16" applyNumberFormat="1" applyFont="1" applyFill="1" applyBorder="1" applyAlignment="1">
      <alignment horizontal="center"/>
    </xf>
    <xf numFmtId="0" fontId="0" fillId="0" borderId="21" xfId="0" quotePrefix="1" applyBorder="1"/>
    <xf numFmtId="10" fontId="0" fillId="8" borderId="22" xfId="16" applyNumberFormat="1" applyFont="1" applyFill="1" applyBorder="1" applyAlignment="1">
      <alignment horizontal="center"/>
    </xf>
    <xf numFmtId="4" fontId="0" fillId="8" borderId="22" xfId="0" applyNumberFormat="1" applyFill="1" applyBorder="1" applyAlignment="1">
      <alignment horizontal="center"/>
    </xf>
    <xf numFmtId="0" fontId="0" fillId="0" borderId="21" xfId="0" applyBorder="1"/>
    <xf numFmtId="0" fontId="0" fillId="0" borderId="57" xfId="0" applyBorder="1" applyAlignment="1">
      <alignment horizontal="center" vertical="center"/>
    </xf>
    <xf numFmtId="187" fontId="0" fillId="0" borderId="0" xfId="0" applyNumberFormat="1" applyAlignment="1">
      <alignment horizontal="center"/>
    </xf>
    <xf numFmtId="1" fontId="59" fillId="0" borderId="135" xfId="0" applyNumberFormat="1" applyFont="1" applyBorder="1" applyAlignment="1">
      <alignment horizontal="center" vertical="center"/>
    </xf>
    <xf numFmtId="1" fontId="59" fillId="0" borderId="2" xfId="0" applyNumberFormat="1" applyFont="1" applyBorder="1" applyAlignment="1">
      <alignment horizontal="center" vertical="center"/>
    </xf>
    <xf numFmtId="1" fontId="59" fillId="0" borderId="166" xfId="0" applyNumberFormat="1" applyFont="1" applyBorder="1" applyAlignment="1">
      <alignment horizontal="center" vertical="center"/>
    </xf>
    <xf numFmtId="1" fontId="8" fillId="0" borderId="168" xfId="0" applyNumberFormat="1" applyFont="1" applyBorder="1" applyAlignment="1">
      <alignment horizontal="center" vertical="center"/>
    </xf>
    <xf numFmtId="10" fontId="71" fillId="35" borderId="103" xfId="26" applyNumberFormat="1" applyFont="1" applyFill="1" applyBorder="1"/>
    <xf numFmtId="186" fontId="8" fillId="0" borderId="103" xfId="26" applyNumberFormat="1" applyBorder="1"/>
    <xf numFmtId="180" fontId="54" fillId="0" borderId="0" xfId="16" applyNumberFormat="1" applyFont="1"/>
    <xf numFmtId="3" fontId="69" fillId="38" borderId="146" xfId="0" quotePrefix="1" applyNumberFormat="1" applyFont="1" applyFill="1" applyBorder="1" applyAlignment="1">
      <alignment horizontal="center" vertical="center"/>
    </xf>
    <xf numFmtId="3" fontId="69" fillId="38" borderId="45" xfId="0" quotePrefix="1" applyNumberFormat="1" applyFont="1" applyFill="1" applyBorder="1" applyAlignment="1">
      <alignment horizontal="center" vertical="center"/>
    </xf>
    <xf numFmtId="3" fontId="69" fillId="38" borderId="43" xfId="0" quotePrefix="1" applyNumberFormat="1" applyFont="1" applyFill="1" applyBorder="1" applyAlignment="1">
      <alignment horizontal="center" vertical="center"/>
    </xf>
    <xf numFmtId="3" fontId="25" fillId="38" borderId="146" xfId="0" applyNumberFormat="1" applyFont="1" applyFill="1" applyBorder="1" applyAlignment="1">
      <alignment horizontal="center" vertical="center"/>
    </xf>
    <xf numFmtId="3" fontId="25" fillId="38" borderId="45" xfId="0" applyNumberFormat="1" applyFont="1" applyFill="1" applyBorder="1" applyAlignment="1">
      <alignment horizontal="center" vertical="center"/>
    </xf>
    <xf numFmtId="3" fontId="25" fillId="38" borderId="43" xfId="0" applyNumberFormat="1" applyFont="1" applyFill="1" applyBorder="1" applyAlignment="1">
      <alignment horizontal="center" vertical="center"/>
    </xf>
    <xf numFmtId="0" fontId="69" fillId="38" borderId="146" xfId="0" applyFont="1" applyFill="1" applyBorder="1" applyAlignment="1">
      <alignment horizontal="center" vertical="center"/>
    </xf>
    <xf numFmtId="0" fontId="69" fillId="38" borderId="45" xfId="0" applyFont="1" applyFill="1" applyBorder="1" applyAlignment="1">
      <alignment horizontal="center" vertical="center"/>
    </xf>
    <xf numFmtId="0" fontId="69" fillId="38" borderId="43" xfId="0" applyFont="1" applyFill="1" applyBorder="1" applyAlignment="1">
      <alignment horizontal="center" vertical="center"/>
    </xf>
    <xf numFmtId="1" fontId="69" fillId="0" borderId="146" xfId="0" applyNumberFormat="1" applyFont="1" applyBorder="1" applyAlignment="1">
      <alignment horizontal="center" vertical="center"/>
    </xf>
    <xf numFmtId="1" fontId="69" fillId="0" borderId="45" xfId="0" quotePrefix="1" applyNumberFormat="1" applyFont="1" applyBorder="1" applyAlignment="1">
      <alignment horizontal="center" vertical="center"/>
    </xf>
    <xf numFmtId="1" fontId="69" fillId="0" borderId="137" xfId="0" quotePrefix="1" applyNumberFormat="1" applyFont="1" applyBorder="1" applyAlignment="1">
      <alignment horizontal="center" vertical="center"/>
    </xf>
    <xf numFmtId="1" fontId="25" fillId="0" borderId="146" xfId="0" applyNumberFormat="1" applyFont="1" applyBorder="1" applyAlignment="1">
      <alignment horizontal="center" vertical="center"/>
    </xf>
    <xf numFmtId="1" fontId="25" fillId="0" borderId="45" xfId="0" applyNumberFormat="1" applyFont="1" applyBorder="1" applyAlignment="1">
      <alignment horizontal="center" vertical="center"/>
    </xf>
    <xf numFmtId="1" fontId="25" fillId="0" borderId="137" xfId="0" applyNumberFormat="1" applyFont="1" applyBorder="1" applyAlignment="1">
      <alignment horizontal="center" vertical="center"/>
    </xf>
    <xf numFmtId="1" fontId="69" fillId="0" borderId="45" xfId="0" applyNumberFormat="1" applyFont="1" applyBorder="1" applyAlignment="1">
      <alignment horizontal="center" vertical="center"/>
    </xf>
    <xf numFmtId="1" fontId="69" fillId="0" borderId="137" xfId="0"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33" xfId="0" applyNumberFormat="1" applyFont="1" applyBorder="1" applyAlignment="1">
      <alignment horizontal="center" vertical="center"/>
    </xf>
    <xf numFmtId="1" fontId="8" fillId="0" borderId="173" xfId="0" applyNumberFormat="1" applyFont="1" applyBorder="1" applyAlignment="1">
      <alignment horizontal="center" vertical="center"/>
    </xf>
    <xf numFmtId="0" fontId="66" fillId="0" borderId="0" xfId="0" applyFont="1" applyAlignment="1">
      <alignment horizontal="center"/>
    </xf>
    <xf numFmtId="1" fontId="66" fillId="0" borderId="0" xfId="0" applyNumberFormat="1" applyFont="1" applyAlignment="1">
      <alignment horizontal="center"/>
    </xf>
    <xf numFmtId="1" fontId="72" fillId="0" borderId="0" xfId="0" applyNumberFormat="1" applyFont="1" applyAlignment="1">
      <alignment horizontal="left"/>
    </xf>
    <xf numFmtId="0" fontId="8" fillId="0" borderId="0" xfId="26" applyAlignment="1">
      <alignment vertical="center" wrapText="1"/>
    </xf>
    <xf numFmtId="3" fontId="52" fillId="34" borderId="105" xfId="5" applyFont="1" applyFill="1" applyBorder="1" applyAlignment="1">
      <alignment horizontal="right" vertical="center" wrapText="1"/>
    </xf>
    <xf numFmtId="4" fontId="8" fillId="34" borderId="105" xfId="7" applyFont="1" applyFill="1" applyBorder="1" applyAlignment="1">
      <alignment horizontal="right" vertical="center" wrapText="1"/>
    </xf>
    <xf numFmtId="4" fontId="32" fillId="0" borderId="103" xfId="7" applyFont="1" applyFill="1" applyBorder="1" applyAlignment="1">
      <alignment horizontal="right" vertical="center" wrapText="1"/>
    </xf>
    <xf numFmtId="0" fontId="8" fillId="0" borderId="103" xfId="10" applyFont="1" applyFill="1" applyBorder="1" applyAlignment="1">
      <alignment horizontal="right" vertical="center" wrapText="1"/>
    </xf>
    <xf numFmtId="0" fontId="20" fillId="0" borderId="0" xfId="8" applyFill="1" applyBorder="1" applyAlignment="1">
      <alignment wrapText="1"/>
    </xf>
    <xf numFmtId="0" fontId="8" fillId="0" borderId="0" xfId="26" applyAlignment="1">
      <alignment wrapText="1"/>
    </xf>
    <xf numFmtId="0" fontId="0" fillId="0" borderId="0" xfId="0" applyAlignment="1">
      <alignment wrapText="1"/>
    </xf>
    <xf numFmtId="0" fontId="0" fillId="0" borderId="0" xfId="26" applyFont="1"/>
    <xf numFmtId="2" fontId="8" fillId="0" borderId="0" xfId="26" applyNumberFormat="1"/>
    <xf numFmtId="2" fontId="0" fillId="0" borderId="0" xfId="26" applyNumberFormat="1" applyFont="1"/>
    <xf numFmtId="0" fontId="59" fillId="0" borderId="0" xfId="0" applyFont="1"/>
    <xf numFmtId="0" fontId="59" fillId="0" borderId="0" xfId="0" applyFont="1" applyAlignment="1">
      <alignment horizontal="center"/>
    </xf>
    <xf numFmtId="179" fontId="8" fillId="0" borderId="0" xfId="0" applyNumberFormat="1" applyFont="1"/>
    <xf numFmtId="178" fontId="8" fillId="0" borderId="0" xfId="0" applyNumberFormat="1" applyFont="1"/>
    <xf numFmtId="179" fontId="26" fillId="0" borderId="0" xfId="0" applyNumberFormat="1" applyFont="1"/>
    <xf numFmtId="180" fontId="8" fillId="24" borderId="18" xfId="16" applyNumberFormat="1" applyFont="1" applyFill="1" applyBorder="1" applyAlignment="1">
      <alignment horizontal="center"/>
    </xf>
    <xf numFmtId="185" fontId="34" fillId="24" borderId="90" xfId="0" applyNumberFormat="1" applyFont="1" applyFill="1" applyBorder="1" applyAlignment="1">
      <alignment horizontal="center"/>
    </xf>
    <xf numFmtId="0" fontId="47" fillId="9" borderId="69" xfId="0" applyFont="1" applyFill="1" applyBorder="1" applyAlignment="1">
      <alignment horizontal="center" vertical="center"/>
    </xf>
    <xf numFmtId="0" fontId="47" fillId="31" borderId="69" xfId="0" applyFont="1" applyFill="1" applyBorder="1" applyAlignment="1">
      <alignment horizontal="center" vertical="center"/>
    </xf>
    <xf numFmtId="4" fontId="25" fillId="9" borderId="103" xfId="7" applyFont="1" applyFill="1" applyBorder="1" applyAlignment="1">
      <alignment horizontal="right" vertical="center"/>
    </xf>
    <xf numFmtId="0" fontId="47" fillId="5" borderId="131" xfId="0" applyFont="1" applyFill="1" applyBorder="1" applyAlignment="1">
      <alignment horizontal="center"/>
    </xf>
    <xf numFmtId="0" fontId="27" fillId="32" borderId="10" xfId="0" applyFont="1" applyFill="1" applyBorder="1" applyAlignment="1">
      <alignment horizontal="center"/>
    </xf>
    <xf numFmtId="0" fontId="47" fillId="5" borderId="116" xfId="0" applyFont="1" applyFill="1" applyBorder="1" applyAlignment="1">
      <alignment horizontal="center"/>
    </xf>
    <xf numFmtId="0" fontId="27" fillId="32" borderId="179" xfId="0" applyFont="1" applyFill="1" applyBorder="1" applyAlignment="1">
      <alignment horizontal="center"/>
    </xf>
    <xf numFmtId="0" fontId="13" fillId="17" borderId="93" xfId="0" applyFont="1" applyFill="1" applyBorder="1" applyAlignment="1">
      <alignment horizontal="left" vertical="center"/>
    </xf>
    <xf numFmtId="185" fontId="0" fillId="17" borderId="89" xfId="0" applyNumberFormat="1" applyFill="1" applyBorder="1" applyAlignment="1">
      <alignment horizontal="center"/>
    </xf>
    <xf numFmtId="0" fontId="13" fillId="17" borderId="94" xfId="0" applyFont="1" applyFill="1" applyBorder="1" applyAlignment="1">
      <alignment horizontal="left" vertical="center"/>
    </xf>
    <xf numFmtId="9" fontId="0" fillId="17" borderId="90" xfId="16" applyFont="1" applyFill="1" applyBorder="1" applyAlignment="1">
      <alignment horizontal="center"/>
    </xf>
    <xf numFmtId="9" fontId="8" fillId="17" borderId="89" xfId="16" applyFont="1" applyFill="1" applyBorder="1" applyAlignment="1">
      <alignment horizontal="center"/>
    </xf>
    <xf numFmtId="2" fontId="0" fillId="17" borderId="90" xfId="0" applyNumberFormat="1" applyFill="1" applyBorder="1" applyAlignment="1">
      <alignment horizontal="center"/>
    </xf>
    <xf numFmtId="0" fontId="13" fillId="17" borderId="92" xfId="0" applyFont="1" applyFill="1" applyBorder="1" applyAlignment="1">
      <alignment horizontal="left" vertical="center"/>
    </xf>
    <xf numFmtId="2" fontId="0" fillId="17" borderId="88" xfId="0" applyNumberFormat="1" applyFill="1" applyBorder="1" applyAlignment="1">
      <alignment horizontal="center"/>
    </xf>
    <xf numFmtId="2" fontId="8" fillId="17" borderId="90" xfId="0" applyNumberFormat="1" applyFont="1" applyFill="1" applyBorder="1" applyAlignment="1">
      <alignment horizontal="center"/>
    </xf>
    <xf numFmtId="181" fontId="0" fillId="17" borderId="90" xfId="0" applyNumberFormat="1" applyFill="1" applyBorder="1" applyAlignment="1">
      <alignment horizontal="center"/>
    </xf>
    <xf numFmtId="9" fontId="0" fillId="0" borderId="88" xfId="16" applyFont="1" applyFill="1" applyBorder="1" applyAlignment="1">
      <alignment horizontal="center"/>
    </xf>
    <xf numFmtId="0" fontId="13" fillId="0" borderId="94" xfId="0" applyFont="1" applyBorder="1" applyAlignment="1">
      <alignment horizontal="left" vertical="center"/>
    </xf>
    <xf numFmtId="9" fontId="0" fillId="0" borderId="90" xfId="16" applyFont="1" applyFill="1" applyBorder="1" applyAlignment="1">
      <alignment horizontal="center"/>
    </xf>
    <xf numFmtId="2" fontId="0" fillId="0" borderId="88" xfId="0" applyNumberFormat="1" applyBorder="1" applyAlignment="1">
      <alignment horizontal="center"/>
    </xf>
    <xf numFmtId="0" fontId="13" fillId="0" borderId="93" xfId="0" applyFont="1" applyBorder="1" applyAlignment="1">
      <alignment horizontal="left" vertical="center"/>
    </xf>
    <xf numFmtId="2" fontId="0" fillId="0" borderId="90" xfId="0" applyNumberFormat="1" applyBorder="1" applyAlignment="1">
      <alignment horizontal="center"/>
    </xf>
    <xf numFmtId="2" fontId="0" fillId="17" borderId="89" xfId="0" applyNumberFormat="1" applyFill="1" applyBorder="1" applyAlignment="1">
      <alignment horizontal="center"/>
    </xf>
    <xf numFmtId="0" fontId="14" fillId="17" borderId="94" xfId="0" applyFont="1" applyFill="1" applyBorder="1" applyAlignment="1">
      <alignment horizontal="left" vertical="center"/>
    </xf>
    <xf numFmtId="2" fontId="0" fillId="17" borderId="90" xfId="16" applyNumberFormat="1" applyFont="1" applyFill="1" applyBorder="1" applyAlignment="1">
      <alignment horizontal="center"/>
    </xf>
    <xf numFmtId="188" fontId="0" fillId="17" borderId="90" xfId="0" applyNumberFormat="1" applyFill="1" applyBorder="1" applyAlignment="1">
      <alignment horizontal="center"/>
    </xf>
    <xf numFmtId="0" fontId="13" fillId="0" borderId="96" xfId="0" applyFont="1" applyBorder="1" applyAlignment="1">
      <alignment horizontal="left" vertical="center"/>
    </xf>
    <xf numFmtId="9" fontId="0" fillId="0" borderId="97" xfId="16" applyFont="1" applyFill="1" applyBorder="1" applyAlignment="1">
      <alignment horizontal="center"/>
    </xf>
    <xf numFmtId="10" fontId="8" fillId="0" borderId="89" xfId="16" applyNumberFormat="1" applyFont="1" applyFill="1" applyBorder="1" applyAlignment="1">
      <alignment horizontal="center"/>
    </xf>
    <xf numFmtId="10" fontId="0" fillId="0" borderId="89" xfId="16" applyNumberFormat="1" applyFont="1" applyFill="1" applyBorder="1" applyAlignment="1">
      <alignment horizontal="center"/>
    </xf>
    <xf numFmtId="181" fontId="0" fillId="0" borderId="89" xfId="0" applyNumberFormat="1" applyBorder="1" applyAlignment="1">
      <alignment horizontal="center"/>
    </xf>
    <xf numFmtId="181" fontId="8" fillId="0" borderId="88" xfId="0" applyNumberFormat="1" applyFont="1" applyBorder="1" applyAlignment="1">
      <alignment horizontal="center"/>
    </xf>
    <xf numFmtId="181" fontId="0" fillId="0" borderId="88" xfId="0" applyNumberFormat="1" applyBorder="1" applyAlignment="1">
      <alignment horizontal="center"/>
    </xf>
    <xf numFmtId="2" fontId="0" fillId="0" borderId="89" xfId="0" applyNumberFormat="1" applyBorder="1" applyAlignment="1">
      <alignment horizontal="center"/>
    </xf>
    <xf numFmtId="181" fontId="0" fillId="0" borderId="90" xfId="0" applyNumberFormat="1" applyBorder="1" applyAlignment="1">
      <alignment horizontal="center"/>
    </xf>
    <xf numFmtId="180" fontId="0" fillId="0" borderId="88" xfId="16" applyNumberFormat="1" applyFont="1" applyFill="1" applyBorder="1" applyAlignment="1">
      <alignment horizontal="center"/>
    </xf>
    <xf numFmtId="185" fontId="26" fillId="18" borderId="196" xfId="0" applyNumberFormat="1" applyFont="1" applyFill="1" applyBorder="1" applyAlignment="1">
      <alignment horizontal="center"/>
    </xf>
    <xf numFmtId="185" fontId="26" fillId="18" borderId="197" xfId="0" applyNumberFormat="1" applyFont="1" applyFill="1" applyBorder="1" applyAlignment="1">
      <alignment horizontal="center"/>
    </xf>
    <xf numFmtId="9" fontId="26" fillId="31" borderId="71" xfId="16" applyFont="1" applyFill="1" applyBorder="1" applyAlignment="1">
      <alignment horizontal="center" vertical="center"/>
    </xf>
    <xf numFmtId="9" fontId="26" fillId="18" borderId="196" xfId="16" applyFont="1" applyFill="1" applyBorder="1" applyAlignment="1">
      <alignment horizontal="center"/>
    </xf>
    <xf numFmtId="9" fontId="26" fillId="18" borderId="95" xfId="16" applyFont="1" applyFill="1" applyBorder="1" applyAlignment="1">
      <alignment horizontal="center"/>
    </xf>
    <xf numFmtId="9" fontId="26" fillId="18" borderId="197" xfId="16" applyFont="1" applyFill="1" applyBorder="1" applyAlignment="1">
      <alignment horizontal="center"/>
    </xf>
    <xf numFmtId="0" fontId="26" fillId="31" borderId="71" xfId="0" applyFont="1" applyFill="1" applyBorder="1" applyAlignment="1">
      <alignment horizontal="center" vertical="center"/>
    </xf>
    <xf numFmtId="2" fontId="26" fillId="18" borderId="95" xfId="0" applyNumberFormat="1" applyFont="1" applyFill="1" applyBorder="1" applyAlignment="1">
      <alignment horizontal="center"/>
    </xf>
    <xf numFmtId="2" fontId="26" fillId="18" borderId="197" xfId="0" applyNumberFormat="1" applyFont="1" applyFill="1" applyBorder="1" applyAlignment="1">
      <alignment horizontal="center"/>
    </xf>
    <xf numFmtId="2" fontId="26" fillId="31" borderId="71" xfId="16" applyNumberFormat="1" applyFont="1" applyFill="1" applyBorder="1" applyAlignment="1">
      <alignment horizontal="center" vertical="center"/>
    </xf>
    <xf numFmtId="2" fontId="26" fillId="18" borderId="196" xfId="0" applyNumberFormat="1" applyFont="1" applyFill="1" applyBorder="1" applyAlignment="1">
      <alignment horizontal="center"/>
    </xf>
    <xf numFmtId="10" fontId="26" fillId="31" borderId="71" xfId="0" applyNumberFormat="1" applyFont="1" applyFill="1" applyBorder="1" applyAlignment="1">
      <alignment horizontal="center" vertical="center"/>
    </xf>
    <xf numFmtId="183" fontId="26" fillId="31" borderId="71" xfId="19" applyNumberFormat="1" applyFont="1" applyFill="1" applyBorder="1" applyAlignment="1">
      <alignment horizontal="center" vertical="center"/>
    </xf>
    <xf numFmtId="2" fontId="26" fillId="18" borderId="95" xfId="16" applyNumberFormat="1" applyFont="1" applyFill="1" applyBorder="1" applyAlignment="1">
      <alignment horizontal="center"/>
    </xf>
    <xf numFmtId="0" fontId="26" fillId="31" borderId="71" xfId="0" applyFont="1" applyFill="1" applyBorder="1" applyAlignment="1">
      <alignment horizontal="center"/>
    </xf>
    <xf numFmtId="9" fontId="26" fillId="18" borderId="73" xfId="16" applyFont="1" applyFill="1" applyBorder="1" applyAlignment="1">
      <alignment horizontal="center"/>
    </xf>
    <xf numFmtId="3" fontId="54" fillId="0" borderId="135" xfId="0" applyNumberFormat="1" applyFont="1" applyBorder="1" applyAlignment="1">
      <alignment horizontal="center" vertical="center"/>
    </xf>
    <xf numFmtId="0" fontId="54" fillId="0" borderId="199" xfId="0" applyFont="1" applyBorder="1"/>
    <xf numFmtId="0" fontId="54" fillId="0" borderId="42" xfId="0" applyFont="1" applyBorder="1"/>
    <xf numFmtId="10" fontId="5" fillId="0" borderId="0" xfId="29" quotePrefix="1" applyNumberFormat="1" applyAlignment="1">
      <alignment horizontal="right"/>
    </xf>
    <xf numFmtId="0" fontId="59" fillId="0" borderId="137" xfId="0" applyFont="1" applyBorder="1" applyAlignment="1">
      <alignment horizontal="center" vertical="center"/>
    </xf>
    <xf numFmtId="3" fontId="59" fillId="40" borderId="137" xfId="0" applyNumberFormat="1" applyFont="1" applyFill="1" applyBorder="1" applyAlignment="1">
      <alignment horizontal="center" vertical="center"/>
    </xf>
    <xf numFmtId="0" fontId="59" fillId="41" borderId="137" xfId="0" applyFont="1" applyFill="1" applyBorder="1" applyAlignment="1">
      <alignment horizontal="center" vertical="center"/>
    </xf>
    <xf numFmtId="3" fontId="59" fillId="40" borderId="137" xfId="0" quotePrefix="1" applyNumberFormat="1" applyFont="1" applyFill="1" applyBorder="1" applyAlignment="1">
      <alignment horizontal="center" vertical="center"/>
    </xf>
    <xf numFmtId="3" fontId="59" fillId="0" borderId="137" xfId="0" applyNumberFormat="1" applyFont="1" applyBorder="1" applyAlignment="1">
      <alignment horizontal="center" vertical="center"/>
    </xf>
    <xf numFmtId="3" fontId="59" fillId="41" borderId="173" xfId="0" applyNumberFormat="1" applyFont="1" applyFill="1" applyBorder="1" applyAlignment="1">
      <alignment horizontal="center" vertical="center"/>
    </xf>
    <xf numFmtId="1" fontId="54" fillId="40" borderId="200" xfId="0" applyNumberFormat="1" applyFont="1" applyFill="1" applyBorder="1" applyAlignment="1">
      <alignment horizontal="center" vertical="center"/>
    </xf>
    <xf numFmtId="1" fontId="54" fillId="40" borderId="168" xfId="0" applyNumberFormat="1" applyFont="1" applyFill="1" applyBorder="1" applyAlignment="1">
      <alignment horizontal="center" vertical="center"/>
    </xf>
    <xf numFmtId="1" fontId="54" fillId="40" borderId="3" xfId="0" applyNumberFormat="1" applyFont="1" applyFill="1" applyBorder="1" applyAlignment="1">
      <alignment horizontal="center" vertical="center"/>
    </xf>
    <xf numFmtId="1" fontId="54" fillId="40" borderId="33" xfId="0" applyNumberFormat="1" applyFont="1" applyFill="1" applyBorder="1" applyAlignment="1">
      <alignment horizontal="center" vertical="center"/>
    </xf>
    <xf numFmtId="1" fontId="0" fillId="0" borderId="168" xfId="0" applyNumberFormat="1" applyBorder="1" applyAlignment="1">
      <alignment horizontal="center" vertical="center"/>
    </xf>
    <xf numFmtId="1" fontId="0" fillId="0" borderId="3" xfId="0" applyNumberFormat="1" applyBorder="1" applyAlignment="1">
      <alignment horizontal="center" vertical="center"/>
    </xf>
    <xf numFmtId="1" fontId="0" fillId="0" borderId="173" xfId="0" applyNumberFormat="1" applyBorder="1" applyAlignment="1">
      <alignment horizontal="center" vertical="center"/>
    </xf>
    <xf numFmtId="1" fontId="0" fillId="0" borderId="34" xfId="0" applyNumberFormat="1" applyBorder="1" applyAlignment="1">
      <alignment horizontal="center" vertical="center"/>
    </xf>
    <xf numFmtId="0" fontId="27" fillId="0" borderId="0" xfId="26" applyFont="1" applyAlignment="1">
      <alignment horizontal="center" vertical="center"/>
    </xf>
    <xf numFmtId="4" fontId="25" fillId="0" borderId="0" xfId="7" applyFont="1" applyFill="1" applyBorder="1">
      <alignment horizontal="right"/>
    </xf>
    <xf numFmtId="0" fontId="47" fillId="31" borderId="64" xfId="0" applyFont="1" applyFill="1" applyBorder="1" applyAlignment="1">
      <alignment horizontal="left" vertical="center"/>
    </xf>
    <xf numFmtId="10" fontId="0" fillId="0" borderId="50" xfId="0" applyNumberFormat="1" applyBorder="1" applyAlignment="1">
      <alignment horizontal="center" vertical="center"/>
    </xf>
    <xf numFmtId="0" fontId="13" fillId="8" borderId="96" xfId="0" applyFont="1" applyFill="1" applyBorder="1" applyAlignment="1">
      <alignment horizontal="left" vertical="center"/>
    </xf>
    <xf numFmtId="10" fontId="0" fillId="8" borderId="97" xfId="16" applyNumberFormat="1" applyFont="1" applyFill="1" applyBorder="1" applyAlignment="1">
      <alignment horizontal="center" vertical="center"/>
    </xf>
    <xf numFmtId="10" fontId="0" fillId="8" borderId="98" xfId="16" applyNumberFormat="1" applyFont="1" applyFill="1" applyBorder="1" applyAlignment="1">
      <alignment horizontal="center" vertical="center"/>
    </xf>
    <xf numFmtId="0" fontId="47" fillId="0" borderId="0" xfId="0" applyFont="1" applyAlignment="1">
      <alignment horizontal="left" vertical="center"/>
    </xf>
    <xf numFmtId="10" fontId="0" fillId="0" borderId="0" xfId="16" applyNumberFormat="1" applyFont="1" applyFill="1" applyBorder="1" applyAlignment="1">
      <alignment horizontal="center" vertical="center"/>
    </xf>
    <xf numFmtId="0" fontId="58" fillId="36" borderId="73" xfId="0" applyFont="1" applyFill="1" applyBorder="1" applyAlignment="1">
      <alignment horizontal="center" vertical="center"/>
    </xf>
    <xf numFmtId="185" fontId="0" fillId="0" borderId="196" xfId="0" applyNumberFormat="1" applyBorder="1" applyAlignment="1">
      <alignment horizontal="center"/>
    </xf>
    <xf numFmtId="185" fontId="0" fillId="17" borderId="197" xfId="0" applyNumberFormat="1" applyFill="1" applyBorder="1" applyAlignment="1">
      <alignment horizontal="center"/>
    </xf>
    <xf numFmtId="0" fontId="0" fillId="31" borderId="71" xfId="0" applyFill="1" applyBorder="1" applyAlignment="1">
      <alignment horizontal="center"/>
    </xf>
    <xf numFmtId="9" fontId="0" fillId="0" borderId="196" xfId="16" applyFont="1" applyFill="1" applyBorder="1" applyAlignment="1">
      <alignment horizontal="center"/>
    </xf>
    <xf numFmtId="9" fontId="0" fillId="17" borderId="95" xfId="16" applyFont="1" applyFill="1" applyBorder="1" applyAlignment="1">
      <alignment horizontal="center"/>
    </xf>
    <xf numFmtId="9" fontId="0" fillId="0" borderId="95" xfId="16" applyFont="1" applyFill="1" applyBorder="1" applyAlignment="1">
      <alignment horizontal="center"/>
    </xf>
    <xf numFmtId="9" fontId="0" fillId="17" borderId="197" xfId="16" applyFont="1" applyFill="1" applyBorder="1" applyAlignment="1">
      <alignment horizontal="center"/>
    </xf>
    <xf numFmtId="2" fontId="0" fillId="0" borderId="196" xfId="0" applyNumberFormat="1" applyBorder="1" applyAlignment="1">
      <alignment horizontal="center"/>
    </xf>
    <xf numFmtId="2" fontId="0" fillId="17" borderId="95" xfId="0" applyNumberFormat="1" applyFill="1" applyBorder="1" applyAlignment="1">
      <alignment horizontal="center"/>
    </xf>
    <xf numFmtId="2" fontId="0" fillId="0" borderId="197" xfId="0" applyNumberFormat="1" applyBorder="1" applyAlignment="1">
      <alignment horizontal="center"/>
    </xf>
    <xf numFmtId="2" fontId="0" fillId="17" borderId="196" xfId="0" applyNumberFormat="1" applyFill="1" applyBorder="1" applyAlignment="1">
      <alignment horizontal="center"/>
    </xf>
    <xf numFmtId="2" fontId="0" fillId="0" borderId="95" xfId="0" applyNumberFormat="1" applyBorder="1" applyAlignment="1">
      <alignment horizontal="center"/>
    </xf>
    <xf numFmtId="2" fontId="0" fillId="17" borderId="197" xfId="0" applyNumberFormat="1" applyFill="1" applyBorder="1" applyAlignment="1">
      <alignment horizontal="center"/>
    </xf>
    <xf numFmtId="181" fontId="0" fillId="0" borderId="196" xfId="0" applyNumberFormat="1" applyBorder="1" applyAlignment="1">
      <alignment horizontal="center"/>
    </xf>
    <xf numFmtId="181" fontId="0" fillId="17" borderId="95" xfId="0" applyNumberFormat="1" applyFill="1" applyBorder="1" applyAlignment="1">
      <alignment horizontal="center"/>
    </xf>
    <xf numFmtId="181" fontId="0" fillId="0" borderId="95" xfId="0" applyNumberFormat="1" applyBorder="1" applyAlignment="1">
      <alignment horizontal="center"/>
    </xf>
    <xf numFmtId="181" fontId="0" fillId="0" borderId="197" xfId="0" applyNumberFormat="1" applyBorder="1" applyAlignment="1">
      <alignment horizontal="center"/>
    </xf>
    <xf numFmtId="180" fontId="0" fillId="0" borderId="196" xfId="16" applyNumberFormat="1" applyFont="1" applyFill="1" applyBorder="1" applyAlignment="1">
      <alignment horizontal="center"/>
    </xf>
    <xf numFmtId="2" fontId="0" fillId="17" borderId="95" xfId="16" applyNumberFormat="1" applyFont="1" applyFill="1" applyBorder="1" applyAlignment="1">
      <alignment horizontal="center"/>
    </xf>
    <xf numFmtId="10" fontId="0" fillId="0" borderId="197" xfId="16" applyNumberFormat="1" applyFont="1" applyFill="1" applyBorder="1" applyAlignment="1">
      <alignment horizontal="center"/>
    </xf>
    <xf numFmtId="10" fontId="0" fillId="17" borderId="95" xfId="16" applyNumberFormat="1" applyFont="1" applyFill="1" applyBorder="1" applyAlignment="1">
      <alignment horizontal="center" vertical="center"/>
    </xf>
    <xf numFmtId="188" fontId="0" fillId="8" borderId="95" xfId="0" applyNumberFormat="1" applyFill="1" applyBorder="1" applyAlignment="1">
      <alignment horizontal="right" vertical="center"/>
    </xf>
    <xf numFmtId="188" fontId="0" fillId="17" borderId="95" xfId="0" applyNumberFormat="1" applyFill="1" applyBorder="1" applyAlignment="1">
      <alignment horizontal="center"/>
    </xf>
    <xf numFmtId="9" fontId="0" fillId="0" borderId="98" xfId="16" applyFont="1" applyFill="1" applyBorder="1" applyAlignment="1">
      <alignment horizontal="center"/>
    </xf>
    <xf numFmtId="0" fontId="74" fillId="36" borderId="71" xfId="0" applyFont="1" applyFill="1" applyBorder="1" applyAlignment="1">
      <alignment horizontal="center" vertical="center" wrapText="1"/>
    </xf>
    <xf numFmtId="9" fontId="0" fillId="0" borderId="0" xfId="16" applyFont="1" applyBorder="1" applyAlignment="1">
      <alignment horizontal="center" vertical="center"/>
    </xf>
    <xf numFmtId="0" fontId="27" fillId="5" borderId="204" xfId="26" applyFont="1" applyFill="1" applyBorder="1" applyAlignment="1">
      <alignment horizontal="center" vertical="center"/>
    </xf>
    <xf numFmtId="4" fontId="25" fillId="28" borderId="205" xfId="7" applyFont="1" applyFill="1" applyBorder="1">
      <alignment horizontal="right"/>
    </xf>
    <xf numFmtId="4" fontId="8" fillId="12" borderId="205" xfId="7" applyFont="1" applyFill="1" applyBorder="1">
      <alignment horizontal="right"/>
    </xf>
    <xf numFmtId="4" fontId="32" fillId="9" borderId="206" xfId="7" applyFont="1" applyFill="1" applyBorder="1">
      <alignment horizontal="right"/>
    </xf>
    <xf numFmtId="0" fontId="58" fillId="36" borderId="0" xfId="24" applyFont="1" applyFill="1"/>
    <xf numFmtId="0" fontId="75" fillId="36" borderId="0" xfId="24" applyFont="1" applyFill="1" applyAlignment="1">
      <alignment horizontal="left" vertical="center"/>
    </xf>
    <xf numFmtId="0" fontId="75" fillId="36" borderId="0" xfId="24" applyFont="1" applyFill="1" applyAlignment="1">
      <alignment horizontal="center" vertical="center"/>
    </xf>
    <xf numFmtId="0" fontId="8" fillId="31" borderId="0" xfId="24" applyFill="1"/>
    <xf numFmtId="0" fontId="8" fillId="0" borderId="0" xfId="24"/>
    <xf numFmtId="10" fontId="0" fillId="0" borderId="0" xfId="16" applyNumberFormat="1" applyFont="1" applyAlignment="1">
      <alignment horizontal="left"/>
    </xf>
    <xf numFmtId="0" fontId="13" fillId="0" borderId="0" xfId="24" applyFont="1"/>
    <xf numFmtId="0" fontId="8" fillId="8" borderId="0" xfId="24" applyFill="1"/>
    <xf numFmtId="0" fontId="38" fillId="0" borderId="0" xfId="24" applyFont="1"/>
    <xf numFmtId="10" fontId="8" fillId="8" borderId="0" xfId="24" applyNumberFormat="1" applyFill="1"/>
    <xf numFmtId="0" fontId="8" fillId="0" borderId="0" xfId="24" applyAlignment="1">
      <alignment horizontal="left"/>
    </xf>
    <xf numFmtId="0" fontId="13" fillId="0" borderId="0" xfId="24" applyFont="1" applyAlignment="1">
      <alignment horizontal="center"/>
    </xf>
    <xf numFmtId="10" fontId="76" fillId="0" borderId="0" xfId="24" applyNumberFormat="1" applyFont="1" applyAlignment="1">
      <alignment horizontal="center"/>
    </xf>
    <xf numFmtId="10" fontId="8" fillId="0" borderId="0" xfId="24" applyNumberFormat="1"/>
    <xf numFmtId="180" fontId="0" fillId="0" borderId="0" xfId="16" applyNumberFormat="1" applyFont="1"/>
    <xf numFmtId="0" fontId="76" fillId="0" borderId="0" xfId="24" applyFont="1"/>
    <xf numFmtId="0" fontId="50" fillId="31" borderId="0" xfId="24" applyFont="1" applyFill="1"/>
    <xf numFmtId="180" fontId="38" fillId="0" borderId="0" xfId="24" applyNumberFormat="1" applyFont="1"/>
    <xf numFmtId="0" fontId="0" fillId="7" borderId="0" xfId="0" applyFill="1"/>
    <xf numFmtId="0" fontId="27" fillId="32" borderId="215" xfId="0" applyFont="1" applyFill="1" applyBorder="1" applyAlignment="1">
      <alignment horizontal="center"/>
    </xf>
    <xf numFmtId="0" fontId="13" fillId="0" borderId="215" xfId="0" applyFont="1" applyBorder="1" applyAlignment="1">
      <alignment horizontal="center"/>
    </xf>
    <xf numFmtId="0" fontId="0" fillId="0" borderId="215" xfId="0" applyBorder="1" applyAlignment="1">
      <alignment horizontal="center"/>
    </xf>
    <xf numFmtId="0" fontId="27" fillId="10" borderId="64" xfId="0" applyFont="1" applyFill="1" applyBorder="1" applyAlignment="1">
      <alignment horizontal="center" vertical="center" wrapText="1"/>
    </xf>
    <xf numFmtId="0" fontId="27" fillId="11" borderId="64" xfId="0" applyFont="1" applyFill="1" applyBorder="1" applyAlignment="1">
      <alignment horizontal="center" vertical="center" wrapText="1"/>
    </xf>
    <xf numFmtId="0" fontId="48" fillId="15" borderId="64" xfId="0" applyFont="1" applyFill="1" applyBorder="1" applyAlignment="1">
      <alignment horizontal="center" vertical="center" wrapText="1"/>
    </xf>
    <xf numFmtId="0" fontId="27" fillId="23" borderId="64" xfId="0" applyFont="1" applyFill="1" applyBorder="1" applyAlignment="1">
      <alignment horizontal="center" vertical="center" wrapText="1"/>
    </xf>
    <xf numFmtId="0" fontId="27" fillId="16" borderId="64" xfId="0" applyFont="1" applyFill="1" applyBorder="1" applyAlignment="1">
      <alignment horizontal="center" vertical="center" wrapText="1"/>
    </xf>
    <xf numFmtId="0" fontId="57" fillId="0" borderId="0" xfId="24" applyFont="1" applyAlignment="1">
      <alignment horizontal="center"/>
    </xf>
    <xf numFmtId="0" fontId="8" fillId="24" borderId="0" xfId="0" applyFont="1" applyFill="1" applyAlignment="1">
      <alignment horizontal="center" vertical="center"/>
    </xf>
    <xf numFmtId="189" fontId="77" fillId="46" borderId="0" xfId="16" applyNumberFormat="1" applyFont="1" applyFill="1" applyBorder="1" applyAlignment="1">
      <alignment horizontal="center"/>
    </xf>
    <xf numFmtId="0" fontId="58" fillId="0" borderId="0" xfId="24" applyFont="1"/>
    <xf numFmtId="0" fontId="75" fillId="0" borderId="0" xfId="24" applyFont="1" applyAlignment="1">
      <alignment horizontal="center" vertical="center"/>
    </xf>
    <xf numFmtId="0" fontId="76" fillId="0" borderId="0" xfId="0" applyFont="1" applyAlignment="1">
      <alignment horizontal="center"/>
    </xf>
    <xf numFmtId="0" fontId="8" fillId="8" borderId="0" xfId="24" applyFill="1" applyAlignment="1">
      <alignment horizontal="center" vertical="center"/>
    </xf>
    <xf numFmtId="0" fontId="13" fillId="8" borderId="0" xfId="24" applyFont="1" applyFill="1" applyAlignment="1">
      <alignment horizontal="center" vertical="center"/>
    </xf>
    <xf numFmtId="0" fontId="8" fillId="0" borderId="0" xfId="24" applyAlignment="1">
      <alignment horizontal="center" vertical="center"/>
    </xf>
    <xf numFmtId="0" fontId="79" fillId="5" borderId="103" xfId="4" applyFont="1" applyFill="1" applyBorder="1" applyAlignment="1">
      <alignment horizontal="center" vertical="center"/>
    </xf>
    <xf numFmtId="0" fontId="47" fillId="23" borderId="70" xfId="0" applyFont="1" applyFill="1" applyBorder="1" applyAlignment="1">
      <alignment horizontal="center" vertical="center" wrapText="1"/>
    </xf>
    <xf numFmtId="0" fontId="47" fillId="16" borderId="71" xfId="0" applyFont="1" applyFill="1" applyBorder="1" applyAlignment="1">
      <alignment horizontal="center" vertical="center" wrapText="1"/>
    </xf>
    <xf numFmtId="3" fontId="62" fillId="38" borderId="163" xfId="0" applyNumberFormat="1" applyFont="1" applyFill="1" applyBorder="1" applyAlignment="1">
      <alignment horizontal="center" vertical="center"/>
    </xf>
    <xf numFmtId="189" fontId="77" fillId="46" borderId="0" xfId="16" applyNumberFormat="1" applyFont="1" applyFill="1" applyAlignment="1">
      <alignment horizontal="center"/>
    </xf>
    <xf numFmtId="190" fontId="8" fillId="0" borderId="90" xfId="0" applyNumberFormat="1" applyFont="1" applyBorder="1" applyAlignment="1">
      <alignment horizontal="center"/>
    </xf>
    <xf numFmtId="9" fontId="8" fillId="0" borderId="100" xfId="16" applyFont="1" applyBorder="1" applyAlignment="1">
      <alignment horizontal="center" vertical="center"/>
    </xf>
    <xf numFmtId="9" fontId="8" fillId="17" borderId="90" xfId="16" applyFont="1" applyFill="1" applyBorder="1" applyAlignment="1">
      <alignment horizontal="center" vertical="center"/>
    </xf>
    <xf numFmtId="10" fontId="35" fillId="19" borderId="0" xfId="16" applyNumberFormat="1" applyFont="1" applyFill="1" applyAlignment="1">
      <alignment horizontal="center"/>
    </xf>
    <xf numFmtId="180" fontId="35" fillId="19" borderId="0" xfId="16" applyNumberFormat="1" applyFont="1" applyFill="1" applyAlignment="1">
      <alignment horizontal="center"/>
    </xf>
    <xf numFmtId="10" fontId="35" fillId="19" borderId="0" xfId="0" applyNumberFormat="1" applyFont="1" applyFill="1" applyAlignment="1">
      <alignment horizontal="center"/>
    </xf>
    <xf numFmtId="3" fontId="4" fillId="43" borderId="146" xfId="30" applyNumberFormat="1" applyFill="1" applyBorder="1" applyAlignment="1">
      <alignment horizontal="center" vertical="center"/>
    </xf>
    <xf numFmtId="185" fontId="8" fillId="24" borderId="18" xfId="0" applyNumberFormat="1" applyFont="1" applyFill="1" applyBorder="1" applyAlignment="1">
      <alignment horizontal="center" vertical="center"/>
    </xf>
    <xf numFmtId="1" fontId="54" fillId="0" borderId="229" xfId="0" applyNumberFormat="1" applyFont="1" applyBorder="1" applyAlignment="1">
      <alignment horizontal="center" vertical="center"/>
    </xf>
    <xf numFmtId="1" fontId="54" fillId="0" borderId="230" xfId="0" applyNumberFormat="1" applyFont="1" applyBorder="1" applyAlignment="1">
      <alignment horizontal="center" vertical="center"/>
    </xf>
    <xf numFmtId="1" fontId="54" fillId="0" borderId="231" xfId="0" applyNumberFormat="1" applyFont="1" applyBorder="1" applyAlignment="1">
      <alignment horizontal="center" vertical="center"/>
    </xf>
    <xf numFmtId="1" fontId="54" fillId="0" borderId="232" xfId="0" applyNumberFormat="1" applyFont="1" applyBorder="1" applyAlignment="1">
      <alignment horizontal="center" vertical="center"/>
    </xf>
    <xf numFmtId="1" fontId="54" fillId="0" borderId="233" xfId="0" applyNumberFormat="1" applyFont="1" applyBorder="1" applyAlignment="1">
      <alignment horizontal="center" vertical="center"/>
    </xf>
    <xf numFmtId="4" fontId="5" fillId="0" borderId="234" xfId="29" applyNumberFormat="1" applyBorder="1" applyAlignment="1">
      <alignment horizontal="center"/>
    </xf>
    <xf numFmtId="4" fontId="5" fillId="0" borderId="235" xfId="29" applyNumberFormat="1" applyBorder="1" applyAlignment="1">
      <alignment horizontal="center"/>
    </xf>
    <xf numFmtId="4" fontId="5" fillId="0" borderId="236" xfId="29" applyNumberFormat="1" applyBorder="1" applyAlignment="1">
      <alignment horizontal="center"/>
    </xf>
    <xf numFmtId="4" fontId="5" fillId="0" borderId="237" xfId="29" applyNumberFormat="1" applyBorder="1" applyAlignment="1">
      <alignment horizontal="center"/>
    </xf>
    <xf numFmtId="4" fontId="5" fillId="0" borderId="238" xfId="29" applyNumberFormat="1" applyBorder="1" applyAlignment="1">
      <alignment horizontal="center"/>
    </xf>
    <xf numFmtId="4" fontId="5" fillId="0" borderId="239" xfId="29" applyNumberFormat="1" applyBorder="1" applyAlignment="1">
      <alignment horizontal="center"/>
    </xf>
    <xf numFmtId="4" fontId="5" fillId="0" borderId="240" xfId="29" applyNumberFormat="1" applyBorder="1" applyAlignment="1">
      <alignment horizontal="center"/>
    </xf>
    <xf numFmtId="4" fontId="5" fillId="0" borderId="241" xfId="29" applyNumberFormat="1" applyBorder="1" applyAlignment="1">
      <alignment horizontal="center"/>
    </xf>
    <xf numFmtId="3" fontId="54" fillId="8" borderId="31" xfId="0" applyNumberFormat="1" applyFont="1" applyFill="1" applyBorder="1" applyAlignment="1">
      <alignment horizontal="center" vertical="center"/>
    </xf>
    <xf numFmtId="4" fontId="5" fillId="0" borderId="1" xfId="29" applyNumberFormat="1" applyBorder="1" applyAlignment="1">
      <alignment horizontal="center"/>
    </xf>
    <xf numFmtId="4" fontId="5" fillId="0" borderId="43" xfId="29" applyNumberFormat="1" applyBorder="1" applyAlignment="1">
      <alignment horizontal="center"/>
    </xf>
    <xf numFmtId="4" fontId="5" fillId="0" borderId="33" xfId="29" applyNumberFormat="1" applyBorder="1" applyAlignment="1">
      <alignment horizontal="center"/>
    </xf>
    <xf numFmtId="3" fontId="5" fillId="0" borderId="234" xfId="29" applyNumberFormat="1" applyBorder="1" applyAlignment="1">
      <alignment horizontal="center"/>
    </xf>
    <xf numFmtId="3" fontId="5" fillId="0" borderId="45" xfId="29" applyNumberFormat="1" applyBorder="1" applyAlignment="1">
      <alignment horizontal="center"/>
    </xf>
    <xf numFmtId="3" fontId="5" fillId="0" borderId="137" xfId="29" applyNumberFormat="1" applyBorder="1" applyAlignment="1">
      <alignment horizontal="center"/>
    </xf>
    <xf numFmtId="3" fontId="5" fillId="0" borderId="44" xfId="29" applyNumberFormat="1" applyBorder="1" applyAlignment="1">
      <alignment horizontal="center"/>
    </xf>
    <xf numFmtId="3" fontId="5" fillId="0" borderId="235" xfId="29" applyNumberFormat="1" applyBorder="1" applyAlignment="1">
      <alignment horizontal="center"/>
    </xf>
    <xf numFmtId="0" fontId="8" fillId="0" borderId="244" xfId="0" quotePrefix="1" applyFont="1" applyBorder="1" applyAlignment="1">
      <alignment horizontal="center" vertical="center"/>
    </xf>
    <xf numFmtId="0" fontId="8" fillId="0" borderId="44" xfId="0" quotePrefix="1" applyFont="1" applyBorder="1" applyAlignment="1">
      <alignment horizontal="center" vertical="center"/>
    </xf>
    <xf numFmtId="1" fontId="59" fillId="41" borderId="3" xfId="0" applyNumberFormat="1" applyFont="1" applyFill="1" applyBorder="1" applyAlignment="1">
      <alignment horizontal="center" vertical="center"/>
    </xf>
    <xf numFmtId="0" fontId="8" fillId="0" borderId="109" xfId="0" quotePrefix="1" applyFont="1" applyBorder="1" applyAlignment="1">
      <alignment horizontal="center" vertical="center"/>
    </xf>
    <xf numFmtId="0" fontId="80" fillId="5" borderId="63" xfId="0" applyFont="1" applyFill="1" applyBorder="1" applyAlignment="1">
      <alignment horizontal="center" vertical="center"/>
    </xf>
    <xf numFmtId="0" fontId="23" fillId="8" borderId="102" xfId="0" applyFont="1" applyFill="1" applyBorder="1" applyAlignment="1">
      <alignment horizontal="center" vertical="center" wrapText="1"/>
    </xf>
    <xf numFmtId="0" fontId="47" fillId="13" borderId="71" xfId="0" applyFont="1" applyFill="1" applyBorder="1" applyAlignment="1">
      <alignment horizontal="center" vertical="center"/>
    </xf>
    <xf numFmtId="0" fontId="23" fillId="8" borderId="262" xfId="0" applyFont="1" applyFill="1" applyBorder="1" applyAlignment="1">
      <alignment horizontal="center" vertical="center" wrapText="1"/>
    </xf>
    <xf numFmtId="191" fontId="35" fillId="19" borderId="0" xfId="0" applyNumberFormat="1" applyFont="1" applyFill="1" applyAlignment="1">
      <alignment horizontal="center"/>
    </xf>
    <xf numFmtId="17" fontId="8" fillId="8" borderId="18" xfId="0" applyNumberFormat="1" applyFont="1" applyFill="1" applyBorder="1" applyAlignment="1">
      <alignment horizontal="center" vertical="center" wrapText="1"/>
    </xf>
    <xf numFmtId="16" fontId="8" fillId="8" borderId="18" xfId="0" applyNumberFormat="1" applyFont="1" applyFill="1" applyBorder="1" applyAlignment="1">
      <alignment horizontal="center" vertical="center" wrapText="1"/>
    </xf>
    <xf numFmtId="0" fontId="83" fillId="8" borderId="18" xfId="0" applyFont="1" applyFill="1" applyBorder="1" applyAlignment="1">
      <alignment vertical="center" wrapText="1"/>
    </xf>
    <xf numFmtId="189" fontId="64" fillId="8" borderId="60" xfId="0" applyNumberFormat="1" applyFont="1" applyFill="1" applyBorder="1" applyAlignment="1">
      <alignment horizontal="center"/>
    </xf>
    <xf numFmtId="189" fontId="13" fillId="0" borderId="60" xfId="0" applyNumberFormat="1" applyFont="1" applyBorder="1" applyAlignment="1">
      <alignment horizontal="center"/>
    </xf>
    <xf numFmtId="0" fontId="13" fillId="0" borderId="267" xfId="0" applyFont="1" applyBorder="1"/>
    <xf numFmtId="0" fontId="84" fillId="0" borderId="0" xfId="0" applyFont="1"/>
    <xf numFmtId="0" fontId="85" fillId="0" borderId="0" xfId="0" applyFont="1" applyAlignment="1">
      <alignment wrapText="1"/>
    </xf>
    <xf numFmtId="0" fontId="85" fillId="0" borderId="107" xfId="0" applyFont="1" applyBorder="1" applyAlignment="1">
      <alignment wrapText="1"/>
    </xf>
    <xf numFmtId="4" fontId="34" fillId="0" borderId="103" xfId="7" applyFont="1" applyFill="1" applyBorder="1" applyAlignment="1">
      <alignment horizontal="right" vertical="center" wrapText="1"/>
    </xf>
    <xf numFmtId="4" fontId="32" fillId="34" borderId="103" xfId="7" applyFont="1" applyFill="1" applyBorder="1" applyAlignment="1">
      <alignment horizontal="right" vertical="center" wrapText="1"/>
    </xf>
    <xf numFmtId="0" fontId="13" fillId="0" borderId="276" xfId="0" applyFont="1" applyBorder="1"/>
    <xf numFmtId="0" fontId="0" fillId="48" borderId="50" xfId="0" applyFill="1" applyBorder="1"/>
    <xf numFmtId="0" fontId="0" fillId="0" borderId="276" xfId="0" quotePrefix="1" applyBorder="1"/>
    <xf numFmtId="0" fontId="13" fillId="0" borderId="72" xfId="0" applyFont="1" applyBorder="1"/>
    <xf numFmtId="9" fontId="0" fillId="0" borderId="84" xfId="0" applyNumberFormat="1" applyBorder="1"/>
    <xf numFmtId="0" fontId="13" fillId="0" borderId="71" xfId="0" applyFont="1" applyBorder="1"/>
    <xf numFmtId="0" fontId="0" fillId="48" borderId="84" xfId="0" applyFill="1" applyBorder="1"/>
    <xf numFmtId="0" fontId="9" fillId="0" borderId="0" xfId="24" applyFont="1"/>
    <xf numFmtId="3" fontId="87" fillId="0" borderId="279" xfId="0" applyNumberFormat="1" applyFont="1" applyBorder="1" applyAlignment="1">
      <alignment horizontal="right" wrapText="1"/>
    </xf>
    <xf numFmtId="3" fontId="8" fillId="0" borderId="0" xfId="24" applyNumberFormat="1"/>
    <xf numFmtId="9" fontId="8" fillId="0" borderId="0" xfId="16"/>
    <xf numFmtId="2" fontId="8" fillId="0" borderId="0" xfId="24" applyNumberFormat="1"/>
    <xf numFmtId="2" fontId="8" fillId="49" borderId="0" xfId="24" applyNumberFormat="1" applyFill="1"/>
    <xf numFmtId="4" fontId="25" fillId="12" borderId="103" xfId="7" applyFont="1" applyFill="1" applyBorder="1" applyAlignment="1">
      <alignment horizontal="right" vertical="center"/>
    </xf>
    <xf numFmtId="0" fontId="0" fillId="0" borderId="103" xfId="26" applyFont="1" applyBorder="1"/>
    <xf numFmtId="0" fontId="35" fillId="0" borderId="103" xfId="26" applyFont="1" applyBorder="1" applyAlignment="1">
      <alignment horizontal="center"/>
    </xf>
    <xf numFmtId="0" fontId="8" fillId="0" borderId="222" xfId="24" applyBorder="1"/>
    <xf numFmtId="0" fontId="8" fillId="0" borderId="172" xfId="24" applyBorder="1"/>
    <xf numFmtId="0" fontId="8" fillId="0" borderId="107" xfId="24" applyBorder="1"/>
    <xf numFmtId="0" fontId="8" fillId="0" borderId="110" xfId="24" applyBorder="1"/>
    <xf numFmtId="0" fontId="8" fillId="0" borderId="223" xfId="24" applyBorder="1"/>
    <xf numFmtId="0" fontId="8" fillId="0" borderId="170" xfId="24" applyBorder="1"/>
    <xf numFmtId="0" fontId="8" fillId="0" borderId="111" xfId="24" applyBorder="1"/>
    <xf numFmtId="0" fontId="8" fillId="0" borderId="165" xfId="24" applyBorder="1"/>
    <xf numFmtId="0" fontId="8" fillId="0" borderId="225" xfId="24" applyBorder="1"/>
    <xf numFmtId="0" fontId="8" fillId="0" borderId="108" xfId="24" applyBorder="1"/>
    <xf numFmtId="0" fontId="8" fillId="0" borderId="174" xfId="24" applyBorder="1"/>
    <xf numFmtId="0" fontId="89" fillId="51" borderId="280" xfId="35"/>
    <xf numFmtId="0" fontId="89" fillId="51" borderId="281" xfId="35" applyBorder="1"/>
    <xf numFmtId="0" fontId="8" fillId="0" borderId="113" xfId="24" applyBorder="1"/>
    <xf numFmtId="0" fontId="8" fillId="0" borderId="112" xfId="24" applyBorder="1"/>
    <xf numFmtId="0" fontId="24" fillId="0" borderId="0" xfId="14"/>
    <xf numFmtId="0" fontId="25" fillId="0" borderId="0" xfId="24" applyFont="1"/>
    <xf numFmtId="0" fontId="13" fillId="0" borderId="170" xfId="24" applyFont="1" applyBorder="1"/>
    <xf numFmtId="0" fontId="13" fillId="0" borderId="110" xfId="24" applyFont="1" applyBorder="1"/>
    <xf numFmtId="2" fontId="89" fillId="51" borderId="280" xfId="35" applyNumberFormat="1"/>
    <xf numFmtId="0" fontId="88" fillId="50" borderId="110" xfId="34" applyBorder="1"/>
    <xf numFmtId="0" fontId="88" fillId="50" borderId="223" xfId="34" applyBorder="1"/>
    <xf numFmtId="0" fontId="88" fillId="50" borderId="0" xfId="34"/>
    <xf numFmtId="0" fontId="8" fillId="0" borderId="0" xfId="24" applyAlignment="1">
      <alignment wrapText="1"/>
    </xf>
    <xf numFmtId="9" fontId="8" fillId="0" borderId="0" xfId="24" applyNumberFormat="1"/>
    <xf numFmtId="10" fontId="8" fillId="52" borderId="0" xfId="16" applyNumberFormat="1" applyFill="1"/>
    <xf numFmtId="0" fontId="8" fillId="12" borderId="0" xfId="24" applyFill="1"/>
    <xf numFmtId="10" fontId="8" fillId="12" borderId="0" xfId="16" applyNumberFormat="1" applyFill="1"/>
    <xf numFmtId="176" fontId="8" fillId="0" borderId="0" xfId="24" applyNumberFormat="1"/>
    <xf numFmtId="176" fontId="8" fillId="12" borderId="0" xfId="24" applyNumberFormat="1" applyFill="1"/>
    <xf numFmtId="9" fontId="0" fillId="0" borderId="74" xfId="0" applyNumberFormat="1" applyBorder="1" applyAlignment="1">
      <alignment horizontal="center"/>
    </xf>
    <xf numFmtId="9" fontId="0" fillId="0" borderId="198" xfId="0" applyNumberFormat="1" applyBorder="1" applyAlignment="1">
      <alignment horizontal="center"/>
    </xf>
    <xf numFmtId="9" fontId="0" fillId="0" borderId="76" xfId="0" applyNumberFormat="1" applyBorder="1" applyAlignment="1">
      <alignment horizontal="center"/>
    </xf>
    <xf numFmtId="179" fontId="0" fillId="0" borderId="154" xfId="0" applyNumberFormat="1" applyBorder="1" applyAlignment="1">
      <alignment horizontal="center"/>
    </xf>
    <xf numFmtId="0" fontId="0" fillId="48" borderId="0" xfId="0" applyFill="1"/>
    <xf numFmtId="189" fontId="8" fillId="0" borderId="0" xfId="16" applyNumberFormat="1"/>
    <xf numFmtId="9" fontId="8" fillId="12" borderId="0" xfId="24" applyNumberFormat="1" applyFill="1"/>
    <xf numFmtId="189" fontId="77" fillId="12" borderId="0" xfId="16" applyNumberFormat="1" applyFont="1" applyFill="1" applyBorder="1" applyAlignment="1">
      <alignment horizontal="center"/>
    </xf>
    <xf numFmtId="0" fontId="8" fillId="12" borderId="0" xfId="24" applyFill="1" applyAlignment="1">
      <alignment wrapText="1"/>
    </xf>
    <xf numFmtId="0" fontId="1" fillId="0" borderId="0" xfId="29" applyFont="1"/>
    <xf numFmtId="0" fontId="88" fillId="50" borderId="109" xfId="34" applyBorder="1"/>
    <xf numFmtId="2" fontId="88" fillId="50" borderId="109" xfId="34" applyNumberFormat="1" applyBorder="1"/>
    <xf numFmtId="0" fontId="8" fillId="0" borderId="109" xfId="24" applyBorder="1"/>
    <xf numFmtId="0" fontId="0" fillId="0" borderId="109" xfId="24" applyFont="1" applyBorder="1"/>
    <xf numFmtId="3" fontId="8" fillId="0" borderId="109" xfId="24" applyNumberFormat="1" applyBorder="1"/>
    <xf numFmtId="3" fontId="0" fillId="0" borderId="109" xfId="24" applyNumberFormat="1" applyFont="1" applyBorder="1"/>
    <xf numFmtId="3" fontId="8" fillId="0" borderId="110" xfId="24" applyNumberFormat="1" applyBorder="1"/>
    <xf numFmtId="2" fontId="89" fillId="51" borderId="281" xfId="35" applyNumberFormat="1" applyBorder="1"/>
    <xf numFmtId="0" fontId="0" fillId="0" borderId="225" xfId="24" applyFont="1" applyBorder="1"/>
    <xf numFmtId="2" fontId="88" fillId="50" borderId="224" xfId="34" applyNumberFormat="1" applyBorder="1"/>
    <xf numFmtId="9" fontId="89" fillId="51" borderId="280" xfId="35" applyNumberFormat="1"/>
    <xf numFmtId="9" fontId="24" fillId="0" borderId="0" xfId="14" applyNumberFormat="1"/>
    <xf numFmtId="9" fontId="8" fillId="0" borderId="111" xfId="24" applyNumberFormat="1" applyBorder="1"/>
    <xf numFmtId="9" fontId="8" fillId="0" borderId="222" xfId="24" applyNumberFormat="1" applyBorder="1"/>
    <xf numFmtId="9" fontId="89" fillId="51" borderId="281" xfId="35" applyNumberFormat="1" applyBorder="1"/>
    <xf numFmtId="9" fontId="25" fillId="0" borderId="0" xfId="24" applyNumberFormat="1" applyFont="1"/>
    <xf numFmtId="0" fontId="0" fillId="0" borderId="222" xfId="24" applyFont="1" applyBorder="1"/>
    <xf numFmtId="0" fontId="0" fillId="0" borderId="111" xfId="24" applyFont="1" applyBorder="1"/>
    <xf numFmtId="0" fontId="1" fillId="0" borderId="0" xfId="14" applyFont="1"/>
    <xf numFmtId="1" fontId="8" fillId="0" borderId="0" xfId="24" applyNumberFormat="1"/>
    <xf numFmtId="10" fontId="89" fillId="51" borderId="280" xfId="35" applyNumberFormat="1"/>
    <xf numFmtId="3" fontId="54" fillId="40" borderId="135" xfId="0" applyNumberFormat="1" applyFont="1" applyFill="1" applyBorder="1" applyAlignment="1">
      <alignment horizontal="center" vertical="center"/>
    </xf>
    <xf numFmtId="3" fontId="59" fillId="41" borderId="146" xfId="0" applyNumberFormat="1" applyFont="1" applyFill="1" applyBorder="1" applyAlignment="1">
      <alignment horizontal="center" vertical="center"/>
    </xf>
    <xf numFmtId="9" fontId="76" fillId="0" borderId="0" xfId="24" applyNumberFormat="1" applyFont="1"/>
    <xf numFmtId="1" fontId="54" fillId="0" borderId="37" xfId="0" applyNumberFormat="1" applyFont="1" applyBorder="1" applyAlignment="1">
      <alignment horizontal="center" vertical="center"/>
    </xf>
    <xf numFmtId="3" fontId="54" fillId="40" borderId="2" xfId="0" applyNumberFormat="1" applyFont="1" applyFill="1" applyBorder="1" applyAlignment="1">
      <alignment horizontal="center" vertical="center"/>
    </xf>
    <xf numFmtId="1" fontId="54" fillId="0" borderId="31" xfId="0" applyNumberFormat="1" applyFont="1" applyBorder="1" applyAlignment="1">
      <alignment horizontal="center" vertical="center"/>
    </xf>
    <xf numFmtId="3" fontId="54" fillId="40" borderId="36" xfId="0" applyNumberFormat="1" applyFont="1" applyFill="1" applyBorder="1" applyAlignment="1">
      <alignment horizontal="center" vertical="center"/>
    </xf>
    <xf numFmtId="3" fontId="59" fillId="41" borderId="137" xfId="0" applyNumberFormat="1" applyFont="1" applyFill="1" applyBorder="1" applyAlignment="1">
      <alignment horizontal="center" vertical="center"/>
    </xf>
    <xf numFmtId="10" fontId="77" fillId="46" borderId="0" xfId="16" applyNumberFormat="1" applyFont="1" applyFill="1" applyBorder="1" applyAlignment="1">
      <alignment horizontal="center"/>
    </xf>
    <xf numFmtId="10" fontId="54" fillId="55" borderId="109" xfId="0" applyNumberFormat="1" applyFont="1" applyFill="1" applyBorder="1" applyAlignment="1">
      <alignment horizontal="center" vertical="center"/>
    </xf>
    <xf numFmtId="10" fontId="8" fillId="55" borderId="109" xfId="16" applyNumberFormat="1" applyFont="1" applyFill="1" applyBorder="1" applyAlignment="1">
      <alignment horizontal="center" vertical="center"/>
    </xf>
    <xf numFmtId="3" fontId="1" fillId="43" borderId="43" xfId="30" applyNumberFormat="1" applyFont="1" applyFill="1" applyBorder="1" applyAlignment="1">
      <alignment horizontal="center" vertical="center"/>
    </xf>
    <xf numFmtId="0" fontId="1" fillId="0" borderId="45" xfId="0" applyFont="1" applyBorder="1"/>
    <xf numFmtId="178" fontId="1" fillId="0" borderId="45" xfId="0" applyNumberFormat="1" applyFont="1" applyBorder="1" applyAlignment="1">
      <alignment horizontal="center"/>
    </xf>
    <xf numFmtId="178" fontId="1" fillId="0" borderId="0" xfId="0" applyNumberFormat="1" applyFont="1" applyAlignment="1">
      <alignment horizontal="center"/>
    </xf>
    <xf numFmtId="9" fontId="54" fillId="0" borderId="0" xfId="0" applyNumberFormat="1" applyFont="1"/>
    <xf numFmtId="9" fontId="54" fillId="56" borderId="0" xfId="0" applyNumberFormat="1" applyFont="1" applyFill="1"/>
    <xf numFmtId="2" fontId="0" fillId="0" borderId="0" xfId="24" applyNumberFormat="1" applyFont="1"/>
    <xf numFmtId="9" fontId="54" fillId="28" borderId="0" xfId="0" applyNumberFormat="1" applyFont="1" applyFill="1"/>
    <xf numFmtId="0" fontId="35" fillId="57" borderId="0" xfId="0" applyFont="1" applyFill="1"/>
    <xf numFmtId="0" fontId="10" fillId="0" borderId="0" xfId="11" applyAlignment="1" applyProtection="1"/>
    <xf numFmtId="0" fontId="0" fillId="0" borderId="0" xfId="24" applyFont="1"/>
    <xf numFmtId="0" fontId="25" fillId="12" borderId="18" xfId="0" applyFont="1" applyFill="1" applyBorder="1" applyAlignment="1">
      <alignment horizontal="center"/>
    </xf>
    <xf numFmtId="0" fontId="25" fillId="23" borderId="18" xfId="0" applyFont="1" applyFill="1" applyBorder="1" applyAlignment="1">
      <alignment horizontal="center"/>
    </xf>
    <xf numFmtId="0" fontId="90" fillId="53" borderId="109" xfId="36" applyBorder="1"/>
    <xf numFmtId="3" fontId="90" fillId="53" borderId="109" xfId="36" applyNumberFormat="1" applyBorder="1"/>
    <xf numFmtId="0" fontId="8" fillId="28" borderId="103" xfId="10" applyFont="1" applyFill="1" applyBorder="1" applyAlignment="1">
      <alignment horizontal="right" vertical="center"/>
    </xf>
    <xf numFmtId="0" fontId="54" fillId="0" borderId="224" xfId="0" applyFont="1" applyBorder="1" applyAlignment="1">
      <alignment horizontal="center" vertical="center"/>
    </xf>
    <xf numFmtId="10" fontId="0" fillId="0" borderId="110" xfId="0" applyNumberFormat="1" applyBorder="1" applyAlignment="1">
      <alignment horizontal="center" vertical="center"/>
    </xf>
    <xf numFmtId="10" fontId="0" fillId="0" borderId="111" xfId="0" applyNumberFormat="1" applyBorder="1" applyAlignment="1">
      <alignment horizontal="center" vertical="center"/>
    </xf>
    <xf numFmtId="10" fontId="8" fillId="0" borderId="45" xfId="0" applyNumberFormat="1" applyFont="1" applyBorder="1" applyAlignment="1">
      <alignment horizontal="center" vertical="center"/>
    </xf>
    <xf numFmtId="3" fontId="0" fillId="0" borderId="0" xfId="24" applyNumberFormat="1" applyFont="1"/>
    <xf numFmtId="0" fontId="8" fillId="8" borderId="179" xfId="0" applyFont="1" applyFill="1" applyBorder="1" applyAlignment="1">
      <alignment vertical="center" wrapText="1"/>
    </xf>
    <xf numFmtId="0" fontId="87" fillId="0" borderId="279" xfId="0" applyFont="1" applyBorder="1" applyAlignment="1">
      <alignment horizontal="right" wrapText="1"/>
    </xf>
    <xf numFmtId="10" fontId="8" fillId="0" borderId="0" xfId="16" applyNumberFormat="1"/>
    <xf numFmtId="9" fontId="0" fillId="7" borderId="0" xfId="24" applyNumberFormat="1" applyFont="1" applyFill="1"/>
    <xf numFmtId="10" fontId="8" fillId="7" borderId="0" xfId="24" applyNumberFormat="1" applyFill="1"/>
    <xf numFmtId="2" fontId="0" fillId="0" borderId="0" xfId="16" applyNumberFormat="1" applyFont="1"/>
    <xf numFmtId="9" fontId="8" fillId="58" borderId="0" xfId="16" applyFill="1"/>
    <xf numFmtId="9" fontId="0" fillId="58" borderId="0" xfId="16" applyFont="1" applyFill="1"/>
    <xf numFmtId="9" fontId="8" fillId="58" borderId="0" xfId="24" applyNumberFormat="1" applyFill="1"/>
    <xf numFmtId="10" fontId="0" fillId="58" borderId="0" xfId="16" applyNumberFormat="1" applyFont="1" applyFill="1"/>
    <xf numFmtId="10" fontId="8" fillId="58" borderId="0" xfId="16" applyNumberFormat="1" applyFill="1"/>
    <xf numFmtId="0" fontId="13" fillId="14" borderId="115" xfId="0" applyFont="1" applyFill="1" applyBorder="1" applyAlignment="1">
      <alignment horizontal="center"/>
    </xf>
    <xf numFmtId="9" fontId="0" fillId="0" borderId="286" xfId="0" applyNumberFormat="1" applyBorder="1"/>
    <xf numFmtId="9" fontId="0" fillId="0" borderId="198" xfId="16" applyFont="1" applyBorder="1"/>
    <xf numFmtId="9" fontId="0" fillId="0" borderId="49" xfId="16" applyFont="1" applyBorder="1"/>
    <xf numFmtId="0" fontId="0" fillId="33" borderId="67" xfId="0" applyFill="1" applyBorder="1"/>
    <xf numFmtId="0" fontId="13" fillId="0" borderId="183" xfId="0" applyFont="1" applyBorder="1" applyAlignment="1">
      <alignment horizontal="center"/>
    </xf>
    <xf numFmtId="0" fontId="13" fillId="14" borderId="286" xfId="0" applyFont="1" applyFill="1" applyBorder="1" applyAlignment="1">
      <alignment horizontal="center"/>
    </xf>
    <xf numFmtId="0" fontId="0" fillId="33" borderId="65" xfId="0" applyFill="1" applyBorder="1"/>
    <xf numFmtId="0" fontId="13" fillId="0" borderId="289" xfId="0" applyFont="1" applyBorder="1"/>
    <xf numFmtId="0" fontId="13" fillId="0" borderId="118" xfId="0" applyFont="1" applyBorder="1"/>
    <xf numFmtId="0" fontId="0" fillId="33" borderId="50" xfId="0" applyFill="1" applyBorder="1"/>
    <xf numFmtId="10" fontId="0" fillId="33" borderId="50" xfId="0" applyNumberFormat="1" applyFill="1" applyBorder="1"/>
    <xf numFmtId="0" fontId="13" fillId="0" borderId="290" xfId="0" applyFont="1" applyBorder="1" applyAlignment="1">
      <alignment horizontal="center"/>
    </xf>
    <xf numFmtId="0" fontId="13" fillId="0" borderId="291" xfId="0" applyFont="1" applyBorder="1" applyAlignment="1">
      <alignment horizontal="center"/>
    </xf>
    <xf numFmtId="0" fontId="13" fillId="0" borderId="292" xfId="0" applyFont="1" applyBorder="1" applyAlignment="1">
      <alignment horizontal="center"/>
    </xf>
    <xf numFmtId="0" fontId="0" fillId="33" borderId="82" xfId="0" applyFill="1" applyBorder="1" applyAlignment="1">
      <alignment vertical="center"/>
    </xf>
    <xf numFmtId="179" fontId="0" fillId="24" borderId="18" xfId="0" applyNumberFormat="1" applyFill="1" applyBorder="1" applyAlignment="1">
      <alignment horizontal="center"/>
    </xf>
    <xf numFmtId="181" fontId="0" fillId="12" borderId="90" xfId="0" applyNumberFormat="1" applyFill="1" applyBorder="1" applyAlignment="1">
      <alignment horizontal="center"/>
    </xf>
    <xf numFmtId="2" fontId="0" fillId="52" borderId="88" xfId="0" applyNumberFormat="1" applyFill="1" applyBorder="1" applyAlignment="1">
      <alignment horizontal="center"/>
    </xf>
    <xf numFmtId="2" fontId="0" fillId="52" borderId="90" xfId="0" applyNumberFormat="1" applyFill="1" applyBorder="1" applyAlignment="1">
      <alignment horizontal="center"/>
    </xf>
    <xf numFmtId="2" fontId="8" fillId="12" borderId="90" xfId="0" applyNumberFormat="1" applyFont="1" applyFill="1" applyBorder="1" applyAlignment="1">
      <alignment horizontal="center" vertical="center"/>
    </xf>
    <xf numFmtId="9" fontId="0" fillId="52" borderId="90" xfId="16" applyFont="1" applyFill="1" applyBorder="1" applyAlignment="1">
      <alignment horizontal="center"/>
    </xf>
    <xf numFmtId="9" fontId="8" fillId="12" borderId="100" xfId="16" applyFont="1" applyFill="1" applyBorder="1" applyAlignment="1">
      <alignment horizontal="center" vertical="center"/>
    </xf>
    <xf numFmtId="185" fontId="34" fillId="59" borderId="90" xfId="0" applyNumberFormat="1" applyFont="1" applyFill="1" applyBorder="1" applyAlignment="1">
      <alignment horizontal="center"/>
    </xf>
    <xf numFmtId="185" fontId="0" fillId="59" borderId="90" xfId="0" applyNumberFormat="1" applyFill="1" applyBorder="1" applyAlignment="1">
      <alignment horizontal="center"/>
    </xf>
    <xf numFmtId="185" fontId="0" fillId="59" borderId="95" xfId="0" applyNumberFormat="1" applyFill="1" applyBorder="1" applyAlignment="1">
      <alignment horizontal="center"/>
    </xf>
    <xf numFmtId="2" fontId="8" fillId="49" borderId="88" xfId="0" applyNumberFormat="1" applyFont="1" applyFill="1" applyBorder="1" applyAlignment="1">
      <alignment horizontal="center"/>
    </xf>
    <xf numFmtId="181" fontId="0" fillId="12" borderId="89" xfId="0" applyNumberFormat="1" applyFill="1" applyBorder="1" applyAlignment="1">
      <alignment horizontal="center"/>
    </xf>
    <xf numFmtId="0" fontId="29" fillId="59" borderId="103" xfId="10" applyFont="1" applyFill="1" applyBorder="1" applyAlignment="1">
      <alignment vertical="center"/>
    </xf>
    <xf numFmtId="0" fontId="0" fillId="3" borderId="103" xfId="10" applyFont="1" applyBorder="1" applyAlignment="1">
      <alignment horizontal="center" vertical="center"/>
    </xf>
    <xf numFmtId="10" fontId="0" fillId="0" borderId="0" xfId="24" applyNumberFormat="1" applyFont="1"/>
    <xf numFmtId="1" fontId="91" fillId="8" borderId="282" xfId="37" applyNumberFormat="1" applyFill="1" applyAlignment="1">
      <alignment horizontal="center" vertical="center"/>
    </xf>
    <xf numFmtId="1" fontId="59" fillId="59" borderId="146" xfId="0" applyNumberFormat="1" applyFont="1" applyFill="1" applyBorder="1" applyAlignment="1">
      <alignment horizontal="center" vertical="center"/>
    </xf>
    <xf numFmtId="0" fontId="0" fillId="0" borderId="276" xfId="0" applyBorder="1"/>
    <xf numFmtId="179" fontId="0" fillId="8" borderId="293" xfId="0" applyNumberFormat="1" applyFill="1" applyBorder="1" applyAlignment="1">
      <alignment horizontal="center"/>
    </xf>
    <xf numFmtId="10" fontId="54" fillId="0" borderId="0" xfId="0" applyNumberFormat="1" applyFont="1"/>
    <xf numFmtId="10" fontId="54" fillId="8" borderId="0" xfId="0" applyNumberFormat="1" applyFont="1" applyFill="1"/>
    <xf numFmtId="10" fontId="54" fillId="8" borderId="0" xfId="16" applyNumberFormat="1" applyFont="1" applyFill="1"/>
    <xf numFmtId="10" fontId="0" fillId="8" borderId="118" xfId="0" applyNumberFormat="1" applyFill="1" applyBorder="1" applyAlignment="1">
      <alignment horizontal="center" vertical="center"/>
    </xf>
    <xf numFmtId="10" fontId="0" fillId="8" borderId="122" xfId="0" applyNumberFormat="1" applyFill="1" applyBorder="1" applyAlignment="1">
      <alignment horizontal="center" vertical="center"/>
    </xf>
    <xf numFmtId="2" fontId="8" fillId="0" borderId="0" xfId="16" applyNumberFormat="1"/>
    <xf numFmtId="10" fontId="0" fillId="8" borderId="109" xfId="16" applyNumberFormat="1" applyFont="1" applyFill="1" applyBorder="1" applyAlignment="1">
      <alignment horizontal="center" vertical="center"/>
    </xf>
    <xf numFmtId="0" fontId="13" fillId="8" borderId="37" xfId="0" applyFont="1" applyFill="1" applyBorder="1" applyAlignment="1">
      <alignment horizontal="center"/>
    </xf>
    <xf numFmtId="0" fontId="8" fillId="0" borderId="179" xfId="0" applyFont="1" applyBorder="1" applyAlignment="1">
      <alignment horizontal="left"/>
    </xf>
    <xf numFmtId="0" fontId="8" fillId="0" borderId="176" xfId="0" applyFont="1" applyBorder="1" applyAlignment="1">
      <alignment horizontal="left" wrapText="1"/>
    </xf>
    <xf numFmtId="10" fontId="0" fillId="58" borderId="0" xfId="24" applyNumberFormat="1" applyFont="1" applyFill="1"/>
    <xf numFmtId="0" fontId="13" fillId="17" borderId="0" xfId="0" applyFont="1" applyFill="1"/>
    <xf numFmtId="3" fontId="13" fillId="27" borderId="0" xfId="16" applyNumberFormat="1" applyFont="1" applyFill="1" applyBorder="1" applyAlignment="1">
      <alignment horizontal="center"/>
    </xf>
    <xf numFmtId="10" fontId="13" fillId="27" borderId="0" xfId="16" applyNumberFormat="1" applyFont="1" applyFill="1" applyBorder="1" applyAlignment="1">
      <alignment horizontal="center"/>
    </xf>
    <xf numFmtId="0" fontId="0" fillId="0" borderId="285" xfId="0" applyBorder="1" applyAlignment="1">
      <alignment horizontal="center"/>
    </xf>
    <xf numFmtId="0" fontId="0" fillId="0" borderId="151" xfId="0" applyBorder="1" applyAlignment="1">
      <alignment horizontal="center"/>
    </xf>
    <xf numFmtId="0" fontId="63" fillId="8" borderId="61" xfId="0" applyFont="1" applyFill="1" applyBorder="1" applyAlignment="1">
      <alignment horizontal="center"/>
    </xf>
    <xf numFmtId="0" fontId="63" fillId="8" borderId="78" xfId="0" applyFont="1" applyFill="1" applyBorder="1" applyAlignment="1">
      <alignment horizontal="center"/>
    </xf>
    <xf numFmtId="0" fontId="63" fillId="8" borderId="62" xfId="0" applyFont="1" applyFill="1" applyBorder="1" applyAlignment="1">
      <alignment horizontal="center"/>
    </xf>
    <xf numFmtId="0" fontId="47" fillId="5" borderId="21" xfId="0" applyFont="1" applyFill="1" applyBorder="1" applyAlignment="1">
      <alignment horizontal="center"/>
    </xf>
    <xf numFmtId="0" fontId="47" fillId="5" borderId="18" xfId="0" applyFont="1" applyFill="1" applyBorder="1" applyAlignment="1">
      <alignment horizontal="center"/>
    </xf>
    <xf numFmtId="0" fontId="8" fillId="0" borderId="61" xfId="0" applyFont="1" applyBorder="1" applyAlignment="1">
      <alignment horizontal="left"/>
    </xf>
    <xf numFmtId="0" fontId="8" fillId="0" borderId="62" xfId="0" applyFont="1" applyBorder="1" applyAlignment="1">
      <alignment horizontal="left"/>
    </xf>
    <xf numFmtId="0" fontId="27" fillId="9" borderId="64" xfId="0" applyFont="1" applyFill="1" applyBorder="1" applyAlignment="1">
      <alignment horizontal="center" vertical="center"/>
    </xf>
    <xf numFmtId="0" fontId="47" fillId="5" borderId="51" xfId="0" applyFont="1" applyFill="1" applyBorder="1" applyAlignment="1">
      <alignment horizontal="center"/>
    </xf>
    <xf numFmtId="0" fontId="47" fillId="5" borderId="60" xfId="0" applyFont="1" applyFill="1" applyBorder="1" applyAlignment="1">
      <alignment horizontal="center"/>
    </xf>
    <xf numFmtId="0" fontId="8" fillId="0" borderId="156" xfId="0" applyFont="1" applyBorder="1" applyAlignment="1">
      <alignment horizontal="left" vertical="center" wrapText="1"/>
    </xf>
    <xf numFmtId="0" fontId="70" fillId="0" borderId="151" xfId="0" applyFont="1" applyBorder="1" applyAlignment="1">
      <alignment horizontal="left" vertical="center"/>
    </xf>
    <xf numFmtId="0" fontId="70" fillId="0" borderId="152" xfId="0" applyFont="1" applyBorder="1" applyAlignment="1">
      <alignment horizontal="left" vertical="center"/>
    </xf>
    <xf numFmtId="0" fontId="70" fillId="0" borderId="157" xfId="0" applyFont="1" applyBorder="1" applyAlignment="1">
      <alignment horizontal="left" vertical="center"/>
    </xf>
    <xf numFmtId="0" fontId="70" fillId="0" borderId="0" xfId="0" applyFont="1" applyAlignment="1">
      <alignment horizontal="left" vertical="center"/>
    </xf>
    <xf numFmtId="0" fontId="70" fillId="0" borderId="153" xfId="0" applyFont="1" applyBorder="1" applyAlignment="1">
      <alignment horizontal="left" vertical="center"/>
    </xf>
    <xf numFmtId="0" fontId="8" fillId="0" borderId="151" xfId="0" applyFont="1" applyBorder="1" applyAlignment="1">
      <alignment horizontal="left" vertical="center"/>
    </xf>
    <xf numFmtId="0" fontId="8" fillId="0" borderId="152" xfId="0" applyFont="1" applyBorder="1" applyAlignment="1">
      <alignment horizontal="left" vertical="center"/>
    </xf>
    <xf numFmtId="0" fontId="8" fillId="0" borderId="157" xfId="0" applyFont="1" applyBorder="1" applyAlignment="1">
      <alignment horizontal="left" vertical="center"/>
    </xf>
    <xf numFmtId="0" fontId="0" fillId="0" borderId="0" xfId="0" applyAlignment="1">
      <alignment horizontal="left" vertical="center"/>
    </xf>
    <xf numFmtId="0" fontId="8" fillId="0" borderId="153" xfId="0" applyFont="1" applyBorder="1" applyAlignment="1">
      <alignment horizontal="left" vertical="center"/>
    </xf>
    <xf numFmtId="0" fontId="8" fillId="0" borderId="158" xfId="0" applyFont="1" applyBorder="1" applyAlignment="1">
      <alignment horizontal="left" vertical="center"/>
    </xf>
    <xf numFmtId="0" fontId="8" fillId="0" borderId="154" xfId="0" applyFont="1" applyBorder="1" applyAlignment="1">
      <alignment horizontal="left" vertical="center"/>
    </xf>
    <xf numFmtId="0" fontId="8" fillId="0" borderId="155" xfId="0" applyFont="1" applyBorder="1" applyAlignment="1">
      <alignment horizontal="left" vertical="center"/>
    </xf>
    <xf numFmtId="0" fontId="27" fillId="32" borderId="51" xfId="0" applyFont="1" applyFill="1" applyBorder="1" applyAlignment="1">
      <alignment horizontal="center"/>
    </xf>
    <xf numFmtId="0" fontId="8" fillId="0" borderId="2" xfId="0" applyFont="1" applyBorder="1" applyAlignment="1">
      <alignment horizontal="left" vertical="top" wrapText="1"/>
    </xf>
    <xf numFmtId="0" fontId="8" fillId="0" borderId="59" xfId="0" applyFont="1" applyBorder="1" applyAlignment="1">
      <alignment horizontal="left" vertical="top" wrapText="1"/>
    </xf>
    <xf numFmtId="0" fontId="0" fillId="0" borderId="218" xfId="0" applyBorder="1" applyAlignment="1">
      <alignment horizontal="left" vertical="top" wrapText="1"/>
    </xf>
    <xf numFmtId="0" fontId="8" fillId="0" borderId="45" xfId="0" applyFont="1" applyBorder="1" applyAlignment="1">
      <alignment horizontal="left" vertical="top" wrapText="1"/>
    </xf>
    <xf numFmtId="0" fontId="8" fillId="0" borderId="58" xfId="0" applyFont="1" applyBorder="1" applyAlignment="1">
      <alignment horizontal="left" vertical="top" wrapText="1"/>
    </xf>
    <xf numFmtId="0" fontId="0" fillId="0" borderId="219" xfId="0" applyBorder="1" applyAlignment="1">
      <alignment horizontal="left" vertical="top" wrapText="1"/>
    </xf>
    <xf numFmtId="0" fontId="0" fillId="0" borderId="220" xfId="0" applyBorder="1" applyAlignment="1">
      <alignment horizontal="left" vertical="top" wrapText="1"/>
    </xf>
    <xf numFmtId="0" fontId="0" fillId="0" borderId="221" xfId="0" applyBorder="1" applyAlignment="1">
      <alignment horizontal="left" vertical="top" wrapText="1"/>
    </xf>
    <xf numFmtId="0" fontId="47" fillId="31" borderId="215" xfId="0" applyFont="1" applyFill="1" applyBorder="1" applyAlignment="1">
      <alignment horizontal="center"/>
    </xf>
    <xf numFmtId="0" fontId="47" fillId="31" borderId="51" xfId="0" applyFont="1" applyFill="1" applyBorder="1" applyAlignment="1">
      <alignment horizontal="center"/>
    </xf>
    <xf numFmtId="0" fontId="8" fillId="0" borderId="216" xfId="0" applyFont="1" applyBorder="1" applyAlignment="1">
      <alignment horizontal="left" vertical="center" wrapText="1"/>
    </xf>
    <xf numFmtId="0" fontId="70" fillId="0" borderId="10" xfId="0" applyFont="1" applyBorder="1" applyAlignment="1">
      <alignment horizontal="left" vertical="center"/>
    </xf>
    <xf numFmtId="0" fontId="63" fillId="8" borderId="51" xfId="0" applyFont="1" applyFill="1" applyBorder="1" applyAlignment="1">
      <alignment horizontal="center"/>
    </xf>
    <xf numFmtId="0" fontId="27" fillId="8" borderId="51" xfId="0" applyFont="1" applyFill="1" applyBorder="1" applyAlignment="1">
      <alignment horizontal="center"/>
    </xf>
    <xf numFmtId="0" fontId="47" fillId="5" borderId="10" xfId="0" applyFont="1" applyFill="1" applyBorder="1" applyAlignment="1">
      <alignment horizontal="center"/>
    </xf>
    <xf numFmtId="0" fontId="47" fillId="5" borderId="0" xfId="0" applyFont="1" applyFill="1" applyAlignment="1">
      <alignment horizontal="center"/>
    </xf>
    <xf numFmtId="0" fontId="47" fillId="5" borderId="116" xfId="0" applyFont="1" applyFill="1" applyBorder="1" applyAlignment="1">
      <alignment horizontal="center"/>
    </xf>
    <xf numFmtId="0" fontId="27" fillId="32" borderId="131" xfId="0" applyFont="1" applyFill="1" applyBorder="1" applyAlignment="1">
      <alignment horizontal="center"/>
    </xf>
    <xf numFmtId="0" fontId="27" fillId="32" borderId="115" xfId="0" applyFont="1" applyFill="1" applyBorder="1" applyAlignment="1">
      <alignment horizontal="center"/>
    </xf>
    <xf numFmtId="0" fontId="27" fillId="32" borderId="184" xfId="0" applyFont="1" applyFill="1" applyBorder="1" applyAlignment="1">
      <alignment horizontal="center"/>
    </xf>
    <xf numFmtId="0" fontId="27" fillId="32" borderId="118" xfId="0" applyFont="1" applyFill="1" applyBorder="1" applyAlignment="1">
      <alignment horizontal="center"/>
    </xf>
    <xf numFmtId="0" fontId="27" fillId="32" borderId="132" xfId="0" applyFont="1" applyFill="1" applyBorder="1" applyAlignment="1">
      <alignment horizontal="center"/>
    </xf>
    <xf numFmtId="0" fontId="27" fillId="32" borderId="142" xfId="0" applyFont="1" applyFill="1" applyBorder="1" applyAlignment="1">
      <alignment horizontal="center"/>
    </xf>
    <xf numFmtId="0" fontId="46" fillId="18" borderId="10" xfId="0" applyFont="1" applyFill="1" applyBorder="1" applyAlignment="1">
      <alignment horizontal="center"/>
    </xf>
    <xf numFmtId="0" fontId="46" fillId="18" borderId="0" xfId="0" applyFont="1" applyFill="1" applyAlignment="1">
      <alignment horizontal="center"/>
    </xf>
    <xf numFmtId="0" fontId="46" fillId="18" borderId="12" xfId="0" applyFont="1" applyFill="1" applyBorder="1" applyAlignment="1">
      <alignment horizontal="center"/>
    </xf>
    <xf numFmtId="0" fontId="34" fillId="8" borderId="180" xfId="0" applyFont="1" applyFill="1" applyBorder="1" applyAlignment="1">
      <alignment horizontal="center" vertical="center" wrapText="1"/>
    </xf>
    <xf numFmtId="0" fontId="0" fillId="8" borderId="181" xfId="0" applyFill="1" applyBorder="1" applyAlignment="1">
      <alignment horizontal="center" vertical="center" wrapText="1"/>
    </xf>
    <xf numFmtId="0" fontId="0" fillId="8" borderId="182" xfId="0" applyFill="1" applyBorder="1" applyAlignment="1">
      <alignment horizontal="center" vertical="center" wrapText="1"/>
    </xf>
    <xf numFmtId="0" fontId="27" fillId="32" borderId="60" xfId="0" applyFont="1" applyFill="1" applyBorder="1" applyAlignment="1">
      <alignment horizontal="center"/>
    </xf>
    <xf numFmtId="0" fontId="9" fillId="8" borderId="120" xfId="0" applyFont="1" applyFill="1" applyBorder="1" applyAlignment="1">
      <alignment horizontal="center" vertical="center" wrapText="1"/>
    </xf>
    <xf numFmtId="0" fontId="9" fillId="8" borderId="117" xfId="0" applyFont="1" applyFill="1" applyBorder="1" applyAlignment="1">
      <alignment horizontal="center" vertical="center" wrapText="1"/>
    </xf>
    <xf numFmtId="180" fontId="45" fillId="12" borderId="121" xfId="16" applyNumberFormat="1" applyFont="1" applyFill="1" applyBorder="1" applyAlignment="1">
      <alignment horizontal="center" vertical="center"/>
    </xf>
    <xf numFmtId="180" fontId="45" fillId="12" borderId="141" xfId="16" applyNumberFormat="1" applyFont="1" applyFill="1" applyBorder="1" applyAlignment="1">
      <alignment horizontal="center" vertical="center"/>
    </xf>
    <xf numFmtId="180" fontId="45" fillId="12" borderId="118" xfId="16" applyNumberFormat="1" applyFont="1" applyFill="1" applyBorder="1" applyAlignment="1">
      <alignment horizontal="center" vertical="center"/>
    </xf>
    <xf numFmtId="180" fontId="45" fillId="12" borderId="142" xfId="16" applyNumberFormat="1" applyFont="1" applyFill="1" applyBorder="1" applyAlignment="1">
      <alignment horizontal="center" vertical="center"/>
    </xf>
    <xf numFmtId="180" fontId="45" fillId="12" borderId="119" xfId="16" applyNumberFormat="1" applyFont="1" applyFill="1" applyBorder="1" applyAlignment="1">
      <alignment horizontal="center" vertical="center"/>
    </xf>
    <xf numFmtId="180" fontId="45" fillId="12" borderId="116" xfId="16" applyNumberFormat="1" applyFont="1" applyFill="1" applyBorder="1" applyAlignment="1">
      <alignment horizontal="center" vertical="center"/>
    </xf>
    <xf numFmtId="180" fontId="9" fillId="0" borderId="120" xfId="16" applyNumberFormat="1" applyFont="1" applyBorder="1" applyAlignment="1">
      <alignment horizontal="center" vertical="center" wrapText="1"/>
    </xf>
    <xf numFmtId="180" fontId="9" fillId="0" borderId="228" xfId="16" applyNumberFormat="1" applyFont="1" applyBorder="1" applyAlignment="1">
      <alignment horizontal="center" vertical="center" wrapText="1"/>
    </xf>
    <xf numFmtId="180" fontId="9" fillId="0" borderId="117" xfId="16" applyNumberFormat="1" applyFont="1" applyBorder="1" applyAlignment="1">
      <alignment horizontal="center" vertical="center" wrapText="1"/>
    </xf>
    <xf numFmtId="180" fontId="9" fillId="0" borderId="226" xfId="16" applyNumberFormat="1" applyFont="1" applyBorder="1" applyAlignment="1">
      <alignment horizontal="center" vertical="center" wrapText="1"/>
    </xf>
    <xf numFmtId="9" fontId="45" fillId="59" borderId="227" xfId="16" applyFont="1" applyFill="1" applyBorder="1" applyAlignment="1">
      <alignment horizontal="center" vertical="center"/>
    </xf>
    <xf numFmtId="9" fontId="45" fillId="59" borderId="195" xfId="16" applyFont="1" applyFill="1" applyBorder="1" applyAlignment="1">
      <alignment horizontal="center" vertical="center"/>
    </xf>
    <xf numFmtId="9" fontId="45" fillId="59" borderId="185" xfId="16" applyFont="1" applyFill="1" applyBorder="1" applyAlignment="1">
      <alignment horizontal="center" vertical="center"/>
    </xf>
    <xf numFmtId="0" fontId="8" fillId="0" borderId="61" xfId="0" applyFont="1" applyBorder="1" applyAlignment="1">
      <alignment horizontal="left" indent="1"/>
    </xf>
    <xf numFmtId="0" fontId="8" fillId="0" borderId="62" xfId="0" applyFont="1" applyBorder="1" applyAlignment="1">
      <alignment horizontal="left" indent="1"/>
    </xf>
    <xf numFmtId="179" fontId="9" fillId="12" borderId="141" xfId="0" applyNumberFormat="1" applyFont="1" applyFill="1" applyBorder="1" applyAlignment="1">
      <alignment horizontal="center" vertical="center"/>
    </xf>
    <xf numFmtId="179" fontId="9" fillId="12" borderId="116" xfId="0" applyNumberFormat="1" applyFont="1" applyFill="1" applyBorder="1" applyAlignment="1">
      <alignment horizontal="center" vertical="center"/>
    </xf>
    <xf numFmtId="179" fontId="9" fillId="12" borderId="142" xfId="0" applyNumberFormat="1" applyFont="1" applyFill="1" applyBorder="1" applyAlignment="1">
      <alignment horizontal="center" vertical="center"/>
    </xf>
    <xf numFmtId="0" fontId="13" fillId="0" borderId="23" xfId="0" applyFont="1" applyBorder="1" applyAlignment="1">
      <alignment horizontal="center"/>
    </xf>
    <xf numFmtId="0" fontId="13" fillId="0" borderId="24" xfId="0" applyFont="1" applyBorder="1" applyAlignment="1">
      <alignment horizontal="center"/>
    </xf>
    <xf numFmtId="0" fontId="8" fillId="8" borderId="25" xfId="0" applyFont="1" applyFill="1" applyBorder="1" applyAlignment="1">
      <alignment horizontal="left" vertical="center"/>
    </xf>
    <xf numFmtId="0" fontId="8" fillId="8" borderId="24" xfId="0" applyFont="1" applyFill="1" applyBorder="1" applyAlignment="1">
      <alignment horizontal="left" vertical="center"/>
    </xf>
    <xf numFmtId="9" fontId="13" fillId="8" borderId="25" xfId="16" applyFont="1" applyFill="1" applyBorder="1" applyAlignment="1">
      <alignment horizontal="left"/>
    </xf>
    <xf numFmtId="9" fontId="13" fillId="8" borderId="24" xfId="16" applyFont="1" applyFill="1" applyBorder="1" applyAlignment="1">
      <alignment horizontal="left"/>
    </xf>
    <xf numFmtId="0" fontId="9" fillId="12" borderId="0" xfId="0" applyFont="1" applyFill="1" applyAlignment="1">
      <alignment horizontal="center" vertical="center" wrapText="1"/>
    </xf>
    <xf numFmtId="0" fontId="9" fillId="12" borderId="132" xfId="0" applyFont="1" applyFill="1" applyBorder="1" applyAlignment="1">
      <alignment horizontal="center" vertical="center" wrapText="1"/>
    </xf>
    <xf numFmtId="0" fontId="34" fillId="0" borderId="118" xfId="0" applyFont="1" applyBorder="1" applyAlignment="1">
      <alignment horizontal="center" vertical="center" wrapText="1"/>
    </xf>
    <xf numFmtId="0" fontId="34" fillId="0" borderId="132" xfId="0" applyFont="1" applyBorder="1" applyAlignment="1">
      <alignment horizontal="center" vertical="center" wrapText="1"/>
    </xf>
    <xf numFmtId="0" fontId="34" fillId="0" borderId="142" xfId="0" applyFont="1" applyBorder="1" applyAlignment="1">
      <alignment horizontal="center" vertical="center" wrapText="1"/>
    </xf>
    <xf numFmtId="0" fontId="8" fillId="8" borderId="186" xfId="0" applyFont="1" applyFill="1" applyBorder="1" applyAlignment="1">
      <alignment horizontal="center" vertical="center" wrapText="1"/>
    </xf>
    <xf numFmtId="0" fontId="0" fillId="8" borderId="187" xfId="0" applyFill="1" applyBorder="1" applyAlignment="1">
      <alignment horizontal="center" vertical="center" wrapText="1"/>
    </xf>
    <xf numFmtId="0" fontId="0" fillId="8" borderId="188" xfId="0" applyFill="1" applyBorder="1" applyAlignment="1">
      <alignment horizontal="center" vertical="center" wrapText="1"/>
    </xf>
    <xf numFmtId="2" fontId="13" fillId="0" borderId="121" xfId="0" applyNumberFormat="1" applyFont="1" applyBorder="1" applyAlignment="1">
      <alignment horizontal="center" vertical="center" wrapText="1"/>
    </xf>
    <xf numFmtId="2" fontId="13" fillId="0" borderId="177" xfId="0" applyNumberFormat="1" applyFont="1" applyBorder="1" applyAlignment="1">
      <alignment horizontal="center" vertical="center" wrapText="1"/>
    </xf>
    <xf numFmtId="2" fontId="13" fillId="0" borderId="178" xfId="0" applyNumberFormat="1" applyFont="1" applyBorder="1" applyAlignment="1">
      <alignment horizontal="center" vertical="center" wrapText="1"/>
    </xf>
    <xf numFmtId="2" fontId="13" fillId="0" borderId="119" xfId="0" applyNumberFormat="1" applyFont="1" applyBorder="1" applyAlignment="1">
      <alignment horizontal="center" vertical="center" wrapText="1"/>
    </xf>
    <xf numFmtId="2" fontId="13" fillId="0" borderId="0" xfId="0" applyNumberFormat="1" applyFont="1" applyAlignment="1">
      <alignment horizontal="center" vertical="center" wrapText="1"/>
    </xf>
    <xf numFmtId="2" fontId="13" fillId="0" borderId="12" xfId="0" applyNumberFormat="1" applyFont="1" applyBorder="1" applyAlignment="1">
      <alignment horizontal="center" vertical="center" wrapText="1"/>
    </xf>
    <xf numFmtId="2" fontId="13" fillId="0" borderId="118" xfId="0" applyNumberFormat="1" applyFont="1" applyBorder="1" applyAlignment="1">
      <alignment horizontal="center" vertical="center" wrapText="1"/>
    </xf>
    <xf numFmtId="2" fontId="13" fillId="0" borderId="132" xfId="0" applyNumberFormat="1" applyFont="1" applyBorder="1" applyAlignment="1">
      <alignment horizontal="center" vertical="center" wrapText="1"/>
    </xf>
    <xf numFmtId="2" fontId="13" fillId="0" borderId="183" xfId="0" applyNumberFormat="1" applyFont="1" applyBorder="1" applyAlignment="1">
      <alignment horizontal="center" vertical="center" wrapText="1"/>
    </xf>
    <xf numFmtId="0" fontId="47" fillId="5" borderId="132" xfId="0" applyFont="1" applyFill="1" applyBorder="1" applyAlignment="1">
      <alignment horizontal="center"/>
    </xf>
    <xf numFmtId="0" fontId="47" fillId="5" borderId="183" xfId="0" applyFont="1" applyFill="1" applyBorder="1" applyAlignment="1">
      <alignment horizontal="center"/>
    </xf>
    <xf numFmtId="0" fontId="47" fillId="5" borderId="176" xfId="0" applyFont="1" applyFill="1" applyBorder="1" applyAlignment="1">
      <alignment horizontal="center"/>
    </xf>
    <xf numFmtId="0" fontId="47" fillId="5" borderId="115" xfId="0" applyFont="1" applyFill="1" applyBorder="1" applyAlignment="1">
      <alignment horizontal="center"/>
    </xf>
    <xf numFmtId="0" fontId="8" fillId="0" borderId="192" xfId="0" applyFont="1" applyBorder="1" applyAlignment="1">
      <alignment horizontal="center" wrapText="1"/>
    </xf>
    <xf numFmtId="0" fontId="0" fillId="0" borderId="193" xfId="0" applyBorder="1" applyAlignment="1">
      <alignment horizontal="center"/>
    </xf>
    <xf numFmtId="0" fontId="0" fillId="0" borderId="194" xfId="0" applyBorder="1" applyAlignment="1">
      <alignment horizontal="center"/>
    </xf>
    <xf numFmtId="0" fontId="8" fillId="0" borderId="189" xfId="0" applyFont="1" applyBorder="1" applyAlignment="1">
      <alignment horizontal="center" wrapText="1"/>
    </xf>
    <xf numFmtId="0" fontId="0" fillId="0" borderId="190" xfId="0" applyBorder="1" applyAlignment="1">
      <alignment horizontal="center"/>
    </xf>
    <xf numFmtId="0" fontId="0" fillId="0" borderId="191" xfId="0" applyBorder="1" applyAlignment="1">
      <alignment horizontal="center"/>
    </xf>
    <xf numFmtId="0" fontId="8" fillId="0" borderId="18" xfId="0" applyFont="1" applyBorder="1" applyAlignment="1">
      <alignment horizontal="left" vertical="center"/>
    </xf>
    <xf numFmtId="0" fontId="8" fillId="0" borderId="18" xfId="0" applyFont="1" applyBorder="1" applyAlignment="1">
      <alignment horizontal="left"/>
    </xf>
    <xf numFmtId="0" fontId="47" fillId="5" borderId="121" xfId="0" applyFont="1" applyFill="1" applyBorder="1" applyAlignment="1">
      <alignment horizontal="center"/>
    </xf>
    <xf numFmtId="0" fontId="47" fillId="5" borderId="177" xfId="0" applyFont="1" applyFill="1" applyBorder="1" applyAlignment="1">
      <alignment horizontal="center"/>
    </xf>
    <xf numFmtId="0" fontId="47" fillId="5" borderId="178" xfId="0" applyFont="1" applyFill="1" applyBorder="1" applyAlignment="1">
      <alignment horizontal="center"/>
    </xf>
    <xf numFmtId="0" fontId="21" fillId="0" borderId="21"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264" xfId="0" applyFont="1" applyBorder="1" applyAlignment="1">
      <alignment horizontal="center" vertical="center" wrapText="1"/>
    </xf>
    <xf numFmtId="0" fontId="21" fillId="0" borderId="265" xfId="0" applyFont="1" applyBorder="1" applyAlignment="1">
      <alignment horizontal="center" vertical="center" wrapText="1"/>
    </xf>
    <xf numFmtId="0" fontId="21" fillId="0" borderId="0" xfId="0" applyFont="1" applyAlignment="1">
      <alignment horizontal="center" vertical="center" wrapText="1"/>
    </xf>
    <xf numFmtId="0" fontId="21" fillId="0" borderId="266" xfId="0" applyFont="1" applyBorder="1" applyAlignment="1">
      <alignment horizontal="center" vertical="center" wrapText="1"/>
    </xf>
    <xf numFmtId="0" fontId="21" fillId="0" borderId="26" xfId="0" applyFont="1" applyBorder="1" applyAlignment="1">
      <alignment horizontal="center" vertical="center" wrapText="1"/>
    </xf>
    <xf numFmtId="0" fontId="21" fillId="0" borderId="27" xfId="0" applyFont="1" applyBorder="1" applyAlignment="1">
      <alignment horizontal="center" vertical="center" wrapText="1"/>
    </xf>
    <xf numFmtId="0" fontId="47" fillId="5" borderId="32" xfId="0" applyFont="1" applyFill="1" applyBorder="1" applyAlignment="1">
      <alignment horizontal="center"/>
    </xf>
    <xf numFmtId="0" fontId="47" fillId="5" borderId="41" xfId="0" applyFont="1" applyFill="1" applyBorder="1" applyAlignment="1">
      <alignment horizontal="center"/>
    </xf>
    <xf numFmtId="0" fontId="8" fillId="8" borderId="25" xfId="0" applyFont="1" applyFill="1" applyBorder="1" applyAlignment="1">
      <alignment horizontal="center" vertical="center" wrapText="1"/>
    </xf>
    <xf numFmtId="0" fontId="8" fillId="8" borderId="23" xfId="0" applyFont="1" applyFill="1" applyBorder="1" applyAlignment="1">
      <alignment horizontal="center" vertical="center" wrapText="1"/>
    </xf>
    <xf numFmtId="0" fontId="8" fillId="8" borderId="243" xfId="0" applyFont="1" applyFill="1" applyBorder="1" applyAlignment="1">
      <alignment horizontal="center" vertical="center" wrapText="1"/>
    </xf>
    <xf numFmtId="0" fontId="47" fillId="5" borderId="27" xfId="0" applyFont="1" applyFill="1" applyBorder="1" applyAlignment="1">
      <alignment horizontal="center"/>
    </xf>
    <xf numFmtId="0" fontId="47" fillId="5" borderId="26" xfId="0" applyFont="1" applyFill="1" applyBorder="1" applyAlignment="1">
      <alignment horizontal="center"/>
    </xf>
    <xf numFmtId="0" fontId="9" fillId="0" borderId="54" xfId="0" applyFont="1" applyBorder="1" applyAlignment="1">
      <alignment horizontal="center" vertical="center"/>
    </xf>
    <xf numFmtId="0" fontId="9" fillId="0" borderId="17" xfId="0" applyFont="1" applyBorder="1" applyAlignment="1">
      <alignment horizontal="center" vertical="center"/>
    </xf>
    <xf numFmtId="0" fontId="9" fillId="0" borderId="55" xfId="0" applyFont="1" applyBorder="1" applyAlignment="1">
      <alignment horizontal="center" vertical="center"/>
    </xf>
    <xf numFmtId="0" fontId="27" fillId="32" borderId="32" xfId="0" applyFont="1" applyFill="1" applyBorder="1" applyAlignment="1">
      <alignment horizontal="center"/>
    </xf>
    <xf numFmtId="0" fontId="27" fillId="32" borderId="26" xfId="0" applyFont="1" applyFill="1" applyBorder="1" applyAlignment="1">
      <alignment horizontal="center"/>
    </xf>
    <xf numFmtId="0" fontId="27" fillId="32" borderId="25" xfId="0" applyFont="1" applyFill="1" applyBorder="1" applyAlignment="1">
      <alignment horizontal="center"/>
    </xf>
    <xf numFmtId="0" fontId="27" fillId="32" borderId="23" xfId="0" applyFont="1" applyFill="1" applyBorder="1" applyAlignment="1">
      <alignment horizontal="center"/>
    </xf>
    <xf numFmtId="14" fontId="13" fillId="0" borderId="25" xfId="0" applyNumberFormat="1" applyFont="1" applyBorder="1" applyAlignment="1">
      <alignment horizontal="center"/>
    </xf>
    <xf numFmtId="14" fontId="13" fillId="0" borderId="24" xfId="0" applyNumberFormat="1" applyFont="1" applyBorder="1" applyAlignment="1">
      <alignment horizontal="center"/>
    </xf>
    <xf numFmtId="0" fontId="8" fillId="0" borderId="18" xfId="0" quotePrefix="1" applyFont="1" applyBorder="1" applyAlignment="1">
      <alignment horizontal="left"/>
    </xf>
    <xf numFmtId="0" fontId="67" fillId="8" borderId="18" xfId="0" applyFont="1" applyFill="1" applyBorder="1" applyAlignment="1">
      <alignment horizontal="center" vertical="center" wrapText="1"/>
    </xf>
    <xf numFmtId="0" fontId="47" fillId="31" borderId="28" xfId="0" applyFont="1" applyFill="1" applyBorder="1" applyAlignment="1">
      <alignment horizontal="center" vertical="center" wrapText="1"/>
    </xf>
    <xf numFmtId="0" fontId="47" fillId="31" borderId="52" xfId="0" applyFont="1" applyFill="1" applyBorder="1" applyAlignment="1">
      <alignment horizontal="center" vertical="center" wrapText="1"/>
    </xf>
    <xf numFmtId="0" fontId="47" fillId="5" borderId="46" xfId="0" applyFont="1" applyFill="1" applyBorder="1" applyAlignment="1">
      <alignment horizontal="center"/>
    </xf>
    <xf numFmtId="0" fontId="47" fillId="5" borderId="47" xfId="0" applyFont="1" applyFill="1" applyBorder="1" applyAlignment="1">
      <alignment horizontal="center"/>
    </xf>
    <xf numFmtId="0" fontId="47" fillId="5" borderId="48" xfId="0" applyFont="1" applyFill="1" applyBorder="1" applyAlignment="1">
      <alignment horizontal="center"/>
    </xf>
    <xf numFmtId="0" fontId="27" fillId="32" borderId="243" xfId="0" applyFont="1" applyFill="1" applyBorder="1" applyAlignment="1">
      <alignment horizontal="center"/>
    </xf>
    <xf numFmtId="0" fontId="27" fillId="32" borderId="215" xfId="0" applyFont="1" applyFill="1" applyBorder="1" applyAlignment="1">
      <alignment horizontal="center"/>
    </xf>
    <xf numFmtId="0" fontId="0" fillId="0" borderId="10" xfId="0" applyBorder="1" applyAlignment="1">
      <alignment horizontal="left" vertical="center"/>
    </xf>
    <xf numFmtId="0" fontId="0" fillId="0" borderId="217" xfId="0" applyBorder="1" applyAlignment="1">
      <alignment horizontal="left" vertical="center"/>
    </xf>
    <xf numFmtId="0" fontId="47" fillId="5" borderId="215" xfId="0" applyFont="1" applyFill="1" applyBorder="1" applyAlignment="1">
      <alignment horizontal="center"/>
    </xf>
    <xf numFmtId="0" fontId="13" fillId="0" borderId="61" xfId="0" applyFont="1" applyBorder="1" applyAlignment="1">
      <alignment horizontal="left"/>
    </xf>
    <xf numFmtId="0" fontId="13" fillId="0" borderId="62" xfId="0" applyFont="1" applyBorder="1" applyAlignment="1">
      <alignment horizontal="left"/>
    </xf>
    <xf numFmtId="0" fontId="0" fillId="0" borderId="61" xfId="0" applyBorder="1" applyAlignment="1">
      <alignment horizontal="left"/>
    </xf>
    <xf numFmtId="0" fontId="0" fillId="0" borderId="62" xfId="0" applyBorder="1" applyAlignment="1">
      <alignment horizontal="left"/>
    </xf>
    <xf numFmtId="0" fontId="8" fillId="16" borderId="61" xfId="0" applyFont="1" applyFill="1" applyBorder="1" applyAlignment="1">
      <alignment horizontal="left"/>
    </xf>
    <xf numFmtId="0" fontId="8" fillId="16" borderId="62" xfId="0" applyFont="1" applyFill="1" applyBorder="1" applyAlignment="1">
      <alignment horizontal="left"/>
    </xf>
    <xf numFmtId="0" fontId="31" fillId="5" borderId="65" xfId="0" applyFont="1" applyFill="1" applyBorder="1" applyAlignment="1">
      <alignment horizontal="center"/>
    </xf>
    <xf numFmtId="0" fontId="31" fillId="5" borderId="66" xfId="0" applyFont="1" applyFill="1" applyBorder="1" applyAlignment="1">
      <alignment horizontal="center"/>
    </xf>
    <xf numFmtId="0" fontId="31" fillId="5" borderId="67" xfId="0" applyFont="1" applyFill="1" applyBorder="1" applyAlignment="1">
      <alignment horizontal="center"/>
    </xf>
    <xf numFmtId="0" fontId="31" fillId="5" borderId="69" xfId="0" applyFont="1" applyFill="1" applyBorder="1" applyAlignment="1">
      <alignment horizontal="center" vertical="center"/>
    </xf>
    <xf numFmtId="0" fontId="31" fillId="5" borderId="70" xfId="0" applyFont="1" applyFill="1" applyBorder="1" applyAlignment="1">
      <alignment horizontal="center" vertical="center"/>
    </xf>
    <xf numFmtId="0" fontId="31" fillId="5" borderId="71" xfId="0" applyFont="1" applyFill="1" applyBorder="1" applyAlignment="1">
      <alignment horizontal="center" vertical="center"/>
    </xf>
    <xf numFmtId="0" fontId="13" fillId="14" borderId="131" xfId="0" applyFont="1" applyFill="1" applyBorder="1" applyAlignment="1">
      <alignment horizontal="center"/>
    </xf>
    <xf numFmtId="0" fontId="13" fillId="14" borderId="115" xfId="0" applyFont="1" applyFill="1" applyBorder="1" applyAlignment="1">
      <alignment horizontal="center"/>
    </xf>
    <xf numFmtId="0" fontId="13" fillId="14" borderId="184" xfId="0" applyFont="1" applyFill="1" applyBorder="1" applyAlignment="1">
      <alignment horizontal="center"/>
    </xf>
    <xf numFmtId="0" fontId="13" fillId="0" borderId="76" xfId="0" applyFont="1" applyBorder="1" applyAlignment="1">
      <alignment horizontal="center"/>
    </xf>
    <xf numFmtId="0" fontId="13" fillId="0" borderId="78" xfId="0" applyFont="1" applyBorder="1" applyAlignment="1">
      <alignment horizontal="center"/>
    </xf>
    <xf numFmtId="0" fontId="13" fillId="0" borderId="77" xfId="0" applyFont="1" applyBorder="1" applyAlignment="1">
      <alignment horizontal="center"/>
    </xf>
    <xf numFmtId="0" fontId="13" fillId="24" borderId="74" xfId="0" applyFont="1" applyFill="1" applyBorder="1" applyAlignment="1">
      <alignment horizontal="center"/>
    </xf>
    <xf numFmtId="0" fontId="13" fillId="24" borderId="268" xfId="0" applyFont="1" applyFill="1" applyBorder="1" applyAlignment="1">
      <alignment horizontal="center"/>
    </xf>
    <xf numFmtId="0" fontId="13" fillId="24" borderId="75" xfId="0" applyFont="1" applyFill="1" applyBorder="1" applyAlignment="1">
      <alignment horizontal="center"/>
    </xf>
    <xf numFmtId="10" fontId="13" fillId="0" borderId="76" xfId="16" applyNumberFormat="1" applyFont="1" applyBorder="1" applyAlignment="1">
      <alignment horizontal="center"/>
    </xf>
    <xf numFmtId="10" fontId="13" fillId="0" borderId="78" xfId="16" applyNumberFormat="1" applyFont="1" applyBorder="1" applyAlignment="1">
      <alignment horizontal="center"/>
    </xf>
    <xf numFmtId="10" fontId="13" fillId="0" borderId="77" xfId="16" applyNumberFormat="1" applyFont="1" applyBorder="1" applyAlignment="1">
      <alignment horizontal="center"/>
    </xf>
    <xf numFmtId="0" fontId="31" fillId="5" borderId="69" xfId="0" applyFont="1" applyFill="1" applyBorder="1" applyAlignment="1">
      <alignment horizontal="center"/>
    </xf>
    <xf numFmtId="0" fontId="31" fillId="5" borderId="71" xfId="0" applyFont="1" applyFill="1" applyBorder="1" applyAlignment="1">
      <alignment horizontal="center"/>
    </xf>
    <xf numFmtId="0" fontId="44" fillId="0" borderId="76" xfId="0" applyFont="1" applyBorder="1" applyAlignment="1">
      <alignment horizontal="center"/>
    </xf>
    <xf numFmtId="0" fontId="44" fillId="0" borderId="77" xfId="0" applyFont="1" applyBorder="1" applyAlignment="1">
      <alignment horizontal="center"/>
    </xf>
    <xf numFmtId="0" fontId="0" fillId="0" borderId="118" xfId="0" applyBorder="1" applyAlignment="1">
      <alignment horizontal="center" vertical="center"/>
    </xf>
    <xf numFmtId="0" fontId="0" fillId="0" borderId="287" xfId="0" applyBorder="1" applyAlignment="1">
      <alignment horizontal="center" vertical="center"/>
    </xf>
    <xf numFmtId="0" fontId="0" fillId="0" borderId="142" xfId="0" applyBorder="1" applyAlignment="1">
      <alignment horizontal="center" vertical="center"/>
    </xf>
    <xf numFmtId="0" fontId="31" fillId="5" borderId="49" xfId="0" applyFont="1" applyFill="1" applyBorder="1" applyAlignment="1">
      <alignment horizontal="center"/>
    </xf>
    <xf numFmtId="0" fontId="31" fillId="5" borderId="0" xfId="0" applyFont="1" applyFill="1" applyAlignment="1">
      <alignment horizontal="center"/>
    </xf>
    <xf numFmtId="0" fontId="31" fillId="5" borderId="50" xfId="0" applyFont="1" applyFill="1" applyBorder="1" applyAlignment="1">
      <alignment horizontal="center"/>
    </xf>
    <xf numFmtId="0" fontId="46" fillId="5" borderId="0" xfId="0" applyFont="1" applyFill="1" applyAlignment="1">
      <alignment horizontal="center"/>
    </xf>
    <xf numFmtId="0" fontId="31" fillId="18" borderId="49" xfId="0" applyFont="1" applyFill="1" applyBorder="1" applyAlignment="1">
      <alignment horizontal="center"/>
    </xf>
    <xf numFmtId="0" fontId="31" fillId="18" borderId="0" xfId="0" applyFont="1" applyFill="1" applyAlignment="1">
      <alignment horizontal="center"/>
    </xf>
    <xf numFmtId="0" fontId="9" fillId="0" borderId="69" xfId="0" applyFont="1" applyBorder="1" applyAlignment="1">
      <alignment horizontal="center" vertical="center"/>
    </xf>
    <xf numFmtId="0" fontId="9" fillId="0" borderId="71" xfId="0" applyFont="1" applyBorder="1" applyAlignment="1">
      <alignment horizontal="center" vertical="center"/>
    </xf>
    <xf numFmtId="0" fontId="31" fillId="5" borderId="70" xfId="0" applyFont="1" applyFill="1" applyBorder="1" applyAlignment="1">
      <alignment horizontal="center"/>
    </xf>
    <xf numFmtId="0" fontId="0" fillId="0" borderId="270" xfId="0" applyBorder="1" applyAlignment="1">
      <alignment horizontal="center" vertical="center" wrapText="1"/>
    </xf>
    <xf numFmtId="0" fontId="0" fillId="0" borderId="271" xfId="0" applyBorder="1" applyAlignment="1">
      <alignment horizontal="center" vertical="center" wrapText="1"/>
    </xf>
    <xf numFmtId="0" fontId="0" fillId="0" borderId="272" xfId="0" applyBorder="1" applyAlignment="1">
      <alignment horizontal="center" vertical="center" wrapText="1"/>
    </xf>
    <xf numFmtId="0" fontId="0" fillId="0" borderId="87" xfId="0" applyBorder="1" applyAlignment="1">
      <alignment horizontal="center" vertical="center" wrapText="1"/>
    </xf>
    <xf numFmtId="0" fontId="0" fillId="0" borderId="39" xfId="0" applyBorder="1" applyAlignment="1">
      <alignment horizontal="center" vertical="center" wrapText="1"/>
    </xf>
    <xf numFmtId="0" fontId="0" fillId="0" borderId="269" xfId="0" applyBorder="1" applyAlignment="1">
      <alignment horizontal="center" vertical="center" wrapText="1"/>
    </xf>
    <xf numFmtId="0" fontId="34" fillId="0" borderId="87" xfId="0" applyFont="1" applyBorder="1" applyAlignment="1">
      <alignment horizontal="center" vertical="center" wrapText="1"/>
    </xf>
    <xf numFmtId="0" fontId="34" fillId="0" borderId="39" xfId="0" applyFont="1" applyBorder="1" applyAlignment="1">
      <alignment horizontal="center" vertical="center" wrapText="1"/>
    </xf>
    <xf numFmtId="0" fontId="34" fillId="0" borderId="269" xfId="0" applyFont="1" applyBorder="1" applyAlignment="1">
      <alignment horizontal="center" vertical="center" wrapText="1"/>
    </xf>
    <xf numFmtId="0" fontId="46" fillId="5" borderId="70" xfId="0" applyFont="1" applyFill="1" applyBorder="1" applyAlignment="1">
      <alignment horizontal="center"/>
    </xf>
    <xf numFmtId="0" fontId="46" fillId="5" borderId="71" xfId="0" applyFont="1" applyFill="1" applyBorder="1" applyAlignment="1">
      <alignment horizontal="center"/>
    </xf>
    <xf numFmtId="0" fontId="31" fillId="18" borderId="68" xfId="0" applyFont="1" applyFill="1" applyBorder="1" applyAlignment="1">
      <alignment horizontal="center"/>
    </xf>
    <xf numFmtId="0" fontId="31" fillId="18" borderId="72" xfId="0" applyFont="1" applyFill="1" applyBorder="1" applyAlignment="1">
      <alignment horizontal="center"/>
    </xf>
    <xf numFmtId="0" fontId="31" fillId="18" borderId="73" xfId="0" applyFont="1" applyFill="1" applyBorder="1" applyAlignment="1">
      <alignment horizontal="center"/>
    </xf>
    <xf numFmtId="0" fontId="31" fillId="5" borderId="65" xfId="0" applyFont="1" applyFill="1" applyBorder="1" applyAlignment="1">
      <alignment horizontal="center" vertical="center"/>
    </xf>
    <xf numFmtId="0" fontId="31" fillId="5" borderId="66" xfId="0" applyFont="1" applyFill="1" applyBorder="1" applyAlignment="1">
      <alignment horizontal="center" vertical="center"/>
    </xf>
    <xf numFmtId="0" fontId="31" fillId="5" borderId="67" xfId="0" applyFont="1" applyFill="1" applyBorder="1" applyAlignment="1">
      <alignment horizontal="center" vertical="center"/>
    </xf>
    <xf numFmtId="0" fontId="46" fillId="5" borderId="273" xfId="0" applyFont="1" applyFill="1" applyBorder="1" applyAlignment="1">
      <alignment horizontal="center" vertical="center"/>
    </xf>
    <xf numFmtId="0" fontId="46" fillId="5" borderId="274" xfId="0" applyFont="1" applyFill="1" applyBorder="1" applyAlignment="1">
      <alignment horizontal="center" vertical="center"/>
    </xf>
    <xf numFmtId="0" fontId="46" fillId="5" borderId="275" xfId="0" applyFont="1" applyFill="1" applyBorder="1" applyAlignment="1">
      <alignment horizontal="center" vertical="center"/>
    </xf>
    <xf numFmtId="0" fontId="0" fillId="0" borderId="154" xfId="0" applyBorder="1" applyAlignment="1">
      <alignment horizontal="center" vertical="center" wrapText="1"/>
    </xf>
    <xf numFmtId="0" fontId="0" fillId="0" borderId="288" xfId="0" applyBorder="1" applyAlignment="1">
      <alignment horizontal="center" vertical="center" wrapText="1"/>
    </xf>
    <xf numFmtId="0" fontId="0" fillId="0" borderId="131" xfId="0" applyBorder="1" applyAlignment="1">
      <alignment horizontal="center" vertical="center" wrapText="1"/>
    </xf>
    <xf numFmtId="0" fontId="0" fillId="0" borderId="115" xfId="0" applyBorder="1" applyAlignment="1">
      <alignment horizontal="center" vertical="center" wrapText="1"/>
    </xf>
    <xf numFmtId="0" fontId="0" fillId="0" borderId="184" xfId="0" applyBorder="1" applyAlignment="1">
      <alignment horizontal="center" vertical="center" wrapText="1"/>
    </xf>
    <xf numFmtId="0" fontId="13" fillId="14" borderId="69" xfId="0" applyFont="1" applyFill="1" applyBorder="1" applyAlignment="1">
      <alignment horizontal="center"/>
    </xf>
    <xf numFmtId="0" fontId="13" fillId="14" borderId="70" xfId="0" applyFont="1" applyFill="1" applyBorder="1" applyAlignment="1">
      <alignment horizontal="center"/>
    </xf>
    <xf numFmtId="0" fontId="13" fillId="14" borderId="71" xfId="0" applyFont="1" applyFill="1" applyBorder="1" applyAlignment="1">
      <alignment horizontal="center"/>
    </xf>
    <xf numFmtId="0" fontId="0" fillId="0" borderId="49" xfId="0" applyBorder="1" applyAlignment="1">
      <alignment horizontal="center" vertical="center" wrapText="1"/>
    </xf>
    <xf numFmtId="0" fontId="0" fillId="0" borderId="0" xfId="0" applyAlignment="1">
      <alignment horizontal="center" vertical="center" wrapText="1"/>
    </xf>
    <xf numFmtId="0" fontId="0" fillId="0" borderId="50" xfId="0" applyBorder="1" applyAlignment="1">
      <alignment horizontal="center" vertical="center" wrapText="1"/>
    </xf>
    <xf numFmtId="0" fontId="44" fillId="0" borderId="79" xfId="0" applyFont="1" applyBorder="1" applyAlignment="1">
      <alignment horizontal="center"/>
    </xf>
    <xf numFmtId="0" fontId="44" fillId="0" borderId="80" xfId="0" applyFont="1" applyBorder="1" applyAlignment="1">
      <alignment horizontal="center"/>
    </xf>
    <xf numFmtId="10" fontId="13" fillId="0" borderId="79" xfId="16" applyNumberFormat="1" applyFont="1" applyBorder="1" applyAlignment="1">
      <alignment horizontal="center"/>
    </xf>
    <xf numFmtId="10" fontId="13" fillId="0" borderId="81" xfId="16" applyNumberFormat="1" applyFont="1" applyBorder="1" applyAlignment="1">
      <alignment horizontal="center"/>
    </xf>
    <xf numFmtId="10" fontId="13" fillId="0" borderId="80" xfId="16" applyNumberFormat="1" applyFont="1" applyBorder="1" applyAlignment="1">
      <alignment horizontal="center"/>
    </xf>
    <xf numFmtId="0" fontId="13" fillId="0" borderId="79" xfId="0" applyFont="1" applyBorder="1" applyAlignment="1">
      <alignment horizontal="center"/>
    </xf>
    <xf numFmtId="0" fontId="13" fillId="0" borderId="81" xfId="0" applyFont="1" applyBorder="1" applyAlignment="1">
      <alignment horizontal="center"/>
    </xf>
    <xf numFmtId="0" fontId="13" fillId="0" borderId="80" xfId="0" applyFont="1" applyBorder="1" applyAlignment="1">
      <alignment horizontal="center"/>
    </xf>
    <xf numFmtId="0" fontId="92" fillId="0" borderId="79" xfId="0" applyFont="1" applyBorder="1" applyAlignment="1">
      <alignment horizontal="center"/>
    </xf>
    <xf numFmtId="0" fontId="92" fillId="0" borderId="80" xfId="0" applyFont="1" applyBorder="1" applyAlignment="1">
      <alignment horizontal="center"/>
    </xf>
    <xf numFmtId="0" fontId="23" fillId="8" borderId="283" xfId="0" applyFont="1" applyFill="1" applyBorder="1" applyAlignment="1">
      <alignment horizontal="center" vertical="center" wrapText="1"/>
    </xf>
    <xf numFmtId="0" fontId="23" fillId="8" borderId="284" xfId="0" applyFont="1" applyFill="1" applyBorder="1" applyAlignment="1">
      <alignment horizontal="center" vertical="center" wrapText="1"/>
    </xf>
    <xf numFmtId="0" fontId="23" fillId="0" borderId="259" xfId="0" applyFont="1" applyBorder="1" applyAlignment="1">
      <alignment horizontal="center" vertical="center" wrapText="1"/>
    </xf>
    <xf numFmtId="0" fontId="23" fillId="0" borderId="225" xfId="0" applyFont="1" applyBorder="1" applyAlignment="1">
      <alignment horizontal="center" vertical="center" wrapText="1"/>
    </xf>
    <xf numFmtId="0" fontId="23" fillId="0" borderId="260" xfId="0" applyFont="1" applyBorder="1" applyAlignment="1">
      <alignment horizontal="center" vertical="center" wrapText="1"/>
    </xf>
    <xf numFmtId="0" fontId="23" fillId="0" borderId="174" xfId="0" applyFont="1" applyBorder="1" applyAlignment="1">
      <alignment horizontal="center" vertical="center" wrapText="1"/>
    </xf>
    <xf numFmtId="0" fontId="23" fillId="0" borderId="250" xfId="0" applyFont="1" applyBorder="1" applyAlignment="1">
      <alignment horizontal="center" vertical="center" wrapText="1"/>
    </xf>
    <xf numFmtId="0" fontId="23" fillId="0" borderId="0" xfId="0" applyFont="1" applyAlignment="1">
      <alignment horizontal="center" vertical="center" wrapText="1"/>
    </xf>
    <xf numFmtId="0" fontId="23" fillId="0" borderId="254" xfId="0" applyFont="1" applyBorder="1" applyAlignment="1">
      <alignment horizontal="center" vertical="center" wrapText="1"/>
    </xf>
    <xf numFmtId="185" fontId="23" fillId="0" borderId="250" xfId="0" applyNumberFormat="1" applyFont="1" applyBorder="1" applyAlignment="1">
      <alignment horizontal="center" vertical="center" wrapText="1"/>
    </xf>
    <xf numFmtId="0" fontId="23" fillId="0" borderId="222" xfId="0" applyFont="1" applyBorder="1" applyAlignment="1">
      <alignment horizontal="center" vertical="center" wrapText="1"/>
    </xf>
    <xf numFmtId="0" fontId="23" fillId="8" borderId="63" xfId="0" applyFont="1" applyFill="1" applyBorder="1" applyAlignment="1">
      <alignment horizontal="center" vertical="center" wrapText="1"/>
    </xf>
    <xf numFmtId="0" fontId="23" fillId="8" borderId="263" xfId="0" applyFont="1" applyFill="1" applyBorder="1" applyAlignment="1">
      <alignment horizontal="center" vertical="center" wrapText="1"/>
    </xf>
    <xf numFmtId="0" fontId="68" fillId="8" borderId="251" xfId="0" applyFont="1" applyFill="1" applyBorder="1" applyAlignment="1">
      <alignment horizontal="center" vertical="center" wrapText="1"/>
    </xf>
    <xf numFmtId="0" fontId="68" fillId="8" borderId="252" xfId="0" applyFont="1" applyFill="1" applyBorder="1" applyAlignment="1">
      <alignment horizontal="center" vertical="center" wrapText="1"/>
    </xf>
    <xf numFmtId="0" fontId="68" fillId="8" borderId="255" xfId="0" applyFont="1" applyFill="1" applyBorder="1" applyAlignment="1">
      <alignment horizontal="center" vertical="center" wrapText="1"/>
    </xf>
    <xf numFmtId="0" fontId="82" fillId="0" borderId="246" xfId="0" applyFont="1" applyBorder="1" applyAlignment="1">
      <alignment horizontal="center" vertical="center"/>
    </xf>
    <xf numFmtId="0" fontId="82" fillId="0" borderId="247" xfId="0" applyFont="1" applyBorder="1" applyAlignment="1">
      <alignment horizontal="center" vertical="center"/>
    </xf>
    <xf numFmtId="0" fontId="82" fillId="0" borderId="248" xfId="0" applyFont="1" applyBorder="1" applyAlignment="1">
      <alignment horizontal="center" vertical="center"/>
    </xf>
    <xf numFmtId="0" fontId="86" fillId="47" borderId="277" xfId="0" applyFont="1" applyFill="1" applyBorder="1" applyAlignment="1">
      <alignment wrapText="1"/>
    </xf>
    <xf numFmtId="0" fontId="86" fillId="47" borderId="278" xfId="0" applyFont="1" applyFill="1" applyBorder="1" applyAlignment="1">
      <alignment wrapText="1"/>
    </xf>
    <xf numFmtId="0" fontId="68" fillId="0" borderId="249" xfId="0" applyFont="1" applyBorder="1" applyAlignment="1">
      <alignment horizontal="center" vertical="center" wrapText="1"/>
    </xf>
    <xf numFmtId="0" fontId="68" fillId="0" borderId="250" xfId="0" applyFont="1" applyBorder="1" applyAlignment="1">
      <alignment horizontal="center" vertical="center" wrapText="1"/>
    </xf>
    <xf numFmtId="0" fontId="68" fillId="0" borderId="251" xfId="0" applyFont="1" applyBorder="1" applyAlignment="1">
      <alignment horizontal="center" vertical="center" wrapText="1"/>
    </xf>
    <xf numFmtId="0" fontId="68" fillId="0" borderId="245" xfId="0" applyFont="1" applyBorder="1" applyAlignment="1">
      <alignment horizontal="center" vertical="center" wrapText="1"/>
    </xf>
    <xf numFmtId="0" fontId="68" fillId="0" borderId="0" xfId="0" applyFont="1" applyAlignment="1">
      <alignment horizontal="center" vertical="center" wrapText="1"/>
    </xf>
    <xf numFmtId="0" fontId="68" fillId="0" borderId="252" xfId="0" applyFont="1" applyBorder="1" applyAlignment="1">
      <alignment horizontal="center" vertical="center" wrapText="1"/>
    </xf>
    <xf numFmtId="0" fontId="68" fillId="0" borderId="253" xfId="0" applyFont="1" applyBorder="1" applyAlignment="1">
      <alignment horizontal="center" vertical="center" wrapText="1"/>
    </xf>
    <xf numFmtId="0" fontId="68" fillId="0" borderId="254" xfId="0" applyFont="1" applyBorder="1" applyAlignment="1">
      <alignment horizontal="center" vertical="center" wrapText="1"/>
    </xf>
    <xf numFmtId="0" fontId="68" fillId="0" borderId="255" xfId="0" applyFont="1" applyBorder="1" applyAlignment="1">
      <alignment horizontal="center" vertical="center" wrapText="1"/>
    </xf>
    <xf numFmtId="0" fontId="81" fillId="0" borderId="109" xfId="0" applyFont="1" applyBorder="1" applyAlignment="1">
      <alignment horizontal="center" vertical="center" wrapText="1"/>
    </xf>
    <xf numFmtId="0" fontId="68" fillId="8" borderId="109" xfId="0" applyFont="1" applyFill="1" applyBorder="1" applyAlignment="1">
      <alignment horizontal="center" vertical="center" wrapText="1"/>
    </xf>
    <xf numFmtId="0" fontId="68" fillId="8" borderId="261" xfId="0" applyFont="1" applyFill="1" applyBorder="1" applyAlignment="1">
      <alignment horizontal="center" vertical="center" wrapText="1"/>
    </xf>
    <xf numFmtId="0" fontId="86" fillId="23" borderId="277" xfId="0" applyFont="1" applyFill="1" applyBorder="1" applyAlignment="1">
      <alignment wrapText="1"/>
    </xf>
    <xf numFmtId="0" fontId="86" fillId="23" borderId="278" xfId="0" applyFont="1" applyFill="1" applyBorder="1" applyAlignment="1">
      <alignment wrapText="1"/>
    </xf>
    <xf numFmtId="0" fontId="86" fillId="32" borderId="246" xfId="0" applyFont="1" applyFill="1" applyBorder="1" applyAlignment="1">
      <alignment wrapText="1"/>
    </xf>
    <xf numFmtId="0" fontId="86" fillId="32" borderId="247" xfId="0" applyFont="1" applyFill="1" applyBorder="1" applyAlignment="1">
      <alignment wrapText="1"/>
    </xf>
    <xf numFmtId="0" fontId="86" fillId="32" borderId="248" xfId="0" applyFont="1" applyFill="1" applyBorder="1" applyAlignment="1">
      <alignment wrapText="1"/>
    </xf>
    <xf numFmtId="0" fontId="86" fillId="11" borderId="246" xfId="0" applyFont="1" applyFill="1" applyBorder="1" applyAlignment="1">
      <alignment wrapText="1"/>
    </xf>
    <xf numFmtId="0" fontId="86" fillId="11" borderId="247" xfId="0" applyFont="1" applyFill="1" applyBorder="1" applyAlignment="1">
      <alignment wrapText="1"/>
    </xf>
    <xf numFmtId="0" fontId="86" fillId="11" borderId="248" xfId="0" applyFont="1" applyFill="1" applyBorder="1" applyAlignment="1">
      <alignment wrapText="1"/>
    </xf>
    <xf numFmtId="0" fontId="8" fillId="44" borderId="210" xfId="0" applyFont="1" applyFill="1" applyBorder="1" applyAlignment="1">
      <alignment horizontal="center" vertical="center" wrapText="1"/>
    </xf>
    <xf numFmtId="0" fontId="8" fillId="44" borderId="212" xfId="0" applyFont="1" applyFill="1" applyBorder="1" applyAlignment="1">
      <alignment horizontal="center" vertical="center" wrapText="1"/>
    </xf>
    <xf numFmtId="0" fontId="73" fillId="0" borderId="63" xfId="0" applyFont="1" applyBorder="1" applyAlignment="1">
      <alignment horizontal="center" vertical="center" wrapText="1"/>
    </xf>
    <xf numFmtId="0" fontId="73" fillId="0" borderId="211" xfId="0" applyFont="1" applyBorder="1" applyAlignment="1">
      <alignment horizontal="center" vertical="center" wrapText="1"/>
    </xf>
    <xf numFmtId="0" fontId="73" fillId="0" borderId="213" xfId="0" applyFont="1" applyBorder="1" applyAlignment="1">
      <alignment horizontal="center" vertical="center" wrapText="1"/>
    </xf>
    <xf numFmtId="0" fontId="73" fillId="0" borderId="214" xfId="0" applyFont="1" applyBorder="1" applyAlignment="1">
      <alignment horizontal="center" vertical="center" wrapText="1"/>
    </xf>
    <xf numFmtId="0" fontId="27" fillId="5" borderId="207" xfId="26" applyFont="1" applyFill="1" applyBorder="1" applyAlignment="1">
      <alignment horizontal="center" vertical="center"/>
    </xf>
    <xf numFmtId="0" fontId="27" fillId="5" borderId="208" xfId="26" applyFont="1" applyFill="1" applyBorder="1" applyAlignment="1">
      <alignment horizontal="center" vertical="center"/>
    </xf>
    <xf numFmtId="0" fontId="27" fillId="5" borderId="209" xfId="26" applyFont="1" applyFill="1" applyBorder="1" applyAlignment="1">
      <alignment horizontal="center" vertical="center"/>
    </xf>
    <xf numFmtId="0" fontId="8" fillId="45" borderId="210" xfId="0" applyFont="1" applyFill="1" applyBorder="1" applyAlignment="1">
      <alignment horizontal="center" vertical="center" wrapText="1"/>
    </xf>
    <xf numFmtId="0" fontId="8" fillId="39" borderId="210" xfId="0" applyFont="1" applyFill="1" applyBorder="1" applyAlignment="1">
      <alignment horizontal="center" vertical="center" wrapText="1"/>
    </xf>
    <xf numFmtId="0" fontId="80" fillId="5" borderId="258" xfId="0" applyFont="1" applyFill="1" applyBorder="1" applyAlignment="1">
      <alignment horizontal="center" vertical="center"/>
    </xf>
    <xf numFmtId="0" fontId="80" fillId="5" borderId="223" xfId="0" applyFont="1" applyFill="1" applyBorder="1" applyAlignment="1">
      <alignment horizontal="center" vertical="center"/>
    </xf>
    <xf numFmtId="0" fontId="47" fillId="10" borderId="246" xfId="0" applyFont="1" applyFill="1" applyBorder="1" applyAlignment="1">
      <alignment horizontal="center" vertical="center" wrapText="1"/>
    </xf>
    <xf numFmtId="0" fontId="47" fillId="10" borderId="247" xfId="0" applyFont="1" applyFill="1" applyBorder="1" applyAlignment="1">
      <alignment horizontal="center" vertical="center" wrapText="1"/>
    </xf>
    <xf numFmtId="0" fontId="47" fillId="10" borderId="248" xfId="0" applyFont="1" applyFill="1" applyBorder="1" applyAlignment="1">
      <alignment horizontal="center" vertical="center" wrapText="1"/>
    </xf>
    <xf numFmtId="0" fontId="80" fillId="5" borderId="63" xfId="0" applyFont="1" applyFill="1" applyBorder="1" applyAlignment="1">
      <alignment horizontal="center" vertical="center"/>
    </xf>
    <xf numFmtId="0" fontId="80" fillId="5" borderId="170" xfId="0" applyFont="1" applyFill="1" applyBorder="1" applyAlignment="1">
      <alignment horizontal="center" vertical="center"/>
    </xf>
    <xf numFmtId="0" fontId="80" fillId="5" borderId="111" xfId="0" applyFont="1" applyFill="1" applyBorder="1" applyAlignment="1">
      <alignment horizontal="center" vertical="center"/>
    </xf>
    <xf numFmtId="0" fontId="80" fillId="5" borderId="256" xfId="0" applyFont="1" applyFill="1" applyBorder="1" applyAlignment="1">
      <alignment horizontal="center" vertical="center"/>
    </xf>
    <xf numFmtId="0" fontId="80" fillId="5" borderId="257" xfId="0" applyFont="1" applyFill="1" applyBorder="1" applyAlignment="1">
      <alignment horizontal="center" vertical="center"/>
    </xf>
    <xf numFmtId="2" fontId="0" fillId="0" borderId="0" xfId="26" applyNumberFormat="1" applyFont="1" applyAlignment="1">
      <alignment horizontal="center"/>
    </xf>
    <xf numFmtId="0" fontId="16" fillId="18" borderId="103" xfId="1" applyFill="1" applyBorder="1" applyAlignment="1">
      <alignment horizontal="center" vertical="center" readingOrder="1"/>
    </xf>
    <xf numFmtId="0" fontId="53" fillId="18" borderId="103" xfId="26" applyFont="1" applyFill="1" applyBorder="1" applyAlignment="1">
      <alignment horizontal="center"/>
    </xf>
    <xf numFmtId="0" fontId="0" fillId="0" borderId="0" xfId="26" applyFont="1" applyAlignment="1">
      <alignment horizontal="center"/>
    </xf>
    <xf numFmtId="0" fontId="27" fillId="5" borderId="127" xfId="26" applyFont="1" applyFill="1" applyBorder="1" applyAlignment="1">
      <alignment horizontal="center" vertical="center"/>
    </xf>
    <xf numFmtId="0" fontId="27" fillId="5" borderId="29" xfId="26" applyFont="1" applyFill="1" applyBorder="1" applyAlignment="1">
      <alignment horizontal="center" vertical="center"/>
    </xf>
    <xf numFmtId="0" fontId="27" fillId="5" borderId="30" xfId="26" applyFont="1" applyFill="1" applyBorder="1" applyAlignment="1">
      <alignment horizontal="center" vertical="center"/>
    </xf>
    <xf numFmtId="0" fontId="29" fillId="0" borderId="128" xfId="26" applyFont="1" applyBorder="1" applyAlignment="1">
      <alignment horizontal="center" vertical="center" wrapText="1"/>
    </xf>
    <xf numFmtId="0" fontId="29" fillId="0" borderId="129" xfId="26" applyFont="1" applyBorder="1" applyAlignment="1">
      <alignment horizontal="center" vertical="center" wrapText="1"/>
    </xf>
    <xf numFmtId="0" fontId="29" fillId="0" borderId="130" xfId="26" applyFont="1" applyBorder="1" applyAlignment="1">
      <alignment horizontal="center" vertical="center" wrapText="1"/>
    </xf>
    <xf numFmtId="0" fontId="8" fillId="39" borderId="201" xfId="0" applyFont="1" applyFill="1" applyBorder="1" applyAlignment="1">
      <alignment horizontal="center"/>
    </xf>
    <xf numFmtId="0" fontId="8" fillId="39" borderId="202" xfId="0" applyFont="1" applyFill="1" applyBorder="1" applyAlignment="1">
      <alignment horizontal="center"/>
    </xf>
    <xf numFmtId="0" fontId="8" fillId="39" borderId="169" xfId="0" applyFont="1" applyFill="1" applyBorder="1" applyAlignment="1">
      <alignment horizontal="center"/>
    </xf>
    <xf numFmtId="0" fontId="65" fillId="0" borderId="3" xfId="29" applyFont="1" applyBorder="1" applyAlignment="1">
      <alignment horizontal="center" vertical="center"/>
    </xf>
    <xf numFmtId="0" fontId="65" fillId="0" borderId="2" xfId="29" applyFont="1" applyBorder="1" applyAlignment="1">
      <alignment horizontal="center" vertical="center"/>
    </xf>
    <xf numFmtId="0" fontId="55" fillId="36" borderId="0" xfId="0" applyFont="1" applyFill="1" applyAlignment="1">
      <alignment horizontal="left" vertical="center"/>
    </xf>
    <xf numFmtId="0" fontId="55" fillId="36" borderId="132" xfId="0" applyFont="1" applyFill="1" applyBorder="1" applyAlignment="1">
      <alignment horizontal="left" vertical="center"/>
    </xf>
    <xf numFmtId="0" fontId="56" fillId="0" borderId="3" xfId="0" applyFont="1" applyBorder="1" applyAlignment="1">
      <alignment horizontal="center" vertical="center"/>
    </xf>
    <xf numFmtId="0" fontId="56" fillId="0" borderId="4" xfId="0" applyFont="1" applyBorder="1" applyAlignment="1">
      <alignment horizontal="center" vertical="center"/>
    </xf>
    <xf numFmtId="0" fontId="56" fillId="0" borderId="2" xfId="0" applyFont="1" applyBorder="1" applyAlignment="1">
      <alignment horizontal="center" vertical="center"/>
    </xf>
    <xf numFmtId="0" fontId="13" fillId="0" borderId="119" xfId="0" applyFont="1" applyBorder="1" applyAlignment="1">
      <alignment horizontal="center" vertical="center" wrapText="1"/>
    </xf>
    <xf numFmtId="0" fontId="56" fillId="0" borderId="120" xfId="0" applyFont="1" applyBorder="1" applyAlignment="1">
      <alignment horizontal="center" vertical="center" wrapText="1"/>
    </xf>
    <xf numFmtId="0" fontId="56" fillId="0" borderId="117" xfId="0" applyFont="1" applyBorder="1" applyAlignment="1">
      <alignment horizontal="center" vertical="center" wrapText="1"/>
    </xf>
    <xf numFmtId="0" fontId="61" fillId="28" borderId="119" xfId="0" applyFont="1" applyFill="1" applyBorder="1" applyAlignment="1">
      <alignment horizontal="center"/>
    </xf>
    <xf numFmtId="0" fontId="61" fillId="28" borderId="0" xfId="0" applyFont="1" applyFill="1" applyAlignment="1">
      <alignment horizontal="center"/>
    </xf>
    <xf numFmtId="0" fontId="61" fillId="28" borderId="131" xfId="0" applyFont="1" applyFill="1" applyBorder="1" applyAlignment="1">
      <alignment horizontal="center"/>
    </xf>
    <xf numFmtId="0" fontId="61" fillId="28" borderId="115" xfId="0" applyFont="1" applyFill="1" applyBorder="1" applyAlignment="1">
      <alignment horizontal="center"/>
    </xf>
    <xf numFmtId="0" fontId="61" fillId="28" borderId="184" xfId="0" applyFont="1" applyFill="1" applyBorder="1" applyAlignment="1">
      <alignment horizontal="center"/>
    </xf>
    <xf numFmtId="0" fontId="54" fillId="12" borderId="201" xfId="0" applyFont="1" applyFill="1" applyBorder="1" applyAlignment="1">
      <alignment horizontal="center"/>
    </xf>
    <xf numFmtId="0" fontId="54" fillId="12" borderId="202" xfId="0" applyFont="1" applyFill="1" applyBorder="1" applyAlignment="1">
      <alignment horizontal="center"/>
    </xf>
    <xf numFmtId="0" fontId="54" fillId="12" borderId="242" xfId="0" applyFont="1" applyFill="1" applyBorder="1" applyAlignment="1">
      <alignment horizontal="center"/>
    </xf>
    <xf numFmtId="0" fontId="54" fillId="12" borderId="40" xfId="0" applyFont="1" applyFill="1" applyBorder="1" applyAlignment="1">
      <alignment horizontal="center"/>
    </xf>
    <xf numFmtId="0" fontId="54" fillId="39" borderId="201" xfId="0" applyFont="1" applyFill="1" applyBorder="1" applyAlignment="1">
      <alignment horizontal="center"/>
    </xf>
    <xf numFmtId="0" fontId="54" fillId="39" borderId="202" xfId="0" applyFont="1" applyFill="1" applyBorder="1" applyAlignment="1">
      <alignment horizontal="center"/>
    </xf>
    <xf numFmtId="0" fontId="54" fillId="39" borderId="148" xfId="0" applyFont="1" applyFill="1" applyBorder="1" applyAlignment="1">
      <alignment horizontal="center"/>
    </xf>
    <xf numFmtId="0" fontId="54" fillId="39" borderId="140" xfId="0" applyFont="1" applyFill="1" applyBorder="1" applyAlignment="1">
      <alignment horizontal="center"/>
    </xf>
    <xf numFmtId="0" fontId="56" fillId="0" borderId="117" xfId="0" applyFont="1" applyBorder="1" applyAlignment="1">
      <alignment horizontal="center" vertical="center"/>
    </xf>
    <xf numFmtId="0" fontId="56" fillId="0" borderId="120" xfId="0" applyFont="1" applyBorder="1" applyAlignment="1">
      <alignment horizontal="center" vertical="center"/>
    </xf>
    <xf numFmtId="0" fontId="56" fillId="0" borderId="203" xfId="0" applyFont="1" applyBorder="1" applyAlignment="1">
      <alignment horizontal="center" vertical="center"/>
    </xf>
    <xf numFmtId="0" fontId="56" fillId="0" borderId="159" xfId="0" applyFont="1" applyBorder="1" applyAlignment="1">
      <alignment horizontal="center" vertical="center"/>
    </xf>
    <xf numFmtId="0" fontId="56" fillId="0" borderId="109" xfId="0" applyFont="1" applyBorder="1" applyAlignment="1">
      <alignment horizontal="center" vertical="center"/>
    </xf>
    <xf numFmtId="0" fontId="13" fillId="0" borderId="223" xfId="24" applyFont="1" applyBorder="1" applyAlignment="1">
      <alignment horizontal="center" vertical="center"/>
    </xf>
    <xf numFmtId="0" fontId="13" fillId="0" borderId="225" xfId="24" applyFont="1" applyBorder="1" applyAlignment="1">
      <alignment horizontal="center" vertical="center"/>
    </xf>
    <xf numFmtId="0" fontId="13" fillId="0" borderId="174" xfId="24" applyFont="1" applyBorder="1" applyAlignment="1">
      <alignment horizontal="center" vertical="center"/>
    </xf>
    <xf numFmtId="0" fontId="78" fillId="7" borderId="0" xfId="0" applyFont="1" applyFill="1" applyAlignment="1">
      <alignment horizontal="center"/>
    </xf>
    <xf numFmtId="0" fontId="0" fillId="0" borderId="110" xfId="24" applyFont="1" applyBorder="1" applyAlignment="1">
      <alignment horizontal="center" vertical="center"/>
    </xf>
    <xf numFmtId="0" fontId="0" fillId="0" borderId="112" xfId="24" applyFont="1" applyBorder="1" applyAlignment="1">
      <alignment horizontal="center" vertical="center"/>
    </xf>
    <xf numFmtId="0" fontId="13" fillId="0" borderId="110" xfId="24" applyFont="1" applyBorder="1" applyAlignment="1">
      <alignment horizontal="center" vertical="center"/>
    </xf>
    <xf numFmtId="0" fontId="13" fillId="0" borderId="113" xfId="24" applyFont="1" applyBorder="1" applyAlignment="1">
      <alignment horizontal="center" vertical="center"/>
    </xf>
    <xf numFmtId="0" fontId="13" fillId="0" borderId="112" xfId="24" applyFont="1" applyBorder="1" applyAlignment="1">
      <alignment horizontal="center" vertical="center"/>
    </xf>
    <xf numFmtId="0" fontId="13" fillId="0" borderId="3" xfId="0" applyFont="1" applyBorder="1" applyAlignment="1">
      <alignment horizontal="center"/>
    </xf>
    <xf numFmtId="0" fontId="13" fillId="0" borderId="2" xfId="0" applyFont="1" applyBorder="1" applyAlignment="1">
      <alignment horizontal="center"/>
    </xf>
    <xf numFmtId="0" fontId="13" fillId="0" borderId="33" xfId="0" applyFont="1" applyBorder="1" applyAlignment="1">
      <alignment horizontal="center"/>
    </xf>
    <xf numFmtId="0" fontId="13" fillId="0" borderId="5" xfId="0" applyFont="1" applyBorder="1" applyAlignment="1">
      <alignment horizontal="center"/>
    </xf>
    <xf numFmtId="0" fontId="13" fillId="0" borderId="34" xfId="0" applyFont="1" applyBorder="1" applyAlignment="1">
      <alignment horizontal="center"/>
    </xf>
    <xf numFmtId="0" fontId="43" fillId="0" borderId="0" xfId="0" applyFont="1" applyAlignment="1">
      <alignment horizontal="center"/>
    </xf>
    <xf numFmtId="0" fontId="9" fillId="0" borderId="0" xfId="0" applyFont="1" applyAlignment="1">
      <alignment horizontal="center"/>
    </xf>
    <xf numFmtId="0" fontId="39" fillId="0" borderId="0" xfId="0" applyFont="1" applyAlignment="1">
      <alignment horizontal="center"/>
    </xf>
    <xf numFmtId="0" fontId="35" fillId="19" borderId="0" xfId="0" applyFont="1" applyFill="1" applyAlignment="1">
      <alignment horizontal="center"/>
    </xf>
    <xf numFmtId="4" fontId="35" fillId="19" borderId="0" xfId="0" applyNumberFormat="1" applyFont="1" applyFill="1" applyAlignment="1">
      <alignment horizontal="center"/>
    </xf>
    <xf numFmtId="0" fontId="35" fillId="0" borderId="0" xfId="0" applyFont="1" applyAlignment="1">
      <alignment horizontal="center"/>
    </xf>
    <xf numFmtId="0" fontId="23" fillId="0" borderId="0" xfId="0" applyFont="1" applyAlignment="1">
      <alignment horizontal="center"/>
    </xf>
    <xf numFmtId="0" fontId="0" fillId="0" borderId="10" xfId="0" applyBorder="1" applyAlignment="1"/>
  </cellXfs>
  <cellStyles count="38">
    <cellStyle name="blp_title_header_row_left" xfId="1" xr:uid="{00000000-0005-0000-0000-000000000000}"/>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Moneda 2" xfId="12" xr:uid="{00000000-0005-0000-0000-00000B000000}"/>
    <cellStyle name="Moneda 2 2" xfId="13" xr:uid="{00000000-0005-0000-0000-00000C000000}"/>
    <cellStyle name="Normal 2" xfId="14" xr:uid="{00000000-0005-0000-0000-00000E000000}"/>
    <cellStyle name="Normal 2 2" xfId="15" xr:uid="{00000000-0005-0000-0000-00000F000000}"/>
    <cellStyle name="Normal 2 3" xfId="20" xr:uid="{00000000-0005-0000-0000-000010000000}"/>
    <cellStyle name="Normal 2 3 2" xfId="27" xr:uid="{6A4611F8-31D7-4EA6-B27B-70EB4E34E8FD}"/>
    <cellStyle name="Normal 2 4" xfId="21" xr:uid="{DBC68614-B0BC-4348-8A0D-C96562B201CF}"/>
    <cellStyle name="Normal 3" xfId="24" xr:uid="{371B90F0-6B8E-40BF-8358-D28B574437C9}"/>
    <cellStyle name="Normal 3 2" xfId="26" xr:uid="{41BD78A2-6B23-4ADD-839D-9D86F14E11A2}"/>
    <cellStyle name="Normal 3 3" xfId="29" xr:uid="{4CBFF9A4-05AD-4A91-8AF0-FA0B5B39E2EC}"/>
    <cellStyle name="Normal 5" xfId="30" xr:uid="{E3BE1569-E214-4855-8BF5-B868B88B5743}"/>
    <cellStyle name="Normal 9" xfId="33" xr:uid="{CACD4D4E-2C7F-4816-9692-26D0FDD559DC}"/>
    <cellStyle name="Porcentaje 2" xfId="17" xr:uid="{00000000-0005-0000-0000-000012000000}"/>
    <cellStyle name="Porcentaje 2 2" xfId="18" xr:uid="{00000000-0005-0000-0000-000013000000}"/>
    <cellStyle name="Porcentaje 2 2 2" xfId="25" xr:uid="{924DB8B0-6B9C-4A78-9CB6-7EC8F42C7C6B}"/>
    <cellStyle name="Porcentaje 2 3" xfId="23" xr:uid="{1FF2580F-E450-433A-8AB5-6E1CABCA8FC9}"/>
    <cellStyle name="Porcentaje 2 4" xfId="28" xr:uid="{3D812F63-E4F6-4F6D-A613-EF79E76ACE35}"/>
    <cellStyle name="Porcentaje 3" xfId="19" xr:uid="{00000000-0005-0000-0000-000014000000}"/>
    <cellStyle name="Porcentaje 3 2" xfId="22" xr:uid="{59E732CE-B697-4AF7-8CEE-0C42EB60E78B}"/>
    <cellStyle name="Porcentaje 4 2" xfId="32" xr:uid="{C6A0E8B8-33DC-4334-89A4-99FF669E5EA8}"/>
    <cellStyle name="Porcentaje 5" xfId="31" xr:uid="{F07CEC0B-CE59-4BBC-A0C7-9B77A84167BF}"/>
    <cellStyle name="百分比" xfId="16" builtinId="5"/>
    <cellStyle name="差" xfId="36" builtinId="27"/>
    <cellStyle name="常规" xfId="0" builtinId="0"/>
    <cellStyle name="超链接" xfId="11" builtinId="8"/>
    <cellStyle name="好" xfId="34" builtinId="26"/>
    <cellStyle name="输出" xfId="35" builtinId="21"/>
    <cellStyle name="输入" xfId="37" builtinId="20"/>
  </cellStyles>
  <dxfs count="34">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7B8256E5-5961-45BC-8E74-75040304E975}"/>
  </tableStyles>
  <colors>
    <mruColors>
      <color rgb="FFFF7C80"/>
      <color rgb="FF1F497D"/>
      <color rgb="FFE26B0A"/>
      <color rgb="FF00B050"/>
      <color rgb="FF1B7087"/>
      <color rgb="FFC5D9F1"/>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22/10/relationships/richValueRel" Target="richData/richValueRel.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10/relationships/person" Target="persons/perso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RichValueTypes" Target="richData/rdRichValueType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0A-4D2F-9638-2FF0593E71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Segments!$C$12:$C$17</c:f>
              <c:strCache>
                <c:ptCount val="6"/>
                <c:pt idx="1">
                  <c:v>Category</c:v>
                </c:pt>
                <c:pt idx="2">
                  <c:v>Spirits</c:v>
                </c:pt>
                <c:pt idx="3">
                  <c:v>Beer</c:v>
                </c:pt>
                <c:pt idx="4">
                  <c:v>Ready to drink</c:v>
                </c:pt>
                <c:pt idx="5">
                  <c:v>Other</c:v>
                </c:pt>
              </c:strCache>
            </c:strRef>
          </c:cat>
          <c:val>
            <c:numRef>
              <c:f>Segments!$D$12:$D$17</c:f>
              <c:numCache>
                <c:formatCode>General</c:formatCode>
                <c:ptCount val="6"/>
                <c:pt idx="0">
                  <c:v>0</c:v>
                </c:pt>
                <c:pt idx="1">
                  <c:v>2023</c:v>
                </c:pt>
                <c:pt idx="2" formatCode="&quot;$&quot;#,##0">
                  <c:v>19004</c:v>
                </c:pt>
                <c:pt idx="3" formatCode="&quot;$&quot;#,##0">
                  <c:v>3355</c:v>
                </c:pt>
                <c:pt idx="4" formatCode="&quot;$&quot;#,##0">
                  <c:v>899</c:v>
                </c:pt>
                <c:pt idx="5" formatCode="&quot;$&quot;#,##0">
                  <c:v>257</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4A-4E49-A26B-70E9316332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4A-4E49-A26B-70E9316332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4A-4E49-A26B-70E9316332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4A-4E49-A26B-70E93163320F}"/>
              </c:ext>
            </c:extLst>
          </c:dPt>
          <c:cat>
            <c:strRef>
              <c:f>Segments!$C$5:$C$8</c:f>
              <c:strCache>
                <c:ptCount val="4"/>
                <c:pt idx="0">
                  <c:v>Great Britain</c:v>
                </c:pt>
                <c:pt idx="1">
                  <c:v>India</c:v>
                </c:pt>
                <c:pt idx="2">
                  <c:v>United States</c:v>
                </c:pt>
                <c:pt idx="3">
                  <c:v>Others</c:v>
                </c:pt>
              </c:strCache>
            </c:strRef>
          </c:cat>
          <c:val>
            <c:numRef>
              <c:f>Segments!$D$5:$D$8</c:f>
              <c:numCache>
                <c:formatCode>"$"#,##0</c:formatCode>
                <c:ptCount val="4"/>
                <c:pt idx="0">
                  <c:v>2138</c:v>
                </c:pt>
                <c:pt idx="1">
                  <c:v>2751</c:v>
                </c:pt>
                <c:pt idx="2">
                  <c:v>6972</c:v>
                </c:pt>
                <c:pt idx="3">
                  <c:v>11654</c:v>
                </c:pt>
              </c:numCache>
            </c:numRef>
          </c:val>
          <c:extLst>
            <c:ext xmlns:c16="http://schemas.microsoft.com/office/drawing/2014/chart" uri="{C3380CC4-5D6E-409C-BE32-E72D297353CC}">
              <c16:uniqueId val="{0000000A-39A2-45B4-A74A-91EB48DD46E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34-458B-8975-07794C7ADE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34-458B-8975-07794C7ADE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34-458B-8975-07794C7ADE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34-458B-8975-07794C7ADE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34-458B-8975-07794C7ADE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334-458B-8975-07794C7ADE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Segments!$C$12:$C$17</c:f>
              <c:strCache>
                <c:ptCount val="6"/>
                <c:pt idx="1">
                  <c:v>Category</c:v>
                </c:pt>
                <c:pt idx="2">
                  <c:v>Spirits</c:v>
                </c:pt>
                <c:pt idx="3">
                  <c:v>Beer</c:v>
                </c:pt>
                <c:pt idx="4">
                  <c:v>Ready to drink</c:v>
                </c:pt>
                <c:pt idx="5">
                  <c:v>Other</c:v>
                </c:pt>
              </c:strCache>
            </c:strRef>
          </c:cat>
          <c:val>
            <c:numRef>
              <c:f>Segments!$D$12:$D$17</c:f>
              <c:numCache>
                <c:formatCode>General</c:formatCode>
                <c:ptCount val="6"/>
                <c:pt idx="0">
                  <c:v>0</c:v>
                </c:pt>
                <c:pt idx="1">
                  <c:v>2023</c:v>
                </c:pt>
                <c:pt idx="2" formatCode="&quot;$&quot;#,##0">
                  <c:v>19004</c:v>
                </c:pt>
                <c:pt idx="3" formatCode="&quot;$&quot;#,##0">
                  <c:v>3355</c:v>
                </c:pt>
                <c:pt idx="4" formatCode="&quot;$&quot;#,##0">
                  <c:v>899</c:v>
                </c:pt>
                <c:pt idx="5" formatCode="&quot;$&quot;#,##0">
                  <c:v>257</c:v>
                </c:pt>
              </c:numCache>
            </c:numRef>
          </c:val>
          <c:extLst>
            <c:ext xmlns:c16="http://schemas.microsoft.com/office/drawing/2014/chart" uri="{C3380CC4-5D6E-409C-BE32-E72D297353CC}">
              <c16:uniqueId val="{0000000C-B334-458B-8975-07794C7ADE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DA-443F-849D-971384D949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DA-443F-849D-971384D949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DA-443F-849D-971384D949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Segments!$C$5:$C$7</c:f>
              <c:strCache>
                <c:ptCount val="3"/>
                <c:pt idx="0">
                  <c:v>Great Britain</c:v>
                </c:pt>
                <c:pt idx="1">
                  <c:v>India</c:v>
                </c:pt>
                <c:pt idx="2">
                  <c:v>United States</c:v>
                </c:pt>
              </c:strCache>
            </c:strRef>
          </c:cat>
          <c:val>
            <c:numRef>
              <c:f>Segments!$D$5:$D$7</c:f>
              <c:numCache>
                <c:formatCode>"$"#,##0</c:formatCode>
                <c:ptCount val="3"/>
                <c:pt idx="0">
                  <c:v>2138</c:v>
                </c:pt>
                <c:pt idx="1">
                  <c:v>2751</c:v>
                </c:pt>
                <c:pt idx="2">
                  <c:v>6972</c:v>
                </c:pt>
              </c:numCache>
            </c:numRef>
          </c:val>
          <c:extLst>
            <c:ext xmlns:c16="http://schemas.microsoft.com/office/drawing/2014/chart" uri="{C3380CC4-5D6E-409C-BE32-E72D297353CC}">
              <c16:uniqueId val="{00000008-DADA-443F-849D-971384D9490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Peers!$C$28</c:f>
              <c:strCache>
                <c:ptCount val="1"/>
                <c:pt idx="0">
                  <c:v>DIAGEO PLC (XLON:DGE)</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Peers!$C$41</c:f>
              <c:numCache>
                <c:formatCode>0.00</c:formatCode>
                <c:ptCount val="1"/>
                <c:pt idx="0">
                  <c:v>2.9878</c:v>
                </c:pt>
              </c:numCache>
            </c:numRef>
          </c:xVal>
          <c:yVal>
            <c:numRef>
              <c:f>Peers!$C$57</c:f>
              <c:numCache>
                <c:formatCode>0.0</c:formatCode>
                <c:ptCount val="1"/>
                <c:pt idx="0">
                  <c:v>13.468055999999999</c:v>
                </c:pt>
              </c:numCache>
            </c:numRef>
          </c:yVal>
          <c:smooth val="0"/>
          <c:extLst>
            <c:ext xmlns:c16="http://schemas.microsoft.com/office/drawing/2014/chart" uri="{C3380CC4-5D6E-409C-BE32-E72D297353CC}">
              <c16:uniqueId val="{00000000-A1BC-45D9-9515-69E14AC8BB2B}"/>
            </c:ext>
          </c:extLst>
        </c:ser>
        <c:ser>
          <c:idx val="1"/>
          <c:order val="1"/>
          <c:tx>
            <c:strRef>
              <c:f>Peers!$D$28</c:f>
              <c:strCache>
                <c:ptCount val="1"/>
                <c:pt idx="0">
                  <c:v>Carlsberg A/S (XSWX:CARLB)</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Peers!$D$41</c:f>
              <c:numCache>
                <c:formatCode>0.00</c:formatCode>
                <c:ptCount val="1"/>
                <c:pt idx="0">
                  <c:v>1.9463738085370907</c:v>
                </c:pt>
              </c:numCache>
            </c:numRef>
          </c:xVal>
          <c:yVal>
            <c:numRef>
              <c:f>Peers!$D$57</c:f>
              <c:numCache>
                <c:formatCode>0.0</c:formatCode>
                <c:ptCount val="1"/>
                <c:pt idx="0">
                  <c:v>12.888852051388314</c:v>
                </c:pt>
              </c:numCache>
            </c:numRef>
          </c:yVal>
          <c:smooth val="0"/>
          <c:extLst>
            <c:ext xmlns:c16="http://schemas.microsoft.com/office/drawing/2014/chart" uri="{C3380CC4-5D6E-409C-BE32-E72D297353CC}">
              <c16:uniqueId val="{00000001-A1BC-45D9-9515-69E14AC8BB2B}"/>
            </c:ext>
          </c:extLst>
        </c:ser>
        <c:ser>
          <c:idx val="2"/>
          <c:order val="2"/>
          <c:tx>
            <c:strRef>
              <c:f>Peers!$E$28</c:f>
              <c:strCache>
                <c:ptCount val="1"/>
                <c:pt idx="0">
                  <c:v>Heineken NV (XAMS:HEIA)</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Peers!$E$41</c:f>
              <c:numCache>
                <c:formatCode>0.00</c:formatCode>
                <c:ptCount val="1"/>
                <c:pt idx="0">
                  <c:v>2.6387321606372387</c:v>
                </c:pt>
              </c:numCache>
            </c:numRef>
          </c:xVal>
          <c:yVal>
            <c:numRef>
              <c:f>Peers!$E$57</c:f>
              <c:numCache>
                <c:formatCode>0.0</c:formatCode>
                <c:ptCount val="1"/>
                <c:pt idx="0">
                  <c:v>9.5974095585794892</c:v>
                </c:pt>
              </c:numCache>
            </c:numRef>
          </c:yVal>
          <c:smooth val="0"/>
          <c:extLst>
            <c:ext xmlns:c16="http://schemas.microsoft.com/office/drawing/2014/chart" uri="{C3380CC4-5D6E-409C-BE32-E72D297353CC}">
              <c16:uniqueId val="{00000002-A1BC-45D9-9515-69E14AC8BB2B}"/>
            </c:ext>
          </c:extLst>
        </c:ser>
        <c:ser>
          <c:idx val="3"/>
          <c:order val="3"/>
          <c:tx>
            <c:strRef>
              <c:f>Peers!$F$28</c:f>
              <c:strCache>
                <c:ptCount val="1"/>
                <c:pt idx="0">
                  <c:v>CONSTELLATION BRANDS, INC. (XNYS:STZ)</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Peers!$F$41</c:f>
              <c:numCache>
                <c:formatCode>0.00</c:formatCode>
                <c:ptCount val="1"/>
                <c:pt idx="0">
                  <c:v>4.2448347107438016</c:v>
                </c:pt>
              </c:numCache>
            </c:numRef>
          </c:xVal>
          <c:yVal>
            <c:numRef>
              <c:f>Peers!$F$57</c:f>
              <c:numCache>
                <c:formatCode>0.0</c:formatCode>
                <c:ptCount val="1"/>
                <c:pt idx="0">
                  <c:v>19.136258101239669</c:v>
                </c:pt>
              </c:numCache>
            </c:numRef>
          </c:yVal>
          <c:smooth val="0"/>
          <c:extLst>
            <c:ext xmlns:c16="http://schemas.microsoft.com/office/drawing/2014/chart" uri="{C3380CC4-5D6E-409C-BE32-E72D297353CC}">
              <c16:uniqueId val="{00000003-A1BC-45D9-9515-69E14AC8BB2B}"/>
            </c:ext>
          </c:extLst>
        </c:ser>
        <c:ser>
          <c:idx val="4"/>
          <c:order val="4"/>
          <c:tx>
            <c:strRef>
              <c:f>Peers!$G$28</c:f>
              <c:strCache>
                <c:ptCount val="1"/>
                <c:pt idx="0">
                  <c:v>BROWN-FORMAN CORPORATION (XNYS:BF.B)</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Peers!$G$41</c:f>
              <c:numCache>
                <c:formatCode>0.00</c:formatCode>
                <c:ptCount val="1"/>
                <c:pt idx="0">
                  <c:v>2.037720706260032</c:v>
                </c:pt>
              </c:numCache>
            </c:numRef>
          </c:xVal>
          <c:yVal>
            <c:numRef>
              <c:f>Peers!$G$57</c:f>
              <c:numCache>
                <c:formatCode>0.0</c:formatCode>
                <c:ptCount val="1"/>
                <c:pt idx="0">
                  <c:v>17.45965489566613</c:v>
                </c:pt>
              </c:numCache>
            </c:numRef>
          </c:yVal>
          <c:smooth val="0"/>
          <c:extLst>
            <c:ext xmlns:c16="http://schemas.microsoft.com/office/drawing/2014/chart" uri="{C3380CC4-5D6E-409C-BE32-E72D297353CC}">
              <c16:uniqueId val="{00000004-A1BC-45D9-9515-69E14AC8BB2B}"/>
            </c:ext>
          </c:extLst>
        </c:ser>
        <c:ser>
          <c:idx val="5"/>
          <c:order val="5"/>
          <c:tx>
            <c:strRef>
              <c:f>Peers!$H$28</c:f>
              <c:strCache>
                <c:ptCount val="1"/>
                <c:pt idx="0">
                  <c:v>MOLSON COORS BEVERAGE COMPANY (XNYS:TAP.A)</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Peers!$H$41</c:f>
              <c:numCache>
                <c:formatCode>0.00</c:formatCode>
                <c:ptCount val="1"/>
                <c:pt idx="0">
                  <c:v>2.9816258351893095</c:v>
                </c:pt>
              </c:numCache>
            </c:numRef>
          </c:xVal>
          <c:yVal>
            <c:numRef>
              <c:f>Peers!$H$57</c:f>
              <c:numCache>
                <c:formatCode>0.0</c:formatCode>
                <c:ptCount val="1"/>
                <c:pt idx="0">
                  <c:v>9.8536859688195992</c:v>
                </c:pt>
              </c:numCache>
            </c:numRef>
          </c:yVal>
          <c:smooth val="0"/>
          <c:extLst>
            <c:ext xmlns:c16="http://schemas.microsoft.com/office/drawing/2014/chart" uri="{C3380CC4-5D6E-409C-BE32-E72D297353CC}">
              <c16:uniqueId val="{00000005-A1BC-45D9-9515-69E14AC8BB2B}"/>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Peers!$C$28</c:f>
              <c:strCache>
                <c:ptCount val="1"/>
                <c:pt idx="0">
                  <c:v>DIAGEO PLC (XLON:DGE)</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Peers!$C$64</c:f>
              <c:numCache>
                <c:formatCode>0%</c:formatCode>
                <c:ptCount val="1"/>
                <c:pt idx="0">
                  <c:v>-0.03</c:v>
                </c:pt>
              </c:numCache>
            </c:numRef>
          </c:xVal>
          <c:yVal>
            <c:numRef>
              <c:f>Peers!$C$69</c:f>
              <c:numCache>
                <c:formatCode>0%</c:formatCode>
                <c:ptCount val="1"/>
                <c:pt idx="0">
                  <c:v>0.30344827586206896</c:v>
                </c:pt>
              </c:numCache>
            </c:numRef>
          </c:yVal>
          <c:smooth val="0"/>
          <c:extLst>
            <c:ext xmlns:c16="http://schemas.microsoft.com/office/drawing/2014/chart" uri="{C3380CC4-5D6E-409C-BE32-E72D297353CC}">
              <c16:uniqueId val="{00000000-3CB2-4131-B86D-AAA66C4DFC09}"/>
            </c:ext>
          </c:extLst>
        </c:ser>
        <c:ser>
          <c:idx val="1"/>
          <c:order val="1"/>
          <c:tx>
            <c:strRef>
              <c:f>Peers!$D$28</c:f>
              <c:strCache>
                <c:ptCount val="1"/>
                <c:pt idx="0">
                  <c:v>Carlsberg A/S (XSWX:CARLB)</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Peers!$D$64</c:f>
              <c:numCache>
                <c:formatCode>0%</c:formatCode>
                <c:ptCount val="1"/>
              </c:numCache>
            </c:numRef>
          </c:xVal>
          <c:yVal>
            <c:numRef>
              <c:f>Peers!$D$69</c:f>
              <c:numCache>
                <c:formatCode>0.00%</c:formatCode>
                <c:ptCount val="1"/>
              </c:numCache>
            </c:numRef>
          </c:yVal>
          <c:smooth val="0"/>
          <c:extLst>
            <c:ext xmlns:c16="http://schemas.microsoft.com/office/drawing/2014/chart" uri="{C3380CC4-5D6E-409C-BE32-E72D297353CC}">
              <c16:uniqueId val="{00000001-3CB2-4131-B86D-AAA66C4DFC09}"/>
            </c:ext>
          </c:extLst>
        </c:ser>
        <c:ser>
          <c:idx val="2"/>
          <c:order val="2"/>
          <c:tx>
            <c:strRef>
              <c:f>Peers!$E$28</c:f>
              <c:strCache>
                <c:ptCount val="1"/>
                <c:pt idx="0">
                  <c:v>Heineken NV (XAMS:HEIA)</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Peers!$E$64</c:f>
              <c:numCache>
                <c:formatCode>0%</c:formatCode>
                <c:ptCount val="1"/>
              </c:numCache>
            </c:numRef>
          </c:xVal>
          <c:yVal>
            <c:numRef>
              <c:f>Peers!$E$69</c:f>
              <c:numCache>
                <c:formatCode>0.00%</c:formatCode>
                <c:ptCount val="1"/>
              </c:numCache>
            </c:numRef>
          </c:yVal>
          <c:smooth val="0"/>
          <c:extLst>
            <c:ext xmlns:c16="http://schemas.microsoft.com/office/drawing/2014/chart" uri="{C3380CC4-5D6E-409C-BE32-E72D297353CC}">
              <c16:uniqueId val="{00000002-3CB2-4131-B86D-AAA66C4DFC09}"/>
            </c:ext>
          </c:extLst>
        </c:ser>
        <c:ser>
          <c:idx val="3"/>
          <c:order val="3"/>
          <c:tx>
            <c:strRef>
              <c:f>Peers!$F$28</c:f>
              <c:strCache>
                <c:ptCount val="1"/>
                <c:pt idx="0">
                  <c:v>CONSTELLATION BRANDS, INC. (XNYS:STZ)</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Peers!$F$64</c:f>
              <c:numCache>
                <c:formatCode>0%</c:formatCode>
                <c:ptCount val="1"/>
              </c:numCache>
            </c:numRef>
          </c:xVal>
          <c:yVal>
            <c:numRef>
              <c:f>Peers!$F$69</c:f>
              <c:numCache>
                <c:formatCode>0.00%</c:formatCode>
                <c:ptCount val="1"/>
              </c:numCache>
            </c:numRef>
          </c:yVal>
          <c:smooth val="0"/>
          <c:extLst>
            <c:ext xmlns:c16="http://schemas.microsoft.com/office/drawing/2014/chart" uri="{C3380CC4-5D6E-409C-BE32-E72D297353CC}">
              <c16:uniqueId val="{00000003-3CB2-4131-B86D-AAA66C4DFC09}"/>
            </c:ext>
          </c:extLst>
        </c:ser>
        <c:ser>
          <c:idx val="5"/>
          <c:order val="4"/>
          <c:tx>
            <c:strRef>
              <c:f>Peers!$G$28</c:f>
              <c:strCache>
                <c:ptCount val="1"/>
                <c:pt idx="0">
                  <c:v>BROWN-FORMAN CORPORATION (XNYS:BF.B)</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Peers!$G$64</c:f>
              <c:numCache>
                <c:formatCode>0%</c:formatCode>
                <c:ptCount val="1"/>
              </c:numCache>
            </c:numRef>
          </c:xVal>
          <c:yVal>
            <c:numRef>
              <c:f>Peers!$G$69</c:f>
              <c:numCache>
                <c:formatCode>0.00%</c:formatCode>
                <c:ptCount val="1"/>
              </c:numCache>
            </c:numRef>
          </c:yVal>
          <c:smooth val="0"/>
          <c:extLst>
            <c:ext xmlns:c16="http://schemas.microsoft.com/office/drawing/2014/chart" uri="{C3380CC4-5D6E-409C-BE32-E72D297353CC}">
              <c16:uniqueId val="{00000004-3CB2-4131-B86D-AAA66C4DFC09}"/>
            </c:ext>
          </c:extLst>
        </c:ser>
        <c:ser>
          <c:idx val="6"/>
          <c:order val="5"/>
          <c:tx>
            <c:strRef>
              <c:f>Peers!$H$28</c:f>
              <c:strCache>
                <c:ptCount val="1"/>
                <c:pt idx="0">
                  <c:v>MOLSON COORS BEVERAGE COMPANY (XNYS:TAP.A)</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Peers!$H$64</c:f>
              <c:numCache>
                <c:formatCode>0%</c:formatCode>
                <c:ptCount val="1"/>
              </c:numCache>
            </c:numRef>
          </c:xVal>
          <c:yVal>
            <c:numRef>
              <c:f>Peers!$H$69</c:f>
              <c:numCache>
                <c:formatCode>0.00%</c:formatCode>
                <c:ptCount val="1"/>
              </c:numCache>
            </c:numRef>
          </c:yVal>
          <c:smooth val="0"/>
          <c:extLst>
            <c:ext xmlns:c16="http://schemas.microsoft.com/office/drawing/2014/chart" uri="{C3380CC4-5D6E-409C-BE32-E72D297353CC}">
              <c16:uniqueId val="{00000005-3CB2-4131-B86D-AAA66C4DFC09}"/>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66338608609289218"/>
          <c:y val="0.17241199883672528"/>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chart" Target="../charts/chart2.xml"/><Relationship Id="rId16" Type="http://schemas.openxmlformats.org/officeDocument/2006/relationships/image" Target="../media/image21.png"/><Relationship Id="rId20" Type="http://schemas.openxmlformats.org/officeDocument/2006/relationships/image" Target="../media/image23.png"/><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chart" Target="../charts/chart4.xml"/><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chart" Target="../charts/chart7.xml"/><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16</xdr:row>
      <xdr:rowOff>131313</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16</xdr:row>
      <xdr:rowOff>131313</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16</xdr:row>
      <xdr:rowOff>131313</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xdr:row>
      <xdr:rowOff>162128</xdr:rowOff>
    </xdr:from>
    <xdr:to>
      <xdr:col>3</xdr:col>
      <xdr:colOff>2780</xdr:colOff>
      <xdr:row>11</xdr:row>
      <xdr:rowOff>175018</xdr:rowOff>
    </xdr:to>
    <xdr:pic>
      <xdr:nvPicPr>
        <xdr:cNvPr id="3" name="Picture 2" descr="Diageo Logo, symbol, meaning, history, PNG, brand">
          <a:extLst>
            <a:ext uri="{FF2B5EF4-FFF2-40B4-BE49-F238E27FC236}">
              <a16:creationId xmlns:a16="http://schemas.microsoft.com/office/drawing/2014/main" id="{6BA71AB1-EB48-656B-E5F8-87F65F87C92F}"/>
            </a:ext>
          </a:extLst>
        </xdr:cNvPr>
        <xdr:cNvPicPr>
          <a:picLocks noChangeAspect="1"/>
        </xdr:cNvPicPr>
      </xdr:nvPicPr>
      <xdr:blipFill>
        <a:blip xmlns:r="http://schemas.openxmlformats.org/officeDocument/2006/relationships" r:embed="rId1"/>
        <a:stretch>
          <a:fillRect/>
        </a:stretch>
      </xdr:blipFill>
      <xdr:spPr>
        <a:xfrm>
          <a:off x="0" y="818745"/>
          <a:ext cx="3063934" cy="1742873"/>
        </a:xfrm>
        <a:prstGeom prst="rect">
          <a:avLst/>
        </a:prstGeom>
      </xdr:spPr>
    </xdr:pic>
    <xdr:clientData/>
  </xdr:twoCellAnchor>
  <xdr:twoCellAnchor editAs="oneCell">
    <xdr:from>
      <xdr:col>6</xdr:col>
      <xdr:colOff>0</xdr:colOff>
      <xdr:row>78</xdr:row>
      <xdr:rowOff>7785</xdr:rowOff>
    </xdr:from>
    <xdr:to>
      <xdr:col>12</xdr:col>
      <xdr:colOff>1831505</xdr:colOff>
      <xdr:row>101</xdr:row>
      <xdr:rowOff>15262</xdr:rowOff>
    </xdr:to>
    <xdr:pic>
      <xdr:nvPicPr>
        <xdr:cNvPr id="5" name="Picture 3">
          <a:extLst>
            <a:ext uri="{FF2B5EF4-FFF2-40B4-BE49-F238E27FC236}">
              <a16:creationId xmlns:a16="http://schemas.microsoft.com/office/drawing/2014/main" id="{418ED820-8144-F2CB-0352-7F9B3C8B7ED5}"/>
            </a:ext>
            <a:ext uri="{147F2762-F138-4A5C-976F-8EAC2B608ADB}">
              <a16:predDERef xmlns:a16="http://schemas.microsoft.com/office/drawing/2014/main" pred="{6BA71AB1-EB48-656B-E5F8-87F65F87C92F}"/>
            </a:ext>
          </a:extLst>
        </xdr:cNvPr>
        <xdr:cNvPicPr>
          <a:picLocks noChangeAspect="1"/>
        </xdr:cNvPicPr>
      </xdr:nvPicPr>
      <xdr:blipFill>
        <a:blip xmlns:r="http://schemas.openxmlformats.org/officeDocument/2006/relationships" r:embed="rId2"/>
        <a:stretch>
          <a:fillRect/>
        </a:stretch>
      </xdr:blipFill>
      <xdr:spPr>
        <a:xfrm>
          <a:off x="7845778" y="15341859"/>
          <a:ext cx="10536296" cy="40373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38100</xdr:colOff>
      <xdr:row>20</xdr:row>
      <xdr:rowOff>28575</xdr:rowOff>
    </xdr:from>
    <xdr:to>
      <xdr:col>11</xdr:col>
      <xdr:colOff>276225</xdr:colOff>
      <xdr:row>24</xdr:row>
      <xdr:rowOff>123825</xdr:rowOff>
    </xdr:to>
    <xdr:graphicFrame macro="">
      <xdr:nvGraphicFramePr>
        <xdr:cNvPr id="7"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190500</xdr:colOff>
      <xdr:row>20</xdr:row>
      <xdr:rowOff>38100</xdr:rowOff>
    </xdr:from>
    <xdr:to>
      <xdr:col>15</xdr:col>
      <xdr:colOff>723900</xdr:colOff>
      <xdr:row>24</xdr:row>
      <xdr:rowOff>104775</xdr:rowOff>
    </xdr:to>
    <xdr:graphicFrame macro="">
      <xdr:nvGraphicFramePr>
        <xdr:cNvPr id="45"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219075</xdr:colOff>
      <xdr:row>34</xdr:row>
      <xdr:rowOff>28575</xdr:rowOff>
    </xdr:from>
    <xdr:to>
      <xdr:col>15</xdr:col>
      <xdr:colOff>742950</xdr:colOff>
      <xdr:row>37</xdr:row>
      <xdr:rowOff>114300</xdr:rowOff>
    </xdr:to>
    <xdr:sp macro="" textlink="">
      <xdr:nvSpPr>
        <xdr:cNvPr id="8" name="Rectangle 9">
          <a:extLst>
            <a:ext uri="{FF2B5EF4-FFF2-40B4-BE49-F238E27FC236}">
              <a16:creationId xmlns:a16="http://schemas.microsoft.com/office/drawing/2014/main" id="{9EA941B6-F7AA-AE8B-792C-EC306EB6FD73}"/>
            </a:ext>
            <a:ext uri="{147F2762-F138-4A5C-976F-8EAC2B608ADB}">
              <a16:predDERef xmlns:a16="http://schemas.microsoft.com/office/drawing/2014/main" pred="{2D9F9EFF-8C8B-4839-A102-86B66E9BDF73}"/>
            </a:ext>
          </a:extLst>
        </xdr:cNvPr>
        <xdr:cNvSpPr/>
      </xdr:nvSpPr>
      <xdr:spPr bwMode="auto">
        <a:xfrm>
          <a:off x="13944600" y="924877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35</xdr:col>
      <xdr:colOff>590550</xdr:colOff>
      <xdr:row>136</xdr:row>
      <xdr:rowOff>66675</xdr:rowOff>
    </xdr:from>
    <xdr:to>
      <xdr:col>37</xdr:col>
      <xdr:colOff>19050</xdr:colOff>
      <xdr:row>142</xdr:row>
      <xdr:rowOff>66675</xdr:rowOff>
    </xdr:to>
    <xdr:sp macro="" textlink="">
      <xdr:nvSpPr>
        <xdr:cNvPr id="21"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9EA941B6-F7AA-AE8B-792C-EC306EB6FD73}"/>
            </a:ext>
          </a:extLst>
        </xdr:cNvPr>
        <xdr:cNvSpPr/>
      </xdr:nvSpPr>
      <xdr:spPr bwMode="auto">
        <a:xfrm>
          <a:off x="31137225" y="25412700"/>
          <a:ext cx="952500" cy="97155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18</xdr:col>
      <xdr:colOff>209550</xdr:colOff>
      <xdr:row>2</xdr:row>
      <xdr:rowOff>104775</xdr:rowOff>
    </xdr:from>
    <xdr:to>
      <xdr:col>24</xdr:col>
      <xdr:colOff>205740</xdr:colOff>
      <xdr:row>9</xdr:row>
      <xdr:rowOff>90986</xdr:rowOff>
    </xdr:to>
    <xdr:pic>
      <xdr:nvPicPr>
        <xdr:cNvPr id="2" name="Picture 1">
          <a:extLst>
            <a:ext uri="{FF2B5EF4-FFF2-40B4-BE49-F238E27FC236}">
              <a16:creationId xmlns:a16="http://schemas.microsoft.com/office/drawing/2014/main" id="{E3C24A0D-C0DB-0C51-A64E-BC9BC398EC15}"/>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3"/>
        <a:stretch>
          <a:fillRect/>
        </a:stretch>
      </xdr:blipFill>
      <xdr:spPr>
        <a:xfrm>
          <a:off x="17783175" y="466725"/>
          <a:ext cx="4572000" cy="1276350"/>
        </a:xfrm>
        <a:prstGeom prst="rect">
          <a:avLst/>
        </a:prstGeom>
      </xdr:spPr>
    </xdr:pic>
    <xdr:clientData/>
  </xdr:twoCellAnchor>
  <xdr:twoCellAnchor editAs="oneCell">
    <xdr:from>
      <xdr:col>16</xdr:col>
      <xdr:colOff>219075</xdr:colOff>
      <xdr:row>7</xdr:row>
      <xdr:rowOff>0</xdr:rowOff>
    </xdr:from>
    <xdr:to>
      <xdr:col>17</xdr:col>
      <xdr:colOff>628650</xdr:colOff>
      <xdr:row>12</xdr:row>
      <xdr:rowOff>8618</xdr:rowOff>
    </xdr:to>
    <xdr:pic>
      <xdr:nvPicPr>
        <xdr:cNvPr id="4" name="Picture 3">
          <a:extLst>
            <a:ext uri="{FF2B5EF4-FFF2-40B4-BE49-F238E27FC236}">
              <a16:creationId xmlns:a16="http://schemas.microsoft.com/office/drawing/2014/main" id="{B6F9F730-1355-8AFD-176C-0034B1FA26D8}"/>
            </a:ext>
            <a:ext uri="{147F2762-F138-4A5C-976F-8EAC2B608ADB}">
              <a16:predDERef xmlns:a16="http://schemas.microsoft.com/office/drawing/2014/main" pred="{E3C24A0D-C0DB-0C51-A64E-BC9BC398EC15}"/>
            </a:ext>
          </a:extLst>
        </xdr:cNvPr>
        <xdr:cNvPicPr>
          <a:picLocks noChangeAspect="1"/>
        </xdr:cNvPicPr>
      </xdr:nvPicPr>
      <xdr:blipFill>
        <a:blip xmlns:r="http://schemas.openxmlformats.org/officeDocument/2006/relationships" r:embed="rId4"/>
        <a:stretch>
          <a:fillRect/>
        </a:stretch>
      </xdr:blipFill>
      <xdr:spPr>
        <a:xfrm>
          <a:off x="15468600" y="1533525"/>
          <a:ext cx="1962150" cy="1114425"/>
        </a:xfrm>
        <a:prstGeom prst="rect">
          <a:avLst/>
        </a:prstGeom>
      </xdr:spPr>
    </xdr:pic>
    <xdr:clientData/>
  </xdr:twoCellAnchor>
  <xdr:twoCellAnchor editAs="oneCell">
    <xdr:from>
      <xdr:col>17</xdr:col>
      <xdr:colOff>209550</xdr:colOff>
      <xdr:row>7</xdr:row>
      <xdr:rowOff>114300</xdr:rowOff>
    </xdr:from>
    <xdr:to>
      <xdr:col>19</xdr:col>
      <xdr:colOff>457200</xdr:colOff>
      <xdr:row>11</xdr:row>
      <xdr:rowOff>260441</xdr:rowOff>
    </xdr:to>
    <xdr:pic>
      <xdr:nvPicPr>
        <xdr:cNvPr id="5" name="Picture 4">
          <a:extLst>
            <a:ext uri="{FF2B5EF4-FFF2-40B4-BE49-F238E27FC236}">
              <a16:creationId xmlns:a16="http://schemas.microsoft.com/office/drawing/2014/main" id="{CE9B0A85-EFD6-9032-991E-EC7BD959C581}"/>
            </a:ext>
            <a:ext uri="{147F2762-F138-4A5C-976F-8EAC2B608ADB}">
              <a16:predDERef xmlns:a16="http://schemas.microsoft.com/office/drawing/2014/main" pred="{B6F9F730-1355-8AFD-176C-0034B1FA26D8}"/>
            </a:ext>
          </a:extLst>
        </xdr:cNvPr>
        <xdr:cNvPicPr>
          <a:picLocks noChangeAspect="1"/>
        </xdr:cNvPicPr>
      </xdr:nvPicPr>
      <xdr:blipFill>
        <a:blip xmlns:r="http://schemas.openxmlformats.org/officeDocument/2006/relationships" r:embed="rId5"/>
        <a:stretch>
          <a:fillRect/>
        </a:stretch>
      </xdr:blipFill>
      <xdr:spPr>
        <a:xfrm>
          <a:off x="17021175" y="2028825"/>
          <a:ext cx="1771650" cy="1009650"/>
        </a:xfrm>
        <a:prstGeom prst="rect">
          <a:avLst/>
        </a:prstGeom>
      </xdr:spPr>
    </xdr:pic>
    <xdr:clientData/>
  </xdr:twoCellAnchor>
  <xdr:twoCellAnchor editAs="oneCell">
    <xdr:from>
      <xdr:col>19</xdr:col>
      <xdr:colOff>647700</xdr:colOff>
      <xdr:row>7</xdr:row>
      <xdr:rowOff>28575</xdr:rowOff>
    </xdr:from>
    <xdr:to>
      <xdr:col>22</xdr:col>
      <xdr:colOff>167640</xdr:colOff>
      <xdr:row>11</xdr:row>
      <xdr:rowOff>178526</xdr:rowOff>
    </xdr:to>
    <xdr:pic>
      <xdr:nvPicPr>
        <xdr:cNvPr id="6" name="Picture 5">
          <a:extLst>
            <a:ext uri="{FF2B5EF4-FFF2-40B4-BE49-F238E27FC236}">
              <a16:creationId xmlns:a16="http://schemas.microsoft.com/office/drawing/2014/main" id="{7A7915E2-2737-6077-B7C8-4C997BD91D4B}"/>
            </a:ext>
            <a:ext uri="{147F2762-F138-4A5C-976F-8EAC2B608ADB}">
              <a16:predDERef xmlns:a16="http://schemas.microsoft.com/office/drawing/2014/main" pred="{CE9B0A85-EFD6-9032-991E-EC7BD959C581}"/>
            </a:ext>
          </a:extLst>
        </xdr:cNvPr>
        <xdr:cNvPicPr>
          <a:picLocks noChangeAspect="1"/>
        </xdr:cNvPicPr>
      </xdr:nvPicPr>
      <xdr:blipFill>
        <a:blip xmlns:r="http://schemas.openxmlformats.org/officeDocument/2006/relationships" r:embed="rId6"/>
        <a:stretch>
          <a:fillRect/>
        </a:stretch>
      </xdr:blipFill>
      <xdr:spPr>
        <a:xfrm>
          <a:off x="18983325" y="1943100"/>
          <a:ext cx="1809750" cy="1009650"/>
        </a:xfrm>
        <a:prstGeom prst="rect">
          <a:avLst/>
        </a:prstGeom>
      </xdr:spPr>
    </xdr:pic>
    <xdr:clientData/>
  </xdr:twoCellAnchor>
  <xdr:twoCellAnchor editAs="oneCell">
    <xdr:from>
      <xdr:col>22</xdr:col>
      <xdr:colOff>381000</xdr:colOff>
      <xdr:row>7</xdr:row>
      <xdr:rowOff>57150</xdr:rowOff>
    </xdr:from>
    <xdr:to>
      <xdr:col>24</xdr:col>
      <xdr:colOff>472440</xdr:colOff>
      <xdr:row>11</xdr:row>
      <xdr:rowOff>91440</xdr:rowOff>
    </xdr:to>
    <xdr:pic>
      <xdr:nvPicPr>
        <xdr:cNvPr id="10" name="Picture 9">
          <a:extLst>
            <a:ext uri="{FF2B5EF4-FFF2-40B4-BE49-F238E27FC236}">
              <a16:creationId xmlns:a16="http://schemas.microsoft.com/office/drawing/2014/main" id="{F80CB207-C7A9-AD83-618E-B244207C5FCB}"/>
            </a:ext>
            <a:ext uri="{147F2762-F138-4A5C-976F-8EAC2B608ADB}">
              <a16:predDERef xmlns:a16="http://schemas.microsoft.com/office/drawing/2014/main" pred="{7A7915E2-2737-6077-B7C8-4C997BD91D4B}"/>
            </a:ext>
          </a:extLst>
        </xdr:cNvPr>
        <xdr:cNvPicPr>
          <a:picLocks noChangeAspect="1"/>
        </xdr:cNvPicPr>
      </xdr:nvPicPr>
      <xdr:blipFill>
        <a:blip xmlns:r="http://schemas.openxmlformats.org/officeDocument/2006/relationships" r:embed="rId7"/>
        <a:stretch>
          <a:fillRect/>
        </a:stretch>
      </xdr:blipFill>
      <xdr:spPr>
        <a:xfrm>
          <a:off x="21002625" y="1971675"/>
          <a:ext cx="1619250" cy="895350"/>
        </a:xfrm>
        <a:prstGeom prst="rect">
          <a:avLst/>
        </a:prstGeom>
      </xdr:spPr>
    </xdr:pic>
    <xdr:clientData/>
  </xdr:twoCellAnchor>
  <xdr:twoCellAnchor editAs="oneCell">
    <xdr:from>
      <xdr:col>22</xdr:col>
      <xdr:colOff>257175</xdr:colOff>
      <xdr:row>13</xdr:row>
      <xdr:rowOff>142875</xdr:rowOff>
    </xdr:from>
    <xdr:to>
      <xdr:col>24</xdr:col>
      <xdr:colOff>400050</xdr:colOff>
      <xdr:row>19</xdr:row>
      <xdr:rowOff>38100</xdr:rowOff>
    </xdr:to>
    <xdr:pic>
      <xdr:nvPicPr>
        <xdr:cNvPr id="11" name="Picture 10">
          <a:extLst>
            <a:ext uri="{FF2B5EF4-FFF2-40B4-BE49-F238E27FC236}">
              <a16:creationId xmlns:a16="http://schemas.microsoft.com/office/drawing/2014/main" id="{A6DADDCC-2E8B-9A9A-4E77-E954E9FFD9E2}"/>
            </a:ext>
            <a:ext uri="{147F2762-F138-4A5C-976F-8EAC2B608ADB}">
              <a16:predDERef xmlns:a16="http://schemas.microsoft.com/office/drawing/2014/main" pred="{F80CB207-C7A9-AD83-618E-B244207C5FCB}"/>
            </a:ext>
          </a:extLst>
        </xdr:cNvPr>
        <xdr:cNvPicPr>
          <a:picLocks noChangeAspect="1"/>
        </xdr:cNvPicPr>
      </xdr:nvPicPr>
      <xdr:blipFill>
        <a:blip xmlns:r="http://schemas.openxmlformats.org/officeDocument/2006/relationships" r:embed="rId8"/>
        <a:stretch>
          <a:fillRect/>
        </a:stretch>
      </xdr:blipFill>
      <xdr:spPr>
        <a:xfrm>
          <a:off x="20878800" y="3238500"/>
          <a:ext cx="1657350" cy="923925"/>
        </a:xfrm>
        <a:prstGeom prst="rect">
          <a:avLst/>
        </a:prstGeom>
      </xdr:spPr>
    </xdr:pic>
    <xdr:clientData/>
  </xdr:twoCellAnchor>
  <xdr:twoCellAnchor editAs="oneCell">
    <xdr:from>
      <xdr:col>16</xdr:col>
      <xdr:colOff>523875</xdr:colOff>
      <xdr:row>12</xdr:row>
      <xdr:rowOff>28575</xdr:rowOff>
    </xdr:from>
    <xdr:to>
      <xdr:col>18</xdr:col>
      <xdr:colOff>325755</xdr:colOff>
      <xdr:row>19</xdr:row>
      <xdr:rowOff>38100</xdr:rowOff>
    </xdr:to>
    <xdr:pic>
      <xdr:nvPicPr>
        <xdr:cNvPr id="12" name="Picture 11">
          <a:extLst>
            <a:ext uri="{FF2B5EF4-FFF2-40B4-BE49-F238E27FC236}">
              <a16:creationId xmlns:a16="http://schemas.microsoft.com/office/drawing/2014/main" id="{656AFFFB-765A-C7A7-4E39-CEAC330DF3F5}"/>
            </a:ext>
            <a:ext uri="{147F2762-F138-4A5C-976F-8EAC2B608ADB}">
              <a16:predDERef xmlns:a16="http://schemas.microsoft.com/office/drawing/2014/main" pred="{A6DADDCC-2E8B-9A9A-4E77-E954E9FFD9E2}"/>
            </a:ext>
          </a:extLst>
        </xdr:cNvPr>
        <xdr:cNvPicPr>
          <a:picLocks noChangeAspect="1"/>
        </xdr:cNvPicPr>
      </xdr:nvPicPr>
      <xdr:blipFill>
        <a:blip xmlns:r="http://schemas.openxmlformats.org/officeDocument/2006/relationships" r:embed="rId9"/>
        <a:stretch>
          <a:fillRect/>
        </a:stretch>
      </xdr:blipFill>
      <xdr:spPr>
        <a:xfrm>
          <a:off x="15773400" y="2962275"/>
          <a:ext cx="2133600" cy="1200150"/>
        </a:xfrm>
        <a:prstGeom prst="rect">
          <a:avLst/>
        </a:prstGeom>
      </xdr:spPr>
    </xdr:pic>
    <xdr:clientData/>
  </xdr:twoCellAnchor>
  <xdr:twoCellAnchor editAs="oneCell">
    <xdr:from>
      <xdr:col>18</xdr:col>
      <xdr:colOff>657225</xdr:colOff>
      <xdr:row>11</xdr:row>
      <xdr:rowOff>152400</xdr:rowOff>
    </xdr:from>
    <xdr:to>
      <xdr:col>21</xdr:col>
      <xdr:colOff>723900</xdr:colOff>
      <xdr:row>18</xdr:row>
      <xdr:rowOff>105229</xdr:rowOff>
    </xdr:to>
    <xdr:pic>
      <xdr:nvPicPr>
        <xdr:cNvPr id="13" name="Picture 12">
          <a:extLst>
            <a:ext uri="{FF2B5EF4-FFF2-40B4-BE49-F238E27FC236}">
              <a16:creationId xmlns:a16="http://schemas.microsoft.com/office/drawing/2014/main" id="{155DBABE-EA7E-C31F-A646-48B70A4CB6AB}"/>
            </a:ext>
            <a:ext uri="{147F2762-F138-4A5C-976F-8EAC2B608ADB}">
              <a16:predDERef xmlns:a16="http://schemas.microsoft.com/office/drawing/2014/main" pred="{656AFFFB-765A-C7A7-4E39-CEAC330DF3F5}"/>
            </a:ext>
          </a:extLst>
        </xdr:cNvPr>
        <xdr:cNvPicPr>
          <a:picLocks noChangeAspect="1"/>
        </xdr:cNvPicPr>
      </xdr:nvPicPr>
      <xdr:blipFill>
        <a:blip xmlns:r="http://schemas.openxmlformats.org/officeDocument/2006/relationships" r:embed="rId10"/>
        <a:stretch>
          <a:fillRect/>
        </a:stretch>
      </xdr:blipFill>
      <xdr:spPr>
        <a:xfrm>
          <a:off x="18230850" y="2924175"/>
          <a:ext cx="2352675" cy="1314450"/>
        </a:xfrm>
        <a:prstGeom prst="rect">
          <a:avLst/>
        </a:prstGeom>
      </xdr:spPr>
    </xdr:pic>
    <xdr:clientData/>
  </xdr:twoCellAnchor>
  <xdr:twoCellAnchor editAs="oneCell">
    <xdr:from>
      <xdr:col>16</xdr:col>
      <xdr:colOff>161925</xdr:colOff>
      <xdr:row>18</xdr:row>
      <xdr:rowOff>104775</xdr:rowOff>
    </xdr:from>
    <xdr:to>
      <xdr:col>18</xdr:col>
      <xdr:colOff>361950</xdr:colOff>
      <xdr:row>21</xdr:row>
      <xdr:rowOff>428625</xdr:rowOff>
    </xdr:to>
    <xdr:pic>
      <xdr:nvPicPr>
        <xdr:cNvPr id="14" name="Picture 13">
          <a:extLst>
            <a:ext uri="{FF2B5EF4-FFF2-40B4-BE49-F238E27FC236}">
              <a16:creationId xmlns:a16="http://schemas.microsoft.com/office/drawing/2014/main" id="{F6B82961-2A45-7A0D-28F8-B133AFB9E707}"/>
            </a:ext>
            <a:ext uri="{147F2762-F138-4A5C-976F-8EAC2B608ADB}">
              <a16:predDERef xmlns:a16="http://schemas.microsoft.com/office/drawing/2014/main" pred="{155DBABE-EA7E-C31F-A646-48B70A4CB6AB}"/>
            </a:ext>
          </a:extLst>
        </xdr:cNvPr>
        <xdr:cNvPicPr>
          <a:picLocks noChangeAspect="1"/>
        </xdr:cNvPicPr>
      </xdr:nvPicPr>
      <xdr:blipFill>
        <a:blip xmlns:r="http://schemas.openxmlformats.org/officeDocument/2006/relationships" r:embed="rId11"/>
        <a:stretch>
          <a:fillRect/>
        </a:stretch>
      </xdr:blipFill>
      <xdr:spPr>
        <a:xfrm>
          <a:off x="15411450" y="4448175"/>
          <a:ext cx="2514600" cy="1390650"/>
        </a:xfrm>
        <a:prstGeom prst="rect">
          <a:avLst/>
        </a:prstGeom>
      </xdr:spPr>
    </xdr:pic>
    <xdr:clientData/>
  </xdr:twoCellAnchor>
  <xdr:twoCellAnchor editAs="oneCell">
    <xdr:from>
      <xdr:col>19</xdr:col>
      <xdr:colOff>323850</xdr:colOff>
      <xdr:row>18</xdr:row>
      <xdr:rowOff>361950</xdr:rowOff>
    </xdr:from>
    <xdr:to>
      <xdr:col>21</xdr:col>
      <xdr:colOff>434340</xdr:colOff>
      <xdr:row>20</xdr:row>
      <xdr:rowOff>691516</xdr:rowOff>
    </xdr:to>
    <xdr:pic>
      <xdr:nvPicPr>
        <xdr:cNvPr id="15" name="Picture 14">
          <a:extLst>
            <a:ext uri="{FF2B5EF4-FFF2-40B4-BE49-F238E27FC236}">
              <a16:creationId xmlns:a16="http://schemas.microsoft.com/office/drawing/2014/main" id="{20C17DA7-9EB3-70B1-7EA2-767C62DE601C}"/>
            </a:ext>
            <a:ext uri="{147F2762-F138-4A5C-976F-8EAC2B608ADB}">
              <a16:predDERef xmlns:a16="http://schemas.microsoft.com/office/drawing/2014/main" pred="{F6B82961-2A45-7A0D-28F8-B133AFB9E707}"/>
            </a:ext>
          </a:extLst>
        </xdr:cNvPr>
        <xdr:cNvPicPr>
          <a:picLocks noChangeAspect="1"/>
        </xdr:cNvPicPr>
      </xdr:nvPicPr>
      <xdr:blipFill>
        <a:blip xmlns:r="http://schemas.openxmlformats.org/officeDocument/2006/relationships" r:embed="rId12"/>
        <a:stretch>
          <a:fillRect/>
        </a:stretch>
      </xdr:blipFill>
      <xdr:spPr>
        <a:xfrm>
          <a:off x="18659475" y="4705350"/>
          <a:ext cx="1638300" cy="914400"/>
        </a:xfrm>
        <a:prstGeom prst="rect">
          <a:avLst/>
        </a:prstGeom>
      </xdr:spPr>
    </xdr:pic>
    <xdr:clientData/>
  </xdr:twoCellAnchor>
  <xdr:twoCellAnchor editAs="oneCell">
    <xdr:from>
      <xdr:col>21</xdr:col>
      <xdr:colOff>723900</xdr:colOff>
      <xdr:row>17</xdr:row>
      <xdr:rowOff>85725</xdr:rowOff>
    </xdr:from>
    <xdr:to>
      <xdr:col>24</xdr:col>
      <xdr:colOff>590550</xdr:colOff>
      <xdr:row>20</xdr:row>
      <xdr:rowOff>676276</xdr:rowOff>
    </xdr:to>
    <xdr:pic>
      <xdr:nvPicPr>
        <xdr:cNvPr id="16" name="Picture 15">
          <a:extLst>
            <a:ext uri="{FF2B5EF4-FFF2-40B4-BE49-F238E27FC236}">
              <a16:creationId xmlns:a16="http://schemas.microsoft.com/office/drawing/2014/main" id="{C3E30ED1-7954-1F07-1C7D-C981EC40C18A}"/>
            </a:ext>
            <a:ext uri="{147F2762-F138-4A5C-976F-8EAC2B608ADB}">
              <a16:predDERef xmlns:a16="http://schemas.microsoft.com/office/drawing/2014/main" pred="{20C17DA7-9EB3-70B1-7EA2-767C62DE601C}"/>
            </a:ext>
          </a:extLst>
        </xdr:cNvPr>
        <xdr:cNvPicPr>
          <a:picLocks noChangeAspect="1"/>
        </xdr:cNvPicPr>
      </xdr:nvPicPr>
      <xdr:blipFill>
        <a:blip xmlns:r="http://schemas.openxmlformats.org/officeDocument/2006/relationships" r:embed="rId13"/>
        <a:stretch>
          <a:fillRect/>
        </a:stretch>
      </xdr:blipFill>
      <xdr:spPr>
        <a:xfrm>
          <a:off x="20583525" y="4162425"/>
          <a:ext cx="2143125" cy="1200150"/>
        </a:xfrm>
        <a:prstGeom prst="rect">
          <a:avLst/>
        </a:prstGeom>
      </xdr:spPr>
    </xdr:pic>
    <xdr:clientData/>
  </xdr:twoCellAnchor>
  <xdr:twoCellAnchor editAs="oneCell">
    <xdr:from>
      <xdr:col>16</xdr:col>
      <xdr:colOff>1257300</xdr:colOff>
      <xdr:row>21</xdr:row>
      <xdr:rowOff>276225</xdr:rowOff>
    </xdr:from>
    <xdr:to>
      <xdr:col>18</xdr:col>
      <xdr:colOff>377190</xdr:colOff>
      <xdr:row>22</xdr:row>
      <xdr:rowOff>310515</xdr:rowOff>
    </xdr:to>
    <xdr:pic>
      <xdr:nvPicPr>
        <xdr:cNvPr id="60" name="Picture 16">
          <a:extLst>
            <a:ext uri="{FF2B5EF4-FFF2-40B4-BE49-F238E27FC236}">
              <a16:creationId xmlns:a16="http://schemas.microsoft.com/office/drawing/2014/main" id="{2EC08583-C8F8-B2FB-BD50-CD283A81E5F5}"/>
            </a:ext>
            <a:ext uri="{147F2762-F138-4A5C-976F-8EAC2B608ADB}">
              <a16:predDERef xmlns:a16="http://schemas.microsoft.com/office/drawing/2014/main" pred="{C3E30ED1-7954-1F07-1C7D-C981EC40C18A}"/>
            </a:ext>
          </a:extLst>
        </xdr:cNvPr>
        <xdr:cNvPicPr>
          <a:picLocks noChangeAspect="1"/>
        </xdr:cNvPicPr>
      </xdr:nvPicPr>
      <xdr:blipFill>
        <a:blip xmlns:r="http://schemas.openxmlformats.org/officeDocument/2006/relationships" r:embed="rId14"/>
        <a:stretch>
          <a:fillRect/>
        </a:stretch>
      </xdr:blipFill>
      <xdr:spPr>
        <a:xfrm>
          <a:off x="16525875" y="5524500"/>
          <a:ext cx="1510665" cy="1017270"/>
        </a:xfrm>
        <a:prstGeom prst="rect">
          <a:avLst/>
        </a:prstGeom>
      </xdr:spPr>
    </xdr:pic>
    <xdr:clientData/>
  </xdr:twoCellAnchor>
  <xdr:twoCellAnchor editAs="oneCell">
    <xdr:from>
      <xdr:col>19</xdr:col>
      <xdr:colOff>333375</xdr:colOff>
      <xdr:row>21</xdr:row>
      <xdr:rowOff>9525</xdr:rowOff>
    </xdr:from>
    <xdr:to>
      <xdr:col>20</xdr:col>
      <xdr:colOff>744854</xdr:colOff>
      <xdr:row>22</xdr:row>
      <xdr:rowOff>196215</xdr:rowOff>
    </xdr:to>
    <xdr:pic>
      <xdr:nvPicPr>
        <xdr:cNvPr id="18" name="Picture 17">
          <a:extLst>
            <a:ext uri="{FF2B5EF4-FFF2-40B4-BE49-F238E27FC236}">
              <a16:creationId xmlns:a16="http://schemas.microsoft.com/office/drawing/2014/main" id="{85DA4E9C-7509-A17D-5DFE-9CA6A18ADBAB}"/>
            </a:ext>
            <a:ext uri="{147F2762-F138-4A5C-976F-8EAC2B608ADB}">
              <a16:predDERef xmlns:a16="http://schemas.microsoft.com/office/drawing/2014/main" pred="{2EC08583-C8F8-B2FB-BD50-CD283A81E5F5}"/>
            </a:ext>
          </a:extLst>
        </xdr:cNvPr>
        <xdr:cNvPicPr>
          <a:picLocks noChangeAspect="1"/>
        </xdr:cNvPicPr>
      </xdr:nvPicPr>
      <xdr:blipFill>
        <a:blip xmlns:r="http://schemas.openxmlformats.org/officeDocument/2006/relationships" r:embed="rId15"/>
        <a:stretch>
          <a:fillRect/>
        </a:stretch>
      </xdr:blipFill>
      <xdr:spPr>
        <a:xfrm>
          <a:off x="18669000" y="5610225"/>
          <a:ext cx="1181100" cy="1181100"/>
        </a:xfrm>
        <a:prstGeom prst="rect">
          <a:avLst/>
        </a:prstGeom>
      </xdr:spPr>
    </xdr:pic>
    <xdr:clientData/>
  </xdr:twoCellAnchor>
  <xdr:twoCellAnchor editAs="oneCell">
    <xdr:from>
      <xdr:col>21</xdr:col>
      <xdr:colOff>714375</xdr:colOff>
      <xdr:row>19</xdr:row>
      <xdr:rowOff>352425</xdr:rowOff>
    </xdr:from>
    <xdr:to>
      <xdr:col>24</xdr:col>
      <xdr:colOff>440055</xdr:colOff>
      <xdr:row>22</xdr:row>
      <xdr:rowOff>291465</xdr:rowOff>
    </xdr:to>
    <xdr:pic>
      <xdr:nvPicPr>
        <xdr:cNvPr id="19" name="Picture 18">
          <a:extLst>
            <a:ext uri="{FF2B5EF4-FFF2-40B4-BE49-F238E27FC236}">
              <a16:creationId xmlns:a16="http://schemas.microsoft.com/office/drawing/2014/main" id="{72450B7B-297E-97FC-5181-F664FBD528A3}"/>
            </a:ext>
            <a:ext uri="{147F2762-F138-4A5C-976F-8EAC2B608ADB}">
              <a16:predDERef xmlns:a16="http://schemas.microsoft.com/office/drawing/2014/main" pred="{85DA4E9C-7509-A17D-5DFE-9CA6A18ADBAB}"/>
            </a:ext>
          </a:extLst>
        </xdr:cNvPr>
        <xdr:cNvPicPr>
          <a:picLocks noChangeAspect="1"/>
        </xdr:cNvPicPr>
      </xdr:nvPicPr>
      <xdr:blipFill>
        <a:blip xmlns:r="http://schemas.openxmlformats.org/officeDocument/2006/relationships" r:embed="rId16"/>
        <a:stretch>
          <a:fillRect/>
        </a:stretch>
      </xdr:blipFill>
      <xdr:spPr>
        <a:xfrm>
          <a:off x="20574000" y="5076825"/>
          <a:ext cx="2019300" cy="2019300"/>
        </a:xfrm>
        <a:prstGeom prst="rect">
          <a:avLst/>
        </a:prstGeom>
      </xdr:spPr>
    </xdr:pic>
    <xdr:clientData/>
  </xdr:twoCellAnchor>
  <xdr:twoCellAnchor editAs="oneCell">
    <xdr:from>
      <xdr:col>9</xdr:col>
      <xdr:colOff>281939</xdr:colOff>
      <xdr:row>26</xdr:row>
      <xdr:rowOff>85725</xdr:rowOff>
    </xdr:from>
    <xdr:to>
      <xdr:col>16</xdr:col>
      <xdr:colOff>1354094</xdr:colOff>
      <xdr:row>43</xdr:row>
      <xdr:rowOff>135528</xdr:rowOff>
    </xdr:to>
    <xdr:pic>
      <xdr:nvPicPr>
        <xdr:cNvPr id="57" name="Picture 19">
          <a:extLst>
            <a:ext uri="{FF2B5EF4-FFF2-40B4-BE49-F238E27FC236}">
              <a16:creationId xmlns:a16="http://schemas.microsoft.com/office/drawing/2014/main" id="{1417B369-975D-A98B-1E98-8B872151AACC}"/>
            </a:ext>
            <a:ext uri="{147F2762-F138-4A5C-976F-8EAC2B608ADB}">
              <a16:predDERef xmlns:a16="http://schemas.microsoft.com/office/drawing/2014/main" pred="{72450B7B-297E-97FC-5181-F664FBD528A3}"/>
            </a:ext>
          </a:extLst>
        </xdr:cNvPr>
        <xdr:cNvPicPr>
          <a:picLocks noChangeAspect="1"/>
        </xdr:cNvPicPr>
      </xdr:nvPicPr>
      <xdr:blipFill>
        <a:blip xmlns:r="http://schemas.openxmlformats.org/officeDocument/2006/relationships" r:embed="rId17"/>
        <a:stretch>
          <a:fillRect/>
        </a:stretch>
      </xdr:blipFill>
      <xdr:spPr>
        <a:xfrm>
          <a:off x="10197464" y="7543800"/>
          <a:ext cx="6543316" cy="4023179"/>
        </a:xfrm>
        <a:prstGeom prst="rect">
          <a:avLst/>
        </a:prstGeom>
      </xdr:spPr>
    </xdr:pic>
    <xdr:clientData/>
  </xdr:twoCellAnchor>
  <xdr:twoCellAnchor>
    <xdr:from>
      <xdr:col>14</xdr:col>
      <xdr:colOff>219075</xdr:colOff>
      <xdr:row>84</xdr:row>
      <xdr:rowOff>28575</xdr:rowOff>
    </xdr:from>
    <xdr:to>
      <xdr:col>15</xdr:col>
      <xdr:colOff>742950</xdr:colOff>
      <xdr:row>86</xdr:row>
      <xdr:rowOff>114300</xdr:rowOff>
    </xdr:to>
    <xdr:sp macro="" textlink="">
      <xdr:nvSpPr>
        <xdr:cNvPr id="20" name="Rectangle 9">
          <a:extLst>
            <a:ext uri="{FF2B5EF4-FFF2-40B4-BE49-F238E27FC236}">
              <a16:creationId xmlns:a16="http://schemas.microsoft.com/office/drawing/2014/main" id="{FDDD3599-FAAC-46C7-95C5-1DCFE0ADB96C}"/>
            </a:ext>
            <a:ext uri="{147F2762-F138-4A5C-976F-8EAC2B608ADB}">
              <a16:predDERef xmlns:a16="http://schemas.microsoft.com/office/drawing/2014/main" pred="{8C1D1498-185F-E272-C1F0-437143AD9F30}"/>
            </a:ext>
          </a:extLst>
        </xdr:cNvPr>
        <xdr:cNvSpPr/>
      </xdr:nvSpPr>
      <xdr:spPr bwMode="auto">
        <a:xfrm>
          <a:off x="13944600" y="924877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12</xdr:col>
      <xdr:colOff>704850</xdr:colOff>
      <xdr:row>135</xdr:row>
      <xdr:rowOff>247650</xdr:rowOff>
    </xdr:from>
    <xdr:to>
      <xdr:col>12</xdr:col>
      <xdr:colOff>714375</xdr:colOff>
      <xdr:row>143</xdr:row>
      <xdr:rowOff>0</xdr:rowOff>
    </xdr:to>
    <xdr:cxnSp macro="">
      <xdr:nvCxnSpPr>
        <xdr:cNvPr id="24" name="Straight Connector 1">
          <a:extLst>
            <a:ext uri="{FF2B5EF4-FFF2-40B4-BE49-F238E27FC236}">
              <a16:creationId xmlns:a16="http://schemas.microsoft.com/office/drawing/2014/main" id="{91382301-55B1-4725-8697-26B9EF2667BF}"/>
            </a:ext>
            <a:ext uri="{147F2762-F138-4A5C-976F-8EAC2B608ADB}">
              <a16:predDERef xmlns:a16="http://schemas.microsoft.com/office/drawing/2014/main" pred="{9BA8A19D-C464-4295-A9C2-4EDD40097D7D}"/>
            </a:ext>
          </a:extLst>
        </xdr:cNvPr>
        <xdr:cNvCxnSpPr>
          <a:cxnSpLocks/>
        </xdr:cNvCxnSpPr>
      </xdr:nvCxnSpPr>
      <xdr:spPr bwMode="auto">
        <a:xfrm>
          <a:off x="12144375" y="4324350"/>
          <a:ext cx="9525" cy="2895600"/>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704850</xdr:colOff>
      <xdr:row>79</xdr:row>
      <xdr:rowOff>247650</xdr:rowOff>
    </xdr:from>
    <xdr:to>
      <xdr:col>12</xdr:col>
      <xdr:colOff>714375</xdr:colOff>
      <xdr:row>87</xdr:row>
      <xdr:rowOff>0</xdr:rowOff>
    </xdr:to>
    <xdr:cxnSp macro="">
      <xdr:nvCxnSpPr>
        <xdr:cNvPr id="23" name="Straight Connector 1">
          <a:extLst>
            <a:ext uri="{FF2B5EF4-FFF2-40B4-BE49-F238E27FC236}">
              <a16:creationId xmlns:a16="http://schemas.microsoft.com/office/drawing/2014/main" id="{E1ABD4BB-873E-4FAE-BA27-B9CCEDF15A77}"/>
            </a:ext>
            <a:ext uri="{147F2762-F138-4A5C-976F-8EAC2B608ADB}">
              <a16:predDERef xmlns:a16="http://schemas.microsoft.com/office/drawing/2014/main" pred="{258FA98E-DD00-446E-8626-3AF5350AC746}"/>
            </a:ext>
          </a:extLst>
        </xdr:cNvPr>
        <xdr:cNvCxnSpPr>
          <a:cxnSpLocks/>
        </xdr:cNvCxnSpPr>
      </xdr:nvCxnSpPr>
      <xdr:spPr bwMode="auto">
        <a:xfrm>
          <a:off x="12144375" y="4324350"/>
          <a:ext cx="9525" cy="2895600"/>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219075</xdr:colOff>
      <xdr:row>98</xdr:row>
      <xdr:rowOff>28575</xdr:rowOff>
    </xdr:from>
    <xdr:to>
      <xdr:col>16</xdr:col>
      <xdr:colOff>742950</xdr:colOff>
      <xdr:row>100</xdr:row>
      <xdr:rowOff>114300</xdr:rowOff>
    </xdr:to>
    <xdr:sp macro="" textlink="">
      <xdr:nvSpPr>
        <xdr:cNvPr id="41" name="Rectangle 9">
          <a:extLst>
            <a:ext uri="{FF2B5EF4-FFF2-40B4-BE49-F238E27FC236}">
              <a16:creationId xmlns:a16="http://schemas.microsoft.com/office/drawing/2014/main" id="{C5A0364A-2D0A-4328-AE6F-E3F426DF3A60}"/>
            </a:ext>
            <a:ext uri="{147F2762-F138-4A5C-976F-8EAC2B608ADB}">
              <a16:predDERef xmlns:a16="http://schemas.microsoft.com/office/drawing/2014/main" pred="{E1ABD4BB-873E-4FAE-BA27-B9CCEDF15A77}"/>
            </a:ext>
          </a:extLst>
        </xdr:cNvPr>
        <xdr:cNvSpPr/>
      </xdr:nvSpPr>
      <xdr:spPr bwMode="auto">
        <a:xfrm>
          <a:off x="13944600" y="924877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31</xdr:col>
      <xdr:colOff>704850</xdr:colOff>
      <xdr:row>81</xdr:row>
      <xdr:rowOff>247650</xdr:rowOff>
    </xdr:from>
    <xdr:to>
      <xdr:col>31</xdr:col>
      <xdr:colOff>714375</xdr:colOff>
      <xdr:row>89</xdr:row>
      <xdr:rowOff>0</xdr:rowOff>
    </xdr:to>
    <xdr:cxnSp macro="">
      <xdr:nvCxnSpPr>
        <xdr:cNvPr id="50" name="Straight Connector 1">
          <a:extLst>
            <a:ext uri="{FF2B5EF4-FFF2-40B4-BE49-F238E27FC236}">
              <a16:creationId xmlns:a16="http://schemas.microsoft.com/office/drawing/2014/main" id="{729E166C-E98A-4EE0-BA7F-217B8BF476A7}"/>
            </a:ext>
            <a:ext uri="{147F2762-F138-4A5C-976F-8EAC2B608ADB}">
              <a16:predDERef xmlns:a16="http://schemas.microsoft.com/office/drawing/2014/main" pred="{D617F27D-A9F3-400C-ABB4-FB8CB0197BEC}"/>
            </a:ext>
          </a:extLst>
        </xdr:cNvPr>
        <xdr:cNvCxnSpPr>
          <a:cxnSpLocks/>
        </xdr:cNvCxnSpPr>
      </xdr:nvCxnSpPr>
      <xdr:spPr bwMode="auto">
        <a:xfrm>
          <a:off x="12144375" y="4324350"/>
          <a:ext cx="9525" cy="2895600"/>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28575</xdr:colOff>
      <xdr:row>185</xdr:row>
      <xdr:rowOff>142875</xdr:rowOff>
    </xdr:from>
    <xdr:to>
      <xdr:col>35</xdr:col>
      <xdr:colOff>552450</xdr:colOff>
      <xdr:row>188</xdr:row>
      <xdr:rowOff>66675</xdr:rowOff>
    </xdr:to>
    <xdr:sp macro="" textlink="">
      <xdr:nvSpPr>
        <xdr:cNvPr id="31" name="Rectangle 9">
          <a:extLst>
            <a:ext uri="{FF2B5EF4-FFF2-40B4-BE49-F238E27FC236}">
              <a16:creationId xmlns:a16="http://schemas.microsoft.com/office/drawing/2014/main" id="{F0BFB84D-A836-4CB1-9601-207F76786C41}"/>
            </a:ext>
            <a:ext uri="{147F2762-F138-4A5C-976F-8EAC2B608ADB}">
              <a16:predDERef xmlns:a16="http://schemas.microsoft.com/office/drawing/2014/main" pred="{729E166C-E98A-4EE0-BA7F-217B8BF476A7}"/>
            </a:ext>
          </a:extLst>
        </xdr:cNvPr>
        <xdr:cNvSpPr/>
      </xdr:nvSpPr>
      <xdr:spPr bwMode="auto">
        <a:xfrm>
          <a:off x="29813250" y="3342322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25</xdr:col>
      <xdr:colOff>19050</xdr:colOff>
      <xdr:row>94</xdr:row>
      <xdr:rowOff>76200</xdr:rowOff>
    </xdr:from>
    <xdr:to>
      <xdr:col>28</xdr:col>
      <xdr:colOff>666750</xdr:colOff>
      <xdr:row>100</xdr:row>
      <xdr:rowOff>666750</xdr:rowOff>
    </xdr:to>
    <xdr:graphicFrame macro="">
      <xdr:nvGraphicFramePr>
        <xdr:cNvPr id="22" name="Chart 4">
          <a:extLst>
            <a:ext uri="{FF2B5EF4-FFF2-40B4-BE49-F238E27FC236}">
              <a16:creationId xmlns:a16="http://schemas.microsoft.com/office/drawing/2014/main" id="{0CD6A19B-53C9-4F2B-9AD6-BA987601C9E8}"/>
            </a:ext>
            <a:ext uri="{147F2762-F138-4A5C-976F-8EAC2B608ADB}">
              <a16:predDERef xmlns:a16="http://schemas.microsoft.com/office/drawing/2014/main" pred="{F0BFB84D-A836-4CB1-9601-207F76786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28</xdr:col>
      <xdr:colOff>723900</xdr:colOff>
      <xdr:row>94</xdr:row>
      <xdr:rowOff>66675</xdr:rowOff>
    </xdr:from>
    <xdr:to>
      <xdr:col>32</xdr:col>
      <xdr:colOff>714375</xdr:colOff>
      <xdr:row>100</xdr:row>
      <xdr:rowOff>685800</xdr:rowOff>
    </xdr:to>
    <xdr:graphicFrame macro="">
      <xdr:nvGraphicFramePr>
        <xdr:cNvPr id="25" name="Chart 5">
          <a:extLst>
            <a:ext uri="{FF2B5EF4-FFF2-40B4-BE49-F238E27FC236}">
              <a16:creationId xmlns:a16="http://schemas.microsoft.com/office/drawing/2014/main" id="{1F1F4A0F-D3E6-4268-AADF-0190CEE14A04}"/>
            </a:ext>
            <a:ext uri="{147F2762-F138-4A5C-976F-8EAC2B608ADB}">
              <a16:predDERef xmlns:a16="http://schemas.microsoft.com/office/drawing/2014/main" pred="{0CD6A19B-53C9-4F2B-9AD6-BA987601C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28</xdr:col>
      <xdr:colOff>704850</xdr:colOff>
      <xdr:row>93</xdr:row>
      <xdr:rowOff>247650</xdr:rowOff>
    </xdr:from>
    <xdr:to>
      <xdr:col>28</xdr:col>
      <xdr:colOff>714375</xdr:colOff>
      <xdr:row>101</xdr:row>
      <xdr:rowOff>0</xdr:rowOff>
    </xdr:to>
    <xdr:cxnSp macro="">
      <xdr:nvCxnSpPr>
        <xdr:cNvPr id="28" name="Straight Connector 1">
          <a:extLst>
            <a:ext uri="{FF2B5EF4-FFF2-40B4-BE49-F238E27FC236}">
              <a16:creationId xmlns:a16="http://schemas.microsoft.com/office/drawing/2014/main" id="{BED4BD0A-EF05-4854-8045-B523CDA2841F}"/>
            </a:ext>
            <a:ext uri="{147F2762-F138-4A5C-976F-8EAC2B608ADB}">
              <a16:predDERef xmlns:a16="http://schemas.microsoft.com/office/drawing/2014/main" pred="{1F1F4A0F-D3E6-4268-AADF-0190CEE14A04}"/>
            </a:ext>
          </a:extLst>
        </xdr:cNvPr>
        <xdr:cNvCxnSpPr>
          <a:cxnSpLocks/>
        </xdr:cNvCxnSpPr>
      </xdr:nvCxnSpPr>
      <xdr:spPr bwMode="auto">
        <a:xfrm>
          <a:off x="12163425" y="3971925"/>
          <a:ext cx="9525" cy="2895600"/>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219075</xdr:colOff>
      <xdr:row>112</xdr:row>
      <xdr:rowOff>28575</xdr:rowOff>
    </xdr:from>
    <xdr:to>
      <xdr:col>32</xdr:col>
      <xdr:colOff>742950</xdr:colOff>
      <xdr:row>114</xdr:row>
      <xdr:rowOff>114300</xdr:rowOff>
    </xdr:to>
    <xdr:sp macro="" textlink="">
      <xdr:nvSpPr>
        <xdr:cNvPr id="26" name="Rectangle 9">
          <a:extLst>
            <a:ext uri="{FF2B5EF4-FFF2-40B4-BE49-F238E27FC236}">
              <a16:creationId xmlns:a16="http://schemas.microsoft.com/office/drawing/2014/main" id="{E6F5F457-39E9-4463-BF5A-9057D17D2F07}"/>
            </a:ext>
            <a:ext uri="{147F2762-F138-4A5C-976F-8EAC2B608ADB}">
              <a16:predDERef xmlns:a16="http://schemas.microsoft.com/office/drawing/2014/main" pred="{BED4BD0A-EF05-4854-8045-B523CDA2841F}"/>
            </a:ext>
          </a:extLst>
        </xdr:cNvPr>
        <xdr:cNvSpPr/>
      </xdr:nvSpPr>
      <xdr:spPr bwMode="auto">
        <a:xfrm>
          <a:off x="13963650" y="8896350"/>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26</xdr:col>
      <xdr:colOff>167639</xdr:colOff>
      <xdr:row>103</xdr:row>
      <xdr:rowOff>0</xdr:rowOff>
    </xdr:from>
    <xdr:to>
      <xdr:col>34</xdr:col>
      <xdr:colOff>477795</xdr:colOff>
      <xdr:row>125</xdr:row>
      <xdr:rowOff>156028</xdr:rowOff>
    </xdr:to>
    <xdr:pic>
      <xdr:nvPicPr>
        <xdr:cNvPr id="27" name="Picture 19">
          <a:extLst>
            <a:ext uri="{FF2B5EF4-FFF2-40B4-BE49-F238E27FC236}">
              <a16:creationId xmlns:a16="http://schemas.microsoft.com/office/drawing/2014/main" id="{924CD356-596E-4EE2-9783-12FDA8D05C81}"/>
            </a:ext>
            <a:ext uri="{147F2762-F138-4A5C-976F-8EAC2B608ADB}">
              <a16:predDERef xmlns:a16="http://schemas.microsoft.com/office/drawing/2014/main" pred="{E6F5F457-39E9-4463-BF5A-9057D17D2F07}"/>
            </a:ext>
          </a:extLst>
        </xdr:cNvPr>
        <xdr:cNvPicPr>
          <a:picLocks noChangeAspect="1"/>
        </xdr:cNvPicPr>
      </xdr:nvPicPr>
      <xdr:blipFill>
        <a:blip xmlns:r="http://schemas.openxmlformats.org/officeDocument/2006/relationships" r:embed="rId17"/>
        <a:stretch>
          <a:fillRect/>
        </a:stretch>
      </xdr:blipFill>
      <xdr:spPr>
        <a:xfrm>
          <a:off x="10083164" y="7296150"/>
          <a:ext cx="6543316" cy="4023179"/>
        </a:xfrm>
        <a:prstGeom prst="rect">
          <a:avLst/>
        </a:prstGeom>
      </xdr:spPr>
    </xdr:pic>
    <xdr:clientData/>
  </xdr:twoCellAnchor>
  <xdr:twoCellAnchor>
    <xdr:from>
      <xdr:col>14</xdr:col>
      <xdr:colOff>704850</xdr:colOff>
      <xdr:row>9</xdr:row>
      <xdr:rowOff>247650</xdr:rowOff>
    </xdr:from>
    <xdr:to>
      <xdr:col>14</xdr:col>
      <xdr:colOff>714375</xdr:colOff>
      <xdr:row>17</xdr:row>
      <xdr:rowOff>0</xdr:rowOff>
    </xdr:to>
    <xdr:cxnSp macro="">
      <xdr:nvCxnSpPr>
        <xdr:cNvPr id="36" name="Straight Connector 1">
          <a:extLst>
            <a:ext uri="{FF2B5EF4-FFF2-40B4-BE49-F238E27FC236}">
              <a16:creationId xmlns:a16="http://schemas.microsoft.com/office/drawing/2014/main" id="{B7ACFAD1-5E63-4985-8470-5FA4291AEE34}"/>
            </a:ext>
            <a:ext uri="{147F2762-F138-4A5C-976F-8EAC2B608ADB}">
              <a16:predDERef xmlns:a16="http://schemas.microsoft.com/office/drawing/2014/main" pred="{924CD356-596E-4EE2-9783-12FDA8D05C81}"/>
            </a:ext>
          </a:extLst>
        </xdr:cNvPr>
        <xdr:cNvCxnSpPr>
          <a:cxnSpLocks/>
        </xdr:cNvCxnSpPr>
      </xdr:nvCxnSpPr>
      <xdr:spPr bwMode="auto">
        <a:xfrm>
          <a:off x="28203525" y="16497300"/>
          <a:ext cx="9525" cy="11334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333375</xdr:colOff>
      <xdr:row>25</xdr:row>
      <xdr:rowOff>114300</xdr:rowOff>
    </xdr:from>
    <xdr:to>
      <xdr:col>26</xdr:col>
      <xdr:colOff>699135</xdr:colOff>
      <xdr:row>44</xdr:row>
      <xdr:rowOff>46174</xdr:rowOff>
    </xdr:to>
    <xdr:pic>
      <xdr:nvPicPr>
        <xdr:cNvPr id="30" name="Picture 2">
          <a:extLst>
            <a:ext uri="{FF2B5EF4-FFF2-40B4-BE49-F238E27FC236}">
              <a16:creationId xmlns:a16="http://schemas.microsoft.com/office/drawing/2014/main" id="{7DECC371-91A7-0008-BF16-B57774C07E77}"/>
            </a:ext>
            <a:ext uri="{147F2762-F138-4A5C-976F-8EAC2B608ADB}">
              <a16:predDERef xmlns:a16="http://schemas.microsoft.com/office/drawing/2014/main" pred="{D2F711C8-ACAB-4089-B8C9-97CD40A54EF6}"/>
            </a:ext>
          </a:extLst>
        </xdr:cNvPr>
        <xdr:cNvPicPr>
          <a:picLocks noChangeAspect="1"/>
        </xdr:cNvPicPr>
      </xdr:nvPicPr>
      <xdr:blipFill>
        <a:blip xmlns:r="http://schemas.openxmlformats.org/officeDocument/2006/relationships" r:embed="rId20"/>
        <a:stretch>
          <a:fillRect/>
        </a:stretch>
      </xdr:blipFill>
      <xdr:spPr>
        <a:xfrm>
          <a:off x="17164050" y="6886575"/>
          <a:ext cx="7429500" cy="4162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41</xdr:row>
      <xdr:rowOff>0</xdr:rowOff>
    </xdr:from>
    <xdr:ext cx="304800" cy="308437"/>
    <xdr:sp macro="" textlink="">
      <xdr:nvSpPr>
        <xdr:cNvPr id="2" name="AutoShape 231" descr="Resultado de imagen para beer consumption trend">
          <a:extLst>
            <a:ext uri="{FF2B5EF4-FFF2-40B4-BE49-F238E27FC236}">
              <a16:creationId xmlns:a16="http://schemas.microsoft.com/office/drawing/2014/main" id="{F186833D-E68A-4685-B9E1-CE72C7339814}"/>
            </a:ext>
          </a:extLst>
        </xdr:cNvPr>
        <xdr:cNvSpPr>
          <a:spLocks noChangeAspect="1" noChangeArrowheads="1"/>
        </xdr:cNvSpPr>
      </xdr:nvSpPr>
      <xdr:spPr bwMode="auto">
        <a:xfrm>
          <a:off x="13058775" y="84677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55</xdr:row>
      <xdr:rowOff>0</xdr:rowOff>
    </xdr:from>
    <xdr:ext cx="304800" cy="306171"/>
    <xdr:sp macro="" textlink="">
      <xdr:nvSpPr>
        <xdr:cNvPr id="4" name="AutoShape 233" descr="Resultado de imagen para beer consumption trend">
          <a:extLst>
            <a:ext uri="{FF2B5EF4-FFF2-40B4-BE49-F238E27FC236}">
              <a16:creationId xmlns:a16="http://schemas.microsoft.com/office/drawing/2014/main" id="{24F86DF3-84C5-489D-B238-391C0E68B875}"/>
            </a:ext>
            <a:ext uri="{147F2762-F138-4A5C-976F-8EAC2B608ADB}">
              <a16:predDERef xmlns:a16="http://schemas.microsoft.com/office/drawing/2014/main" pred="{98AE4D87-2693-4DFE-B1DE-F3764D7F7E43}"/>
            </a:ext>
          </a:extLst>
        </xdr:cNvPr>
        <xdr:cNvSpPr>
          <a:spLocks noChangeAspect="1" noChangeArrowheads="1"/>
        </xdr:cNvSpPr>
      </xdr:nvSpPr>
      <xdr:spPr bwMode="auto">
        <a:xfrm>
          <a:off x="10915650" y="10953750"/>
          <a:ext cx="304800" cy="3061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5" name="AutoShape 231" descr="Resultado de imagen para beer consumption trend">
          <a:extLst>
            <a:ext uri="{FF2B5EF4-FFF2-40B4-BE49-F238E27FC236}">
              <a16:creationId xmlns:a16="http://schemas.microsoft.com/office/drawing/2014/main" id="{95E79BE5-2BB3-4D79-B030-FCC884C50FAE}"/>
            </a:ext>
            <a:ext uri="{147F2762-F138-4A5C-976F-8EAC2B608ADB}">
              <a16:predDERef xmlns:a16="http://schemas.microsoft.com/office/drawing/2014/main" pred="{24F86DF3-84C5-489D-B238-391C0E68B875}"/>
            </a:ext>
          </a:extLst>
        </xdr:cNvPr>
        <xdr:cNvSpPr>
          <a:spLocks noChangeAspect="1" noChangeArrowheads="1"/>
        </xdr:cNvSpPr>
      </xdr:nvSpPr>
      <xdr:spPr bwMode="auto">
        <a:xfrm>
          <a:off x="13058775" y="84677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55</xdr:row>
      <xdr:rowOff>0</xdr:rowOff>
    </xdr:from>
    <xdr:ext cx="304800" cy="301207"/>
    <xdr:sp macro="" textlink="">
      <xdr:nvSpPr>
        <xdr:cNvPr id="7" name="AutoShape 233" descr="Resultado de imagen para beer consumption trend">
          <a:extLst>
            <a:ext uri="{FF2B5EF4-FFF2-40B4-BE49-F238E27FC236}">
              <a16:creationId xmlns:a16="http://schemas.microsoft.com/office/drawing/2014/main" id="{B746DC9C-5EBA-43AA-91A5-2270C3F97A2A}"/>
            </a:ext>
            <a:ext uri="{147F2762-F138-4A5C-976F-8EAC2B608ADB}">
              <a16:predDERef xmlns:a16="http://schemas.microsoft.com/office/drawing/2014/main" pred="{D01AB075-64B2-4D1B-8757-FD40B0A4C33C}"/>
            </a:ext>
          </a:extLst>
        </xdr:cNvPr>
        <xdr:cNvSpPr>
          <a:spLocks noChangeAspect="1" noChangeArrowheads="1"/>
        </xdr:cNvSpPr>
      </xdr:nvSpPr>
      <xdr:spPr bwMode="auto">
        <a:xfrm>
          <a:off x="10915650" y="10953750"/>
          <a:ext cx="304800" cy="301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10</xdr:col>
      <xdr:colOff>528777</xdr:colOff>
      <xdr:row>37</xdr:row>
      <xdr:rowOff>56029</xdr:rowOff>
    </xdr:from>
    <xdr:to>
      <xdr:col>18</xdr:col>
      <xdr:colOff>702468</xdr:colOff>
      <xdr:row>53</xdr:row>
      <xdr:rowOff>114301</xdr:rowOff>
    </xdr:to>
    <xdr:graphicFrame macro="">
      <xdr:nvGraphicFramePr>
        <xdr:cNvPr id="8" name="Chart 1">
          <a:extLst>
            <a:ext uri="{FF2B5EF4-FFF2-40B4-BE49-F238E27FC236}">
              <a16:creationId xmlns:a16="http://schemas.microsoft.com/office/drawing/2014/main" id="{8A3E7A16-576E-49AD-8C9F-3C57C77C87A5}"/>
            </a:ext>
            <a:ext uri="{147F2762-F138-4A5C-976F-8EAC2B608ADB}">
              <a16:predDERef xmlns:a16="http://schemas.microsoft.com/office/drawing/2014/main" pred="{B746DC9C-5EBA-43AA-91A5-2270C3F97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93194</xdr:colOff>
      <xdr:row>54</xdr:row>
      <xdr:rowOff>8344</xdr:rowOff>
    </xdr:from>
    <xdr:to>
      <xdr:col>20</xdr:col>
      <xdr:colOff>263691</xdr:colOff>
      <xdr:row>71</xdr:row>
      <xdr:rowOff>8344</xdr:rowOff>
    </xdr:to>
    <xdr:graphicFrame macro="">
      <xdr:nvGraphicFramePr>
        <xdr:cNvPr id="9" name="Chart 2">
          <a:extLst>
            <a:ext uri="{FF2B5EF4-FFF2-40B4-BE49-F238E27FC236}">
              <a16:creationId xmlns:a16="http://schemas.microsoft.com/office/drawing/2014/main" id="{B77BBA40-07F7-4FB8-8AA6-31B5BE340426}"/>
            </a:ext>
            <a:ext uri="{147F2762-F138-4A5C-976F-8EAC2B608ADB}">
              <a16:predDERef xmlns:a16="http://schemas.microsoft.com/office/drawing/2014/main" pred="{8A3E7A16-576E-49AD-8C9F-3C57C77C8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9525</xdr:colOff>
      <xdr:row>3</xdr:row>
      <xdr:rowOff>95250</xdr:rowOff>
    </xdr:from>
    <xdr:to>
      <xdr:col>12</xdr:col>
      <xdr:colOff>1295400</xdr:colOff>
      <xdr:row>3</xdr:row>
      <xdr:rowOff>819150</xdr:rowOff>
    </xdr:to>
    <xdr:pic>
      <xdr:nvPicPr>
        <xdr:cNvPr id="2" name="Picture 1">
          <a:extLst>
            <a:ext uri="{FF2B5EF4-FFF2-40B4-BE49-F238E27FC236}">
              <a16:creationId xmlns:a16="http://schemas.microsoft.com/office/drawing/2014/main" id="{B17FEA1F-5283-A4D4-F561-AD3322C47F4B}"/>
            </a:ext>
            <a:ext uri="{147F2762-F138-4A5C-976F-8EAC2B608ADB}">
              <a16:predDERef xmlns:a16="http://schemas.microsoft.com/office/drawing/2014/main" pred="{DFD9E5FD-E030-4584-81FA-2E173BF06D00}"/>
            </a:ext>
          </a:extLst>
        </xdr:cNvPr>
        <xdr:cNvPicPr>
          <a:picLocks noChangeAspect="1"/>
        </xdr:cNvPicPr>
      </xdr:nvPicPr>
      <xdr:blipFill>
        <a:blip xmlns:r="http://schemas.openxmlformats.org/officeDocument/2006/relationships" r:embed="rId2"/>
        <a:stretch>
          <a:fillRect/>
        </a:stretch>
      </xdr:blipFill>
      <xdr:spPr>
        <a:xfrm>
          <a:off x="18811875" y="685800"/>
          <a:ext cx="1285875" cy="723900"/>
        </a:xfrm>
        <a:prstGeom prst="rect">
          <a:avLst/>
        </a:prstGeom>
      </xdr:spPr>
    </xdr:pic>
    <xdr:clientData/>
  </xdr:twoCellAnchor>
  <xdr:twoCellAnchor editAs="oneCell">
    <xdr:from>
      <xdr:col>14</xdr:col>
      <xdr:colOff>38100</xdr:colOff>
      <xdr:row>3</xdr:row>
      <xdr:rowOff>28575</xdr:rowOff>
    </xdr:from>
    <xdr:to>
      <xdr:col>14</xdr:col>
      <xdr:colOff>1285875</xdr:colOff>
      <xdr:row>3</xdr:row>
      <xdr:rowOff>895350</xdr:rowOff>
    </xdr:to>
    <xdr:pic>
      <xdr:nvPicPr>
        <xdr:cNvPr id="4" name="Picture 3">
          <a:extLst>
            <a:ext uri="{FF2B5EF4-FFF2-40B4-BE49-F238E27FC236}">
              <a16:creationId xmlns:a16="http://schemas.microsoft.com/office/drawing/2014/main" id="{0A4F03A5-FA22-D35E-ADD0-3ED148F62C83}"/>
            </a:ext>
            <a:ext uri="{147F2762-F138-4A5C-976F-8EAC2B608ADB}">
              <a16:predDERef xmlns:a16="http://schemas.microsoft.com/office/drawing/2014/main" pred="{3247F2D6-DEC4-1E04-A4E5-C3E8E4389E41}"/>
            </a:ext>
          </a:extLst>
        </xdr:cNvPr>
        <xdr:cNvPicPr>
          <a:picLocks noChangeAspect="1"/>
        </xdr:cNvPicPr>
      </xdr:nvPicPr>
      <xdr:blipFill>
        <a:blip xmlns:r="http://schemas.openxmlformats.org/officeDocument/2006/relationships" r:embed="rId3"/>
        <a:stretch>
          <a:fillRect/>
        </a:stretch>
      </xdr:blipFill>
      <xdr:spPr>
        <a:xfrm>
          <a:off x="21555075" y="619125"/>
          <a:ext cx="1247775" cy="866775"/>
        </a:xfrm>
        <a:prstGeom prst="rect">
          <a:avLst/>
        </a:prstGeom>
      </xdr:spPr>
    </xdr:pic>
    <xdr:clientData/>
  </xdr:twoCellAnchor>
  <xdr:twoCellAnchor editAs="oneCell">
    <xdr:from>
      <xdr:col>15</xdr:col>
      <xdr:colOff>76200</xdr:colOff>
      <xdr:row>3</xdr:row>
      <xdr:rowOff>247650</xdr:rowOff>
    </xdr:from>
    <xdr:to>
      <xdr:col>15</xdr:col>
      <xdr:colOff>1247775</xdr:colOff>
      <xdr:row>3</xdr:row>
      <xdr:rowOff>790575</xdr:rowOff>
    </xdr:to>
    <xdr:pic>
      <xdr:nvPicPr>
        <xdr:cNvPr id="6" name="Picture 5">
          <a:extLst>
            <a:ext uri="{FF2B5EF4-FFF2-40B4-BE49-F238E27FC236}">
              <a16:creationId xmlns:a16="http://schemas.microsoft.com/office/drawing/2014/main" id="{C54E2A20-85FD-1940-6FF4-71A1D010A46D}"/>
            </a:ext>
            <a:ext uri="{147F2762-F138-4A5C-976F-8EAC2B608ADB}">
              <a16:predDERef xmlns:a16="http://schemas.microsoft.com/office/drawing/2014/main" pred="{0A4F03A5-FA22-D35E-ADD0-3ED148F62C83}"/>
            </a:ext>
          </a:extLst>
        </xdr:cNvPr>
        <xdr:cNvPicPr>
          <a:picLocks noChangeAspect="1"/>
        </xdr:cNvPicPr>
      </xdr:nvPicPr>
      <xdr:blipFill>
        <a:blip xmlns:r="http://schemas.openxmlformats.org/officeDocument/2006/relationships" r:embed="rId4"/>
        <a:stretch>
          <a:fillRect/>
        </a:stretch>
      </xdr:blipFill>
      <xdr:spPr>
        <a:xfrm>
          <a:off x="22917150" y="838200"/>
          <a:ext cx="1171575" cy="542925"/>
        </a:xfrm>
        <a:prstGeom prst="rect">
          <a:avLst/>
        </a:prstGeom>
      </xdr:spPr>
    </xdr:pic>
    <xdr:clientData/>
  </xdr:twoCellAnchor>
  <xdr:twoCellAnchor editAs="oneCell">
    <xdr:from>
      <xdr:col>13</xdr:col>
      <xdr:colOff>38100</xdr:colOff>
      <xdr:row>3</xdr:row>
      <xdr:rowOff>333375</xdr:rowOff>
    </xdr:from>
    <xdr:to>
      <xdr:col>13</xdr:col>
      <xdr:colOff>1362075</xdr:colOff>
      <xdr:row>3</xdr:row>
      <xdr:rowOff>561975</xdr:rowOff>
    </xdr:to>
    <xdr:pic>
      <xdr:nvPicPr>
        <xdr:cNvPr id="7" name="Picture 6">
          <a:extLst>
            <a:ext uri="{FF2B5EF4-FFF2-40B4-BE49-F238E27FC236}">
              <a16:creationId xmlns:a16="http://schemas.microsoft.com/office/drawing/2014/main" id="{116B5835-F182-459E-E1AF-05BE61721DD4}"/>
            </a:ext>
            <a:ext uri="{147F2762-F138-4A5C-976F-8EAC2B608ADB}">
              <a16:predDERef xmlns:a16="http://schemas.microsoft.com/office/drawing/2014/main" pred="{C54E2A20-85FD-1940-6FF4-71A1D010A46D}"/>
            </a:ext>
          </a:extLst>
        </xdr:cNvPr>
        <xdr:cNvPicPr>
          <a:picLocks noChangeAspect="1"/>
        </xdr:cNvPicPr>
      </xdr:nvPicPr>
      <xdr:blipFill>
        <a:blip xmlns:r="http://schemas.openxmlformats.org/officeDocument/2006/relationships" r:embed="rId5"/>
        <a:stretch>
          <a:fillRect/>
        </a:stretch>
      </xdr:blipFill>
      <xdr:spPr>
        <a:xfrm>
          <a:off x="20164425" y="923925"/>
          <a:ext cx="1323975" cy="228600"/>
        </a:xfrm>
        <a:prstGeom prst="rect">
          <a:avLst/>
        </a:prstGeom>
      </xdr:spPr>
    </xdr:pic>
    <xdr:clientData/>
  </xdr:twoCellAnchor>
  <xdr:twoCellAnchor editAs="oneCell">
    <xdr:from>
      <xdr:col>16</xdr:col>
      <xdr:colOff>95250</xdr:colOff>
      <xdr:row>3</xdr:row>
      <xdr:rowOff>133350</xdr:rowOff>
    </xdr:from>
    <xdr:to>
      <xdr:col>16</xdr:col>
      <xdr:colOff>1381125</xdr:colOff>
      <xdr:row>3</xdr:row>
      <xdr:rowOff>847725</xdr:rowOff>
    </xdr:to>
    <xdr:pic>
      <xdr:nvPicPr>
        <xdr:cNvPr id="9" name="Picture 8">
          <a:extLst>
            <a:ext uri="{FF2B5EF4-FFF2-40B4-BE49-F238E27FC236}">
              <a16:creationId xmlns:a16="http://schemas.microsoft.com/office/drawing/2014/main" id="{3B835E26-0907-25C6-D533-CC7281B8815D}"/>
            </a:ext>
            <a:ext uri="{147F2762-F138-4A5C-976F-8EAC2B608ADB}">
              <a16:predDERef xmlns:a16="http://schemas.microsoft.com/office/drawing/2014/main" pred="{116B5835-F182-459E-E1AF-05BE61721DD4}"/>
            </a:ext>
          </a:extLst>
        </xdr:cNvPr>
        <xdr:cNvPicPr>
          <a:picLocks noChangeAspect="1"/>
        </xdr:cNvPicPr>
      </xdr:nvPicPr>
      <xdr:blipFill>
        <a:blip xmlns:r="http://schemas.openxmlformats.org/officeDocument/2006/relationships" r:embed="rId6"/>
        <a:stretch>
          <a:fillRect/>
        </a:stretch>
      </xdr:blipFill>
      <xdr:spPr>
        <a:xfrm>
          <a:off x="24260175" y="723900"/>
          <a:ext cx="1285875" cy="714375"/>
        </a:xfrm>
        <a:prstGeom prst="rect">
          <a:avLst/>
        </a:prstGeom>
      </xdr:spPr>
    </xdr:pic>
    <xdr:clientData/>
  </xdr:twoCellAnchor>
  <xdr:twoCellAnchor editAs="oneCell">
    <xdr:from>
      <xdr:col>11</xdr:col>
      <xdr:colOff>57150</xdr:colOff>
      <xdr:row>3</xdr:row>
      <xdr:rowOff>400050</xdr:rowOff>
    </xdr:from>
    <xdr:to>
      <xdr:col>11</xdr:col>
      <xdr:colOff>1390650</xdr:colOff>
      <xdr:row>3</xdr:row>
      <xdr:rowOff>695325</xdr:rowOff>
    </xdr:to>
    <xdr:pic>
      <xdr:nvPicPr>
        <xdr:cNvPr id="10" name="Picture 9">
          <a:extLst>
            <a:ext uri="{FF2B5EF4-FFF2-40B4-BE49-F238E27FC236}">
              <a16:creationId xmlns:a16="http://schemas.microsoft.com/office/drawing/2014/main" id="{B7CCAD35-942F-45F0-BB9C-6BB06D5BC6B7}"/>
            </a:ext>
            <a:ext uri="{147F2762-F138-4A5C-976F-8EAC2B608ADB}">
              <a16:predDERef xmlns:a16="http://schemas.microsoft.com/office/drawing/2014/main" pred="{3B835E26-0907-25C6-D533-CC7281B8815D}"/>
            </a:ext>
          </a:extLst>
        </xdr:cNvPr>
        <xdr:cNvPicPr>
          <a:picLocks noChangeAspect="1"/>
        </xdr:cNvPicPr>
      </xdr:nvPicPr>
      <xdr:blipFill>
        <a:blip xmlns:r="http://schemas.openxmlformats.org/officeDocument/2006/relationships" r:embed="rId7"/>
        <a:stretch>
          <a:fillRect/>
        </a:stretch>
      </xdr:blipFill>
      <xdr:spPr>
        <a:xfrm>
          <a:off x="17440275" y="990600"/>
          <a:ext cx="1333500" cy="295275"/>
        </a:xfrm>
        <a:prstGeom prst="rect">
          <a:avLst/>
        </a:prstGeom>
      </xdr:spPr>
    </xdr:pic>
    <xdr:clientData/>
  </xdr:twoCellAnchor>
  <xdr:twoCellAnchor editAs="oneCell">
    <xdr:from>
      <xdr:col>1</xdr:col>
      <xdr:colOff>0</xdr:colOff>
      <xdr:row>36</xdr:row>
      <xdr:rowOff>0</xdr:rowOff>
    </xdr:from>
    <xdr:to>
      <xdr:col>1</xdr:col>
      <xdr:colOff>2714625</xdr:colOff>
      <xdr:row>48</xdr:row>
      <xdr:rowOff>19050</xdr:rowOff>
    </xdr:to>
    <xdr:pic>
      <xdr:nvPicPr>
        <xdr:cNvPr id="3" name="Immagine 2">
          <a:extLst>
            <a:ext uri="{FF2B5EF4-FFF2-40B4-BE49-F238E27FC236}">
              <a16:creationId xmlns:a16="http://schemas.microsoft.com/office/drawing/2014/main" id="{9D38526E-159F-8D09-483E-932C104D3AEE}"/>
            </a:ext>
            <a:ext uri="{147F2762-F138-4A5C-976F-8EAC2B608ADB}">
              <a16:predDERef xmlns:a16="http://schemas.microsoft.com/office/drawing/2014/main" pred="{B7CCAD35-942F-45F0-BB9C-6BB06D5BC6B7}"/>
            </a:ext>
          </a:extLst>
        </xdr:cNvPr>
        <xdr:cNvPicPr>
          <a:picLocks noChangeAspect="1"/>
        </xdr:cNvPicPr>
      </xdr:nvPicPr>
      <xdr:blipFill>
        <a:blip xmlns:r="http://schemas.openxmlformats.org/officeDocument/2006/relationships" r:embed="rId8"/>
        <a:stretch>
          <a:fillRect/>
        </a:stretch>
      </xdr:blipFill>
      <xdr:spPr>
        <a:xfrm>
          <a:off x="76200" y="18288000"/>
          <a:ext cx="2714625" cy="1962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53476</xdr:colOff>
      <xdr:row>1</xdr:row>
      <xdr:rowOff>11157</xdr:rowOff>
    </xdr:from>
    <xdr:to>
      <xdr:col>5</xdr:col>
      <xdr:colOff>1505268</xdr:colOff>
      <xdr:row>1</xdr:row>
      <xdr:rowOff>4820610</xdr:rowOff>
    </xdr:to>
    <xdr:pic>
      <xdr:nvPicPr>
        <xdr:cNvPr id="16" name="Picture 1">
          <a:extLst>
            <a:ext uri="{FF2B5EF4-FFF2-40B4-BE49-F238E27FC236}">
              <a16:creationId xmlns:a16="http://schemas.microsoft.com/office/drawing/2014/main" id="{7AF4933A-C1D0-E216-A582-D0145BA6679B}"/>
            </a:ext>
          </a:extLst>
        </xdr:cNvPr>
        <xdr:cNvPicPr>
          <a:picLocks noChangeAspect="1"/>
        </xdr:cNvPicPr>
      </xdr:nvPicPr>
      <xdr:blipFill>
        <a:blip xmlns:r="http://schemas.openxmlformats.org/officeDocument/2006/relationships" r:embed="rId1"/>
        <a:stretch>
          <a:fillRect/>
        </a:stretch>
      </xdr:blipFill>
      <xdr:spPr>
        <a:xfrm>
          <a:off x="53476" y="4255074"/>
          <a:ext cx="5955212" cy="4796118"/>
        </a:xfrm>
        <a:prstGeom prst="rect">
          <a:avLst/>
        </a:prstGeom>
      </xdr:spPr>
    </xdr:pic>
    <xdr:clientData/>
  </xdr:twoCellAnchor>
  <xdr:twoCellAnchor editAs="oneCell">
    <xdr:from>
      <xdr:col>6</xdr:col>
      <xdr:colOff>612120</xdr:colOff>
      <xdr:row>1</xdr:row>
      <xdr:rowOff>0</xdr:rowOff>
    </xdr:from>
    <xdr:to>
      <xdr:col>12</xdr:col>
      <xdr:colOff>740932</xdr:colOff>
      <xdr:row>1</xdr:row>
      <xdr:rowOff>5161049</xdr:rowOff>
    </xdr:to>
    <xdr:pic>
      <xdr:nvPicPr>
        <xdr:cNvPr id="3" name="Picture 2">
          <a:extLst>
            <a:ext uri="{FF2B5EF4-FFF2-40B4-BE49-F238E27FC236}">
              <a16:creationId xmlns:a16="http://schemas.microsoft.com/office/drawing/2014/main" id="{D5A91B4B-B6BB-C46F-077F-ED0BBB4C1A32}"/>
            </a:ext>
          </a:extLst>
        </xdr:cNvPr>
        <xdr:cNvPicPr>
          <a:picLocks noChangeAspect="1"/>
        </xdr:cNvPicPr>
      </xdr:nvPicPr>
      <xdr:blipFill>
        <a:blip xmlns:r="http://schemas.openxmlformats.org/officeDocument/2006/relationships" r:embed="rId2"/>
        <a:stretch>
          <a:fillRect/>
        </a:stretch>
      </xdr:blipFill>
      <xdr:spPr>
        <a:xfrm>
          <a:off x="5999908" y="0"/>
          <a:ext cx="6272774" cy="5161049"/>
        </a:xfrm>
        <a:prstGeom prst="rect">
          <a:avLst/>
        </a:prstGeom>
      </xdr:spPr>
    </xdr:pic>
    <xdr:clientData/>
  </xdr:twoCellAnchor>
  <xdr:twoCellAnchor editAs="oneCell">
    <xdr:from>
      <xdr:col>12</xdr:col>
      <xdr:colOff>954346</xdr:colOff>
      <xdr:row>0</xdr:row>
      <xdr:rowOff>1870420</xdr:rowOff>
    </xdr:from>
    <xdr:to>
      <xdr:col>18</xdr:col>
      <xdr:colOff>628095</xdr:colOff>
      <xdr:row>0</xdr:row>
      <xdr:rowOff>2384816</xdr:rowOff>
    </xdr:to>
    <xdr:pic>
      <xdr:nvPicPr>
        <xdr:cNvPr id="4" name="Picture 3">
          <a:extLst>
            <a:ext uri="{FF2B5EF4-FFF2-40B4-BE49-F238E27FC236}">
              <a16:creationId xmlns:a16="http://schemas.microsoft.com/office/drawing/2014/main" id="{2C1801A8-8C2B-3B89-7D3E-D26AA3F20CC1}"/>
            </a:ext>
          </a:extLst>
        </xdr:cNvPr>
        <xdr:cNvPicPr>
          <a:picLocks noChangeAspect="1"/>
        </xdr:cNvPicPr>
      </xdr:nvPicPr>
      <xdr:blipFill>
        <a:blip xmlns:r="http://schemas.openxmlformats.org/officeDocument/2006/relationships" r:embed="rId3"/>
        <a:stretch>
          <a:fillRect/>
        </a:stretch>
      </xdr:blipFill>
      <xdr:spPr>
        <a:xfrm>
          <a:off x="12960859" y="1870420"/>
          <a:ext cx="6316184" cy="523921"/>
        </a:xfrm>
        <a:prstGeom prst="rect">
          <a:avLst/>
        </a:prstGeom>
      </xdr:spPr>
    </xdr:pic>
    <xdr:clientData/>
  </xdr:twoCellAnchor>
  <xdr:twoCellAnchor editAs="oneCell">
    <xdr:from>
      <xdr:col>0</xdr:col>
      <xdr:colOff>275167</xdr:colOff>
      <xdr:row>0</xdr:row>
      <xdr:rowOff>0</xdr:rowOff>
    </xdr:from>
    <xdr:to>
      <xdr:col>5</xdr:col>
      <xdr:colOff>782320</xdr:colOff>
      <xdr:row>1</xdr:row>
      <xdr:rowOff>341192</xdr:rowOff>
    </xdr:to>
    <xdr:pic>
      <xdr:nvPicPr>
        <xdr:cNvPr id="15" name="Picture 4">
          <a:extLst>
            <a:ext uri="{FF2B5EF4-FFF2-40B4-BE49-F238E27FC236}">
              <a16:creationId xmlns:a16="http://schemas.microsoft.com/office/drawing/2014/main" id="{F514E517-9962-6BB1-B559-2E68A27967E5}"/>
            </a:ext>
          </a:extLst>
        </xdr:cNvPr>
        <xdr:cNvPicPr>
          <a:picLocks noChangeAspect="1"/>
        </xdr:cNvPicPr>
      </xdr:nvPicPr>
      <xdr:blipFill>
        <a:blip xmlns:r="http://schemas.openxmlformats.org/officeDocument/2006/relationships" r:embed="rId4"/>
        <a:stretch>
          <a:fillRect/>
        </a:stretch>
      </xdr:blipFill>
      <xdr:spPr>
        <a:xfrm>
          <a:off x="275167" y="0"/>
          <a:ext cx="4999143" cy="4585532"/>
        </a:xfrm>
        <a:prstGeom prst="rect">
          <a:avLst/>
        </a:prstGeom>
      </xdr:spPr>
    </xdr:pic>
    <xdr:clientData/>
  </xdr:twoCellAnchor>
  <xdr:twoCellAnchor editAs="oneCell">
    <xdr:from>
      <xdr:col>9</xdr:col>
      <xdr:colOff>0</xdr:colOff>
      <xdr:row>101</xdr:row>
      <xdr:rowOff>0</xdr:rowOff>
    </xdr:from>
    <xdr:to>
      <xdr:col>12</xdr:col>
      <xdr:colOff>1332380</xdr:colOff>
      <xdr:row>127</xdr:row>
      <xdr:rowOff>55243</xdr:rowOff>
    </xdr:to>
    <xdr:pic>
      <xdr:nvPicPr>
        <xdr:cNvPr id="6" name="Picture 5">
          <a:extLst>
            <a:ext uri="{FF2B5EF4-FFF2-40B4-BE49-F238E27FC236}">
              <a16:creationId xmlns:a16="http://schemas.microsoft.com/office/drawing/2014/main" id="{3CC9E6CB-6B26-3E81-DE0F-FB61845F0C9B}"/>
            </a:ext>
            <a:ext uri="{147F2762-F138-4A5C-976F-8EAC2B608ADB}">
              <a16:predDERef xmlns:a16="http://schemas.microsoft.com/office/drawing/2014/main" pred="{F514E517-9962-6BB1-B559-2E68A27967E5}"/>
            </a:ext>
          </a:extLst>
        </xdr:cNvPr>
        <xdr:cNvPicPr>
          <a:picLocks noChangeAspect="1"/>
        </xdr:cNvPicPr>
      </xdr:nvPicPr>
      <xdr:blipFill>
        <a:blip xmlns:r="http://schemas.openxmlformats.org/officeDocument/2006/relationships" r:embed="rId5"/>
        <a:stretch>
          <a:fillRect/>
        </a:stretch>
      </xdr:blipFill>
      <xdr:spPr>
        <a:xfrm>
          <a:off x="7896225" y="13287375"/>
          <a:ext cx="4572000" cy="4495800"/>
        </a:xfrm>
        <a:prstGeom prst="rect">
          <a:avLst/>
        </a:prstGeom>
      </xdr:spPr>
    </xdr:pic>
    <xdr:clientData/>
  </xdr:twoCellAnchor>
  <xdr:twoCellAnchor editAs="oneCell">
    <xdr:from>
      <xdr:col>29</xdr:col>
      <xdr:colOff>144366</xdr:colOff>
      <xdr:row>0</xdr:row>
      <xdr:rowOff>187993</xdr:rowOff>
    </xdr:from>
    <xdr:to>
      <xdr:col>35</xdr:col>
      <xdr:colOff>476250</xdr:colOff>
      <xdr:row>1</xdr:row>
      <xdr:rowOff>2206637</xdr:rowOff>
    </xdr:to>
    <xdr:pic>
      <xdr:nvPicPr>
        <xdr:cNvPr id="11" name="Picture 6">
          <a:extLst>
            <a:ext uri="{FF2B5EF4-FFF2-40B4-BE49-F238E27FC236}">
              <a16:creationId xmlns:a16="http://schemas.microsoft.com/office/drawing/2014/main" id="{F60ECAA4-4898-B7A8-CDDE-7EA671A9F57F}"/>
            </a:ext>
          </a:extLst>
        </xdr:cNvPr>
        <xdr:cNvPicPr>
          <a:picLocks noChangeAspect="1"/>
        </xdr:cNvPicPr>
      </xdr:nvPicPr>
      <xdr:blipFill>
        <a:blip xmlns:r="http://schemas.openxmlformats.org/officeDocument/2006/relationships" r:embed="rId6"/>
        <a:stretch>
          <a:fillRect/>
        </a:stretch>
      </xdr:blipFill>
      <xdr:spPr>
        <a:xfrm>
          <a:off x="27603938" y="187993"/>
          <a:ext cx="5219713" cy="6267295"/>
        </a:xfrm>
        <a:prstGeom prst="rect">
          <a:avLst/>
        </a:prstGeom>
      </xdr:spPr>
    </xdr:pic>
    <xdr:clientData/>
  </xdr:twoCellAnchor>
  <xdr:twoCellAnchor editAs="oneCell">
    <xdr:from>
      <xdr:col>5</xdr:col>
      <xdr:colOff>1061116</xdr:colOff>
      <xdr:row>0</xdr:row>
      <xdr:rowOff>0</xdr:rowOff>
    </xdr:from>
    <xdr:to>
      <xdr:col>11</xdr:col>
      <xdr:colOff>512150</xdr:colOff>
      <xdr:row>0</xdr:row>
      <xdr:rowOff>4212494</xdr:rowOff>
    </xdr:to>
    <xdr:pic>
      <xdr:nvPicPr>
        <xdr:cNvPr id="13" name="Picture 6">
          <a:extLst>
            <a:ext uri="{FF2B5EF4-FFF2-40B4-BE49-F238E27FC236}">
              <a16:creationId xmlns:a16="http://schemas.microsoft.com/office/drawing/2014/main" id="{DEBCFB3E-E87A-4D54-5174-613A2CED02C0}"/>
            </a:ext>
          </a:extLst>
        </xdr:cNvPr>
        <xdr:cNvPicPr>
          <a:picLocks noChangeAspect="1"/>
        </xdr:cNvPicPr>
      </xdr:nvPicPr>
      <xdr:blipFill>
        <a:blip xmlns:r="http://schemas.openxmlformats.org/officeDocument/2006/relationships" r:embed="rId7"/>
        <a:stretch>
          <a:fillRect/>
        </a:stretch>
      </xdr:blipFill>
      <xdr:spPr>
        <a:xfrm>
          <a:off x="5548449" y="0"/>
          <a:ext cx="5926976" cy="4212494"/>
        </a:xfrm>
        <a:prstGeom prst="rect">
          <a:avLst/>
        </a:prstGeom>
      </xdr:spPr>
    </xdr:pic>
    <xdr:clientData/>
  </xdr:twoCellAnchor>
  <xdr:twoCellAnchor editAs="oneCell">
    <xdr:from>
      <xdr:col>21</xdr:col>
      <xdr:colOff>596565</xdr:colOff>
      <xdr:row>0</xdr:row>
      <xdr:rowOff>278932</xdr:rowOff>
    </xdr:from>
    <xdr:to>
      <xdr:col>28</xdr:col>
      <xdr:colOff>631356</xdr:colOff>
      <xdr:row>1</xdr:row>
      <xdr:rowOff>2192085</xdr:rowOff>
    </xdr:to>
    <xdr:pic>
      <xdr:nvPicPr>
        <xdr:cNvPr id="8" name="Picture 7">
          <a:extLst>
            <a:ext uri="{FF2B5EF4-FFF2-40B4-BE49-F238E27FC236}">
              <a16:creationId xmlns:a16="http://schemas.microsoft.com/office/drawing/2014/main" id="{8F3EF957-8EB7-3411-8BE7-D0BEC00D3366}"/>
            </a:ext>
          </a:extLst>
        </xdr:cNvPr>
        <xdr:cNvPicPr>
          <a:picLocks noChangeAspect="1"/>
        </xdr:cNvPicPr>
      </xdr:nvPicPr>
      <xdr:blipFill>
        <a:blip xmlns:r="http://schemas.openxmlformats.org/officeDocument/2006/relationships" r:embed="rId8"/>
        <a:stretch>
          <a:fillRect/>
        </a:stretch>
      </xdr:blipFill>
      <xdr:spPr>
        <a:xfrm>
          <a:off x="21539032" y="278932"/>
          <a:ext cx="5746784" cy="6150374"/>
        </a:xfrm>
        <a:prstGeom prst="rect">
          <a:avLst/>
        </a:prstGeom>
      </xdr:spPr>
    </xdr:pic>
    <xdr:clientData/>
  </xdr:twoCellAnchor>
  <xdr:twoCellAnchor editAs="oneCell">
    <xdr:from>
      <xdr:col>12</xdr:col>
      <xdr:colOff>934051</xdr:colOff>
      <xdr:row>0</xdr:row>
      <xdr:rowOff>3272290</xdr:rowOff>
    </xdr:from>
    <xdr:to>
      <xdr:col>21</xdr:col>
      <xdr:colOff>20080</xdr:colOff>
      <xdr:row>1</xdr:row>
      <xdr:rowOff>205782</xdr:rowOff>
    </xdr:to>
    <xdr:pic>
      <xdr:nvPicPr>
        <xdr:cNvPr id="9" name="Picture 8">
          <a:extLst>
            <a:ext uri="{FF2B5EF4-FFF2-40B4-BE49-F238E27FC236}">
              <a16:creationId xmlns:a16="http://schemas.microsoft.com/office/drawing/2014/main" id="{B044E55D-36AD-1F7C-8360-AEC67E358E59}"/>
            </a:ext>
          </a:extLst>
        </xdr:cNvPr>
        <xdr:cNvPicPr>
          <a:picLocks noChangeAspect="1"/>
        </xdr:cNvPicPr>
      </xdr:nvPicPr>
      <xdr:blipFill>
        <a:blip xmlns:r="http://schemas.openxmlformats.org/officeDocument/2006/relationships" r:embed="rId9"/>
        <a:stretch>
          <a:fillRect/>
        </a:stretch>
      </xdr:blipFill>
      <xdr:spPr>
        <a:xfrm>
          <a:off x="12940564" y="3272290"/>
          <a:ext cx="8010553" cy="1176428"/>
        </a:xfrm>
        <a:prstGeom prst="rect">
          <a:avLst/>
        </a:prstGeom>
      </xdr:spPr>
    </xdr:pic>
    <xdr:clientData/>
  </xdr:twoCellAnchor>
  <xdr:twoCellAnchor editAs="oneCell">
    <xdr:from>
      <xdr:col>5</xdr:col>
      <xdr:colOff>1228725</xdr:colOff>
      <xdr:row>193</xdr:row>
      <xdr:rowOff>47625</xdr:rowOff>
    </xdr:from>
    <xdr:to>
      <xdr:col>10</xdr:col>
      <xdr:colOff>587798</xdr:colOff>
      <xdr:row>209</xdr:row>
      <xdr:rowOff>93347</xdr:rowOff>
    </xdr:to>
    <xdr:pic>
      <xdr:nvPicPr>
        <xdr:cNvPr id="12" name="Picture 9">
          <a:extLst>
            <a:ext uri="{FF2B5EF4-FFF2-40B4-BE49-F238E27FC236}">
              <a16:creationId xmlns:a16="http://schemas.microsoft.com/office/drawing/2014/main" id="{F1D98540-64FD-A57C-7059-29917393E437}"/>
            </a:ext>
            <a:ext uri="{147F2762-F138-4A5C-976F-8EAC2B608ADB}">
              <a16:predDERef xmlns:a16="http://schemas.microsoft.com/office/drawing/2014/main" pred="{B044E55D-36AD-1F7C-8360-AEC67E358E59}"/>
            </a:ext>
          </a:extLst>
        </xdr:cNvPr>
        <xdr:cNvPicPr>
          <a:picLocks noChangeAspect="1"/>
        </xdr:cNvPicPr>
      </xdr:nvPicPr>
      <xdr:blipFill>
        <a:blip xmlns:r="http://schemas.openxmlformats.org/officeDocument/2006/relationships" r:embed="rId10"/>
        <a:stretch>
          <a:fillRect/>
        </a:stretch>
      </xdr:blipFill>
      <xdr:spPr>
        <a:xfrm>
          <a:off x="5610225" y="38376225"/>
          <a:ext cx="4572000" cy="2743200"/>
        </a:xfrm>
        <a:prstGeom prst="rect">
          <a:avLst/>
        </a:prstGeom>
      </xdr:spPr>
    </xdr:pic>
    <xdr:clientData/>
  </xdr:twoCellAnchor>
  <xdr:twoCellAnchor editAs="oneCell">
    <xdr:from>
      <xdr:col>12</xdr:col>
      <xdr:colOff>1188297</xdr:colOff>
      <xdr:row>1</xdr:row>
      <xdr:rowOff>405977</xdr:rowOff>
    </xdr:from>
    <xdr:to>
      <xdr:col>16</xdr:col>
      <xdr:colOff>898119</xdr:colOff>
      <xdr:row>1</xdr:row>
      <xdr:rowOff>3222878</xdr:rowOff>
    </xdr:to>
    <xdr:pic>
      <xdr:nvPicPr>
        <xdr:cNvPr id="19" name="Picture 9">
          <a:extLst>
            <a:ext uri="{FF2B5EF4-FFF2-40B4-BE49-F238E27FC236}">
              <a16:creationId xmlns:a16="http://schemas.microsoft.com/office/drawing/2014/main" id="{1C303518-57C1-8A99-1762-C541B413887F}"/>
            </a:ext>
          </a:extLst>
        </xdr:cNvPr>
        <xdr:cNvPicPr>
          <a:picLocks noChangeAspect="1"/>
        </xdr:cNvPicPr>
      </xdr:nvPicPr>
      <xdr:blipFill>
        <a:blip xmlns:r="http://schemas.openxmlformats.org/officeDocument/2006/relationships" r:embed="rId11"/>
        <a:stretch>
          <a:fillRect/>
        </a:stretch>
      </xdr:blipFill>
      <xdr:spPr>
        <a:xfrm>
          <a:off x="13189797" y="4649894"/>
          <a:ext cx="4182762" cy="28207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HENRIQUE JOSE CABRITA DE ALBUQUERQUE" id="{AABEDC03-73D3-48ED-A84C-14188250E2F5}" userId="S::l55402@aln.iseg.ulisboa.pt::ef625cd5-da3a-4ca4-9c5d-f69973e3c2c9" providerId="AD"/>
  <person displayName="DAVID FILIPE DE SOUSA TITA" id="{6D2C5BD9-1C3E-4972-9F97-1CA81A3CC14E}" userId="S::david.tita@aln.iseg.ulisboa.pt::2b554b1a-dfdf-4fc2-8414-05963e9f059c" providerId="AD"/>
</personList>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5">
  <rv s="0">
    <v>https://www.bing.com/financeapi/forcetrigger?t=ao7qfr&amp;q=XLON%3aDGE&amp;form=skydnc</v>
    <v>Learn more on Bing</v>
  </rv>
  <rv s="1">
    <v>en-US</v>
    <v>ao7qfr</v>
    <v>268435456</v>
    <v>1</v>
    <v>Powered by Refinitiv</v>
    <v>0</v>
    <v>DIAGEO PLC (XLON:DGE)</v>
    <v>2</v>
    <v>3</v>
    <v>Finance</v>
    <v>4</v>
    <v>3056</v>
    <v>2275</v>
    <v>0.54510000000000003</v>
    <v>-1</v>
    <v>-0.98706999999999989</v>
    <v>-4.2630000000000001E-4</v>
    <v>-2314.1862999999998</v>
    <v>GBp</v>
    <v>Diageo plc is a United Kingdom-based international manufacturer and distributor of premium drinks. It also owns various investments in associates and joint ventures. The Company has a portfolio of approximately 200 brands and sales in 180 countries. Its segments include North America, Europe, Asia Pacific, Latin America and Caribbean, Africa, Supply Chain and Procurement (SC&amp;P), and Corporate and other. The C&amp;P segment manufactures products and includes production sites in the United Kingdom, Ireland, Italy, Guatemala and Mexico, as well as comprises the global procurement function. Its principal products include scotch whisky, other whisk(e)y, vodka, tequila, gin, rum, liqueurs, beer, wine, and no and low alcohol. The Company’s collection of brands includes Johnnie Walker, Crown Royal, J&amp;B and Buchanan's whiskies, Smirnoff, Ciroc and Ketel One vodkas, Captain Morgan, Baileys, Don Julio, and Tanqueray, among others. It also offers Ritual Zero Proof Non-Alcoholic Spirits (Ritual).</v>
    <v>30092</v>
    <v>London Stock Exchange</v>
    <v>XLON</v>
    <v>XLON</v>
    <v>16 Great Marlborough Street, LONDON, W1F 7HS GB</v>
    <v>2351.5</v>
    <v>Beverages</v>
    <v>Stock</v>
    <v>45608.693793078128</v>
    <v>0</v>
    <v>2320.5</v>
    <v>52401280000</v>
    <v>DIAGEO PLC</v>
    <v>DIAGEO PLC</v>
    <v>2325.5</v>
    <v>14.819599999999999</v>
    <v>2345.5</v>
    <v>2344.5</v>
    <v>30.313800000000001</v>
    <v>2225121000</v>
    <v>DGE</v>
    <v>DIAGEO PLC (XLON:DGE)</v>
    <v>5821406</v>
    <v>3624640</v>
    <v>1886</v>
  </rv>
  <rv s="2">
    <v>1</v>
  </rv>
  <rv s="0">
    <v>https://www.bing.com/financeapi/forcetrigger?t=amz8cw&amp;q=XSWX%3aCARLB&amp;form=skydnc</v>
    <v>Learn more on Bing</v>
  </rv>
  <rv s="3">
    <v>en-US</v>
    <v>amz8cw</v>
    <v>268435456</v>
    <v>1</v>
    <v>Powered by Refinitiv</v>
    <v>5</v>
    <v>Carlsberg A/S (XSWX:CARLB)</v>
    <v>2</v>
    <v>6</v>
    <v>Finance</v>
    <v>7</v>
    <v>130.35</v>
    <v>130.35</v>
    <v>0.65429999999999999</v>
    <v>CHF</v>
    <v>Carlsberg A/S is a Denmark-based company active within the brewing industry. It is primarily engaged in the production, marketing and sale of beer and soft drinks. The Company’s beer portfolio spans core beer brands, craft &amp; speciality brands and alcohol-free brews.Its operations are divided in geographical segments: Western Europe, Asia and Eastern &amp; Central Europe. The Company is also present in a number of markets where it does not operate its own breweries, through license business and export.</v>
    <v>31044</v>
    <v>SIX Swiss Exchange</v>
    <v>XSWX</v>
    <v>XSWX</v>
    <v>J.C. Jacobsens Gade 1, Copenhagen V, 1799 DK</v>
    <v>Beverages</v>
    <v>Stock</v>
    <v>43640.204872685186</v>
    <v>3</v>
    <v>Carlsberg A/S</v>
    <v>Carlsberg A/S</v>
    <v>20.1157</v>
    <v>300</v>
    <v>134256800</v>
    <v>CARLB</v>
    <v>Carlsberg A/S (XSWX:CARLB)</v>
    <v>2598</v>
    <v>201460</v>
    <v>1900</v>
  </rv>
  <rv s="2">
    <v>4</v>
  </rv>
  <rv s="0">
    <v>https://www.bing.com/financeapi/forcetrigger?t=alo8pr&amp;q=XAMS%3aHEIA&amp;form=skydnc</v>
    <v>Learn more on Bing</v>
  </rv>
  <rv s="4">
    <v>en-US</v>
    <v>alo8pr</v>
    <v>268435456</v>
    <v>1</v>
    <v>Powered by Refinitiv</v>
    <v>8</v>
    <v>Heineken NV (XAMS:HEIA)</v>
    <v>2</v>
    <v>9</v>
    <v>Finance</v>
    <v>10</v>
    <v>97.5</v>
    <v>71.819999999999993</v>
    <v>0.75209999999999999</v>
    <v>-0.84</v>
    <v>-1.1538E-2</v>
    <v>EUR</v>
    <v>Hieneken NV is the Netherlands-based company engaged in the brewing and selling of beer. The product range of HEINEKEN mainly consists of beer, soft drinks and cider. The Company operates through five segments: Africa, Middle East &amp; Eastern Europe; Americas; Asia Pacific, Europe, and Head Office and Other/eliminations. The Africa, Middle East and Eastern Europe segment includes brands, such as Heineken, Primus, Amstel, Walia and Goldberg. The Americas segment includes brands, such as Heineken, Tecate, Amstel, Sol and Dos Equis. The Asia Pacific segment includes brands, such as Heineken, Anchor, Larue, Tiger and Bintang. The Europe segment includes brands, such as Heineken, Cruzcampo, Birra Moretti, Zywiec and Strongbow Apple Ciders. The Company owns, markets and sells in more than 190 countries.</v>
    <v>90000</v>
    <v>Euronext Amsterdam</v>
    <v>XAMS</v>
    <v>XAMS</v>
    <v>Tweede Weteringplantsoen 21, AMSTERDAM, NOORD-HOLLAND, 1017 ZD NL</v>
    <v>72.540000000000006</v>
    <v>Beverages</v>
    <v>Stock</v>
    <v>45608.708333333336</v>
    <v>6</v>
    <v>71.92</v>
    <v>41932990000</v>
    <v>Heineken NV</v>
    <v>Heineken NV</v>
    <v>72.38</v>
    <v>38.739899999999999</v>
    <v>72.8</v>
    <v>71.959999999999994</v>
    <v>576002600</v>
    <v>HEIA</v>
    <v>Heineken NV (XAMS:HEIA)</v>
    <v>625816</v>
    <v>612880</v>
    <v>1873</v>
  </rv>
  <rv s="2">
    <v>7</v>
  </rv>
  <rv s="0">
    <v>https://www.bing.com/financeapi/forcetrigger?t=a23rm7&amp;q=XNYS%3aSTZ&amp;form=skydnc</v>
    <v>Learn more on Bing</v>
  </rv>
  <rv s="4">
    <v>en-US</v>
    <v>a23rm7</v>
    <v>268435456</v>
    <v>1</v>
    <v>Powered by Refinitiv</v>
    <v>8</v>
    <v>CONSTELLATION BRANDS, INC. (XNYS:STZ)</v>
    <v>2</v>
    <v>11</v>
    <v>Finance</v>
    <v>12</v>
    <v>274.87</v>
    <v>224.76</v>
    <v>0.89339999999999997</v>
    <v>2.0150000000000001</v>
    <v>8.5310000000000004E-3</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239.21</v>
    <v>Beverages</v>
    <v>Stock</v>
    <v>45608.865043714846</v>
    <v>9</v>
    <v>236.88499999999999</v>
    <v>43244693526</v>
    <v>CONSTELLATION BRANDS, INC.</v>
    <v>CONSTELLATION BRANDS, INC.</v>
    <v>236.94</v>
    <v>76.375100000000003</v>
    <v>236.2</v>
    <v>238.215</v>
    <v>181536400</v>
    <v>STZ</v>
    <v>CONSTELLATION BRANDS, INC. (XNYS:STZ)</v>
    <v>1034918</v>
    <v>1322435</v>
    <v>1972</v>
  </rv>
  <rv s="2">
    <v>10</v>
  </rv>
  <rv s="0">
    <v>https://www.bing.com/financeapi/forcetrigger?t=a1odxm&amp;q=XNYS%3aBF.B&amp;form=skydnc</v>
    <v>Learn more on Bing</v>
  </rv>
  <rv s="4">
    <v>en-US</v>
    <v>a1odxm</v>
    <v>268435456</v>
    <v>1</v>
    <v>Powered by Refinitiv</v>
    <v>8</v>
    <v>BROWN-FORMAN CORPORATION (XNYS:BF.B)</v>
    <v>2</v>
    <v>11</v>
    <v>Finance</v>
    <v>12</v>
    <v>60.97</v>
    <v>40.33</v>
    <v>0.73550000000000004</v>
    <v>-0.38</v>
    <v>-9.273E-3</v>
    <v>USD</v>
    <v>Brown-Forman Corporation manufactures, distills, bottles, imports, exports, markets, and sells a range of beverage alcohol products. Its brands include Jack Daniel's Tennessee Whiskey, Jack Daniel's Tennessee Honey, Gentleman Jack Rare Tennessee Whiskey, Jack Daniel's Tennessee Fire, Jack Daniel's Tennessee Apple, Jack Daniel's Bonded Tennessee Whiskey, Old Forester Whiskey Row Series, Jack Daniel's Sinatra Select, Old Forester Kentucky Straight Bourbon Whisky, Jack Daniel's Tennessee Rye, Old Forester Kentucky Straight Rye Whiskey, Jack Daniel’s Winter Jack, Woodford Reserve Kentucky Bourbon, Woodford Reserve Double Oaked, Fords Gin, Woodford Reserve Kentucky Rye Whiskey, Slane Irish Whiskey, Woodford Reserve Kentucky Straight Wheat Whiskey, Coopers' Craft Kentucky Bourbon, Woodford Reserve Kentucky Straight Malt Whiskey, The GlenDronach, el Jimador and Part Time Rangers RTDs. The Company's brands are sold in more than 170 countries worldwide.</v>
    <v>5700</v>
    <v>New York Stock Exchange</v>
    <v>XNYS</v>
    <v>XNYS</v>
    <v>850 DIXIE HWY, LOUISVILLE, KY, 40210 US</v>
    <v>41.05</v>
    <v>Beverages</v>
    <v>Stock</v>
    <v>45608.865038124997</v>
    <v>12</v>
    <v>40.33</v>
    <v>19215730000</v>
    <v>BROWN-FORMAN CORPORATION</v>
    <v>BROWN-FORMAN CORPORATION</v>
    <v>40.85</v>
    <v>19.726900000000001</v>
    <v>40.98</v>
    <v>40.6</v>
    <v>472660600</v>
    <v>BF.B</v>
    <v>BROWN-FORMAN CORPORATION (XNYS:BF.B)</v>
    <v>1517722</v>
    <v>1972556</v>
    <v>1933</v>
  </rv>
  <rv s="2">
    <v>13</v>
  </rv>
  <rv s="0">
    <v>https://www.bing.com/financeapi/forcetrigger?t=a23y2w&amp;q=XNYS%3aTAP.A&amp;form=skydnc</v>
    <v>Learn more on Bing</v>
  </rv>
  <rv s="5">
    <v>en-US</v>
    <v>a23y2w</v>
    <v>268435456</v>
    <v>1</v>
    <v>Powered by Refinitiv</v>
    <v>13</v>
    <v>MOLSON COORS BEVERAGE COMPANY (XNYS:TAP.A)</v>
    <v>2</v>
    <v>14</v>
    <v>Finance</v>
    <v>15</v>
    <v>68.599999999999994</v>
    <v>54.51</v>
    <v>0.85409999999999997</v>
    <v>1.01</v>
    <v>1.6833000000000001E-2</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five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61.01</v>
    <v>Beverages</v>
    <v>Stock</v>
    <v>45607.875006272654</v>
    <v>15</v>
    <v>61.01</v>
    <v>12342220000</v>
    <v>MOLSON COORS BEVERAGE COMPANY</v>
    <v>MOLSON COORS BEVERAGE COMPANY</v>
    <v>61.01</v>
    <v>60</v>
    <v>61.01</v>
    <v>207184600</v>
    <v>TAP.A</v>
    <v>MOLSON COORS BEVERAGE COMPANY (XNYS:TAP.A)</v>
    <v>32</v>
    <v>260</v>
    <v>2003</v>
  </rv>
  <rv s="2">
    <v>16</v>
  </rv>
  <rv s="6">
    <v>0</v>
    <v>5</v>
  </rv>
  <rv s="6">
    <v>1</v>
    <v>5</v>
  </rv>
  <rv s="6">
    <v>2</v>
    <v>5</v>
  </rv>
  <rv s="6">
    <v>3</v>
    <v>5</v>
  </rv>
  <rv s="6">
    <v>4</v>
    <v>5</v>
  </rv>
  <rv s="7">
    <v>12</v>
    <v>Price</v>
    <v>0</v>
  </rv>
  <rv s="8">
    <v>12</v>
    <v>1</v>
  </rv>
</rvData>
</file>

<file path=xl/richData/rdrichvaluestructure.xml><?xml version="1.0" encoding="utf-8"?>
<rvStructures xmlns="http://schemas.microsoft.com/office/spreadsheetml/2017/richdata" count="9">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Name" t="s"/>
    <k n="Official name" t="s"/>
    <k n="P/E"/>
    <k n="Previous clos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ocalImage">
    <k n="_rvRel:LocalImageIdentifier" t="i"/>
    <k n="CalcOrigin" t="i"/>
  </s>
  <s t="_error">
    <k n="errorType" t="i"/>
    <k n="field" t="s"/>
    <k n="subType" t="i"/>
  </s>
  <s t="_error">
    <k n="errorType" t="i"/>
    <k n="propagated" t="b"/>
  </s>
</rvStructures>
</file>

<file path=xl/richData/rdsupportingpropertybag.xml><?xml version="1.0" encoding="utf-8"?>
<supportingPropertyBags xmlns="http://schemas.microsoft.com/office/spreadsheetml/2017/richdata2">
  <spbArrays count="4">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v>
      <v t="s">Volume average</v>
      <v t="s">Beta</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16">
    <spb s="0">
      <v>0</v>
      <v>Name</v>
      <v>LearnMoreOnLink</v>
    </spb>
    <spb s="1">
      <v>0</v>
      <v>0</v>
      <v>0</v>
    </spb>
    <spb s="2">
      <v>1</v>
      <v>1</v>
      <v>1</v>
      <v>1</v>
    </spb>
    <spb s="3">
      <v>1</v>
      <v>2</v>
      <v>2</v>
      <v>1</v>
      <v>3</v>
      <v>1</v>
      <v>1</v>
      <v>1</v>
      <v>4</v>
      <v>4</v>
      <v>5</v>
      <v>6</v>
      <v>1</v>
      <v>1</v>
      <v>1</v>
      <v>4</v>
      <v>7</v>
      <v>8</v>
      <v>9</v>
      <v>4</v>
      <v>1</v>
      <v>1</v>
      <v>5</v>
    </spb>
    <spb s="4">
      <v>at close</v>
      <v>from previous close</v>
      <v>from previous close</v>
      <v>LSE</v>
      <v>GMT</v>
      <v>Delayed 15 minutes</v>
      <v>from close</v>
      <v>from close</v>
    </spb>
    <spb s="0">
      <v>1</v>
      <v>Name</v>
      <v>LearnMoreOnLink</v>
    </spb>
    <spb s="5">
      <v>2</v>
      <v>2</v>
      <v>3</v>
      <v>4</v>
      <v>4</v>
      <v>10</v>
      <v>10</v>
      <v>10</v>
      <v>4</v>
      <v>7</v>
      <v>8</v>
      <v>9</v>
      <v>4</v>
    </spb>
    <spb s="6">
      <v>GMT</v>
    </spb>
    <spb s="0">
      <v>2</v>
      <v>Name</v>
      <v>LearnMoreOnLink</v>
    </spb>
    <spb s="7">
      <v>11</v>
      <v>2</v>
      <v>2</v>
      <v>11</v>
      <v>3</v>
      <v>11</v>
      <v>11</v>
      <v>11</v>
      <v>4</v>
      <v>4</v>
      <v>5</v>
      <v>12</v>
      <v>11</v>
      <v>11</v>
      <v>11</v>
      <v>4</v>
      <v>7</v>
      <v>8</v>
      <v>9</v>
      <v>4</v>
    </spb>
    <spb s="8">
      <v>Delayed 15 minutes</v>
      <v>from previous close</v>
      <v>from previous close</v>
      <v>GMT</v>
    </spb>
    <spb s="7">
      <v>13</v>
      <v>2</v>
      <v>2</v>
      <v>13</v>
      <v>3</v>
      <v>13</v>
      <v>13</v>
      <v>13</v>
      <v>4</v>
      <v>4</v>
      <v>5</v>
      <v>14</v>
      <v>13</v>
      <v>13</v>
      <v>13</v>
      <v>4</v>
      <v>7</v>
      <v>8</v>
      <v>9</v>
      <v>4</v>
    </spb>
    <spb s="9">
      <v>Real-Time Nasdaq Last Sale</v>
      <v>from previous close</v>
      <v>from previous close</v>
      <v>Source: Nasdaq Last Sale</v>
      <v>GMT</v>
    </spb>
    <spb s="0">
      <v>3</v>
      <v>Name</v>
      <v>LearnMoreOnLink</v>
    </spb>
    <spb s="10">
      <v>13</v>
      <v>2</v>
      <v>13</v>
      <v>3</v>
      <v>13</v>
      <v>13</v>
      <v>13</v>
      <v>4</v>
      <v>4</v>
      <v>5</v>
      <v>14</v>
      <v>13</v>
      <v>13</v>
      <v>13</v>
      <v>4</v>
      <v>7</v>
      <v>8</v>
      <v>9</v>
      <v>4</v>
    </spb>
    <spb s="9">
      <v>Delayed 15 minutes</v>
      <v>from previous close</v>
      <v>from previous close</v>
      <v>Source: Nasdaq</v>
      <v>GMT</v>
    </spb>
  </spbData>
</supportingPropertyBags>
</file>

<file path=xl/richData/rdsupportingpropertybagstructure.xml><?xml version="1.0" encoding="utf-8"?>
<spbStructures xmlns="http://schemas.microsoft.com/office/spreadsheetml/2017/richdata2" count="11">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P/E" t="i"/>
    <k n="Beta" t="i"/>
    <k n="Name" t="i"/>
    <k n="Volume" t="i"/>
    <k n="Employees" t="i"/>
    <k n="52 week low" t="i"/>
    <k n="52 week high" t="i"/>
    <k n="Previous close" t="i"/>
    <k n="Volume average" t="i"/>
    <k n="Last trade time" t="i"/>
    <k n="Year incorporated" t="i"/>
    <k n="`%EntityServiceId" t="i"/>
    <k n="Shares outstanding" t="i"/>
  </s>
  <s>
    <k n="Last trade time"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Price" t="s"/>
    <k n="Change" t="s"/>
    <k n="Change (%)" t="s"/>
    <k n="ExchangeID"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4" formatCode="#,##0.00"/>
    </x:dxf>
    <x:dxf>
      <x:numFmt numFmtId="3" formatCode="#,##0"/>
    </x:dxf>
    <x:dxf>
      <x:numFmt numFmtId="14" formatCode="0.00%"/>
    </x:dxf>
    <x:dxf>
      <x:numFmt numFmtId="2" formatCode="0.00"/>
    </x:dxf>
    <x:dxf>
      <x:numFmt numFmtId="1" formatCode="0"/>
    </x:dxf>
    <x:dxf>
      <x:numFmt numFmtId="27" formatCode="yyyy/m/d\ h:mm"/>
    </x:dxf>
    <x:dxf>
      <x:numFmt numFmtId="0" formatCode="General"/>
    </x:dxf>
    <x:dxf>
      <x:numFmt numFmtId="35" formatCode="_ * #,##0.00_ ;_ * \-#,##0.00_ ;_ * &quot;-&quot;??_ ;_ @_ "/>
    </x:dxf>
  </dxfs>
  <richProperties>
    <rPr n="NumberFormat" t="s"/>
    <rPr n="IsTitleField" t="b"/>
  </richProperties>
  <richStyles>
    <rSty dxfid="7">
      <rpv i="0">_(* #,##0.00_);_(* (#,##0.00);_(* "-"??_);_(@_)</rpv>
    </rSty>
    <rSty dxfid="0">
      <rpv i="0">#,##0.00</rpv>
    </rSty>
    <rSty>
      <rpv i="1">1</rpv>
    </rSty>
    <rSty dxfid="1">
      <rpv i="0">#,##0</rpv>
    </rSty>
    <rSty dxfid="2"/>
    <rSty dxfid="6">
      <rpv i="0">_-[$£-en-GB]* #,##0_-;-[$£-en-GB]* #,##0_-;_-[$£-en-GB]* "-"_-;_-@_-</rpv>
    </rSty>
    <rSty dxfid="5"/>
    <rSty dxfid="4">
      <rpv i="0">0</rpv>
    </rSty>
    <rSty dxfid="3">
      <rpv i="0">0.00</rpv>
    </rSty>
    <rSty dxfid="6">
      <rpv i="0">_-* #,##0.00 [$CHF-fr-CH]_-;-* #,##0.00 [$CHF-fr-CH]_-;_-* "-"?? [$CHF-fr-CH]_-;_-@_-</rpv>
    </rSty>
    <rSty dxfid="6">
      <rpv i="0">_([$€-x-euro2] * #,##0.00_);_([$€-x-euro2] * (#,##0.00);_([$€-x-euro2] * "-"??_);_(@_)</rpv>
    </rSty>
    <rSty dxfid="6">
      <rpv i="0">_([$€-x-euro2] * #,##0_);_([$€-x-euro2] * (#,##0);_([$€-x-euro2] * "-"_);_(@_)</rpv>
    </rSty>
    <rSty dxfid="6">
      <rpv i="0">_([$$-en-US]* #,##0.00_);_([$$-en-US]* (#,##0.00);_([$$-en-US]* "-"??_);_(@_)</rpv>
    </rSty>
    <rSty dxfid="6">
      <rpv i="0">_([$$-en-US]* #,##0_);_([$$-en-US]* (#,##0);_([$$-en-US]* "-"_);_(@_)</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threadedComments/threadedComment2.xml><?xml version="1.0" encoding="utf-8"?>
<ThreadedComments xmlns="http://schemas.microsoft.com/office/spreadsheetml/2018/threadedcomments" xmlns:x="http://schemas.openxmlformats.org/spreadsheetml/2006/main">
  <threadedComment ref="L55" dT="2024-03-25T11:45:35.13" personId="{AABEDC03-73D3-48ED-A84C-14188250E2F5}" id="{3FB0ED04-16F8-4AAC-A05C-41CE4C673FB9}">
    <text xml:space="preserve">Germany
</text>
  </threadedComment>
  <threadedComment ref="K56" dT="2024-03-25T11:39:08.89" personId="{AABEDC03-73D3-48ED-A84C-14188250E2F5}" id="{EB9CBCBC-3942-4826-9DD4-5B32CF5C9720}">
    <text xml:space="preserve">India
</text>
  </threadedComment>
  <threadedComment ref="K57" dT="2024-03-25T11:40:11.90" personId="{AABEDC03-73D3-48ED-A84C-14188250E2F5}" id="{571B71A1-9970-4AC9-8B76-8ACFAB7AD471}">
    <text>South Africa</text>
  </threadedComment>
  <threadedComment ref="K58" dT="2024-03-25T11:46:02.46" personId="{AABEDC03-73D3-48ED-A84C-14188250E2F5}" id="{45C6094F-2246-414B-8148-38B4D063BD73}">
    <text xml:space="preserve">Brazil
</text>
  </threadedComment>
</ThreadedComments>
</file>

<file path=xl/threadedComments/threadedComment3.xml><?xml version="1.0" encoding="utf-8"?>
<ThreadedComments xmlns="http://schemas.microsoft.com/office/spreadsheetml/2018/threadedcomments" xmlns:x="http://schemas.openxmlformats.org/spreadsheetml/2006/main">
  <threadedComment ref="A49" dT="2024-03-25T12:42:05.61" personId="{AABEDC03-73D3-48ED-A84C-14188250E2F5}" id="{0BA17D87-186D-4C4D-A683-6BBE00960860}">
    <text>Current Port. of LT Debt/Capital Leases</text>
  </threadedComment>
  <threadedComment ref="B84" dT="2024-02-26T16:17:15.06" personId="{AABEDC03-73D3-48ED-A84C-14188250E2F5}" id="{347CAD59-EED7-424F-BBE5-92D060567FE2}">
    <text>https://www.diageo.com/en/investors/debt-investors</text>
    <extLst>
      <x:ext xmlns:xltc2="http://schemas.microsoft.com/office/spreadsheetml/2020/threadedcomments2" uri="{F7C98A9C-CBB3-438F-8F68-D28B6AF4A901}">
        <xltc2:checksum>61189770</xltc2:checksum>
        <xltc2:hyperlink startIndex="0" length="50" url="https://www.diageo.com/en/investors/debt-investors"/>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s://pages.stern.nyu.edu/~adamodar/New_Home_Page/datafile/margin.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S103"/>
  <sheetViews>
    <sheetView showGridLines="0" zoomScale="70" zoomScaleNormal="70" workbookViewId="0">
      <selection activeCell="C20" sqref="C20"/>
    </sheetView>
  </sheetViews>
  <sheetFormatPr defaultColWidth="11.42578125" defaultRowHeight="12.75"/>
  <cols>
    <col min="1" max="1" width="0.42578125" customWidth="1"/>
    <col min="2" max="2" width="21.140625" bestFit="1" customWidth="1"/>
    <col min="3" max="3" width="23.42578125" customWidth="1"/>
    <col min="4" max="4" width="32" customWidth="1"/>
    <col min="5" max="5" width="20.42578125" bestFit="1" customWidth="1"/>
    <col min="6" max="6" width="17" bestFit="1" customWidth="1"/>
    <col min="7" max="7" width="13.42578125" bestFit="1" customWidth="1"/>
    <col min="8" max="8" width="31.7109375" customWidth="1"/>
    <col min="9" max="9" width="21.85546875" customWidth="1"/>
    <col min="10" max="10" width="20.140625" customWidth="1"/>
    <col min="11" max="11" width="15.28515625" customWidth="1"/>
    <col min="12" max="12" width="20.85546875" bestFit="1" customWidth="1"/>
    <col min="13" max="13" width="31" customWidth="1"/>
  </cols>
  <sheetData>
    <row r="1" spans="2:17" ht="3.75" customHeight="1" thickBot="1"/>
    <row r="2" spans="2:17" ht="22.5" customHeight="1">
      <c r="B2" s="383">
        <v>45039</v>
      </c>
      <c r="C2" s="270" t="s">
        <v>0</v>
      </c>
      <c r="D2" s="384"/>
      <c r="E2" s="1018" t="e" vm="1">
        <f>Inputs!H3</f>
        <v>#VALUE!</v>
      </c>
      <c r="F2" s="1019"/>
      <c r="G2" s="1019"/>
      <c r="H2" s="1019"/>
      <c r="I2" s="1019"/>
      <c r="J2" s="1019"/>
      <c r="K2" s="1020"/>
      <c r="L2" s="271" t="s">
        <v>1</v>
      </c>
      <c r="M2" s="467" t="s">
        <v>2</v>
      </c>
    </row>
    <row r="3" spans="2:17" ht="26.25" customHeight="1">
      <c r="B3" s="1005"/>
      <c r="C3" s="1006"/>
      <c r="D3" s="1029" t="s">
        <v>3</v>
      </c>
      <c r="E3" s="1029"/>
      <c r="F3" s="1029"/>
      <c r="G3" s="1029"/>
      <c r="H3" s="1029" t="s">
        <v>4</v>
      </c>
      <c r="I3" s="1029"/>
      <c r="J3" s="1029"/>
      <c r="K3" s="1029"/>
      <c r="L3" s="1029"/>
      <c r="M3" s="1030"/>
    </row>
    <row r="4" spans="2:17" ht="15" customHeight="1">
      <c r="B4" s="1007"/>
      <c r="C4" s="1008"/>
      <c r="D4" s="1028" t="str" cm="1">
        <f t="array" aca="1" ref="D4" ca="1">_FV(Inputs!H3,"Description")</f>
        <v>Diageo plc is a United Kingdom-based international manufacturer and distributor of premium drinks. It also owns various investments in associates and joint ventures. The Company has a portfolio of approximately 200 brands and sales in 180 countries. Its segments include North America, Europe, Asia Pacific, Latin America and Caribbean, Africa, Supply Chain and Procurement (SC&amp;P), and Corporate and other. The C&amp;P segment manufactures products and includes production sites in the United Kingdom, Ireland, Italy, Guatemala and Mexico, as well as comprises the global procurement function. Its principal products include scotch whisky, other whisk(e)y, vodka, tequila, gin, rum, liqueurs, beer, wine, and no and low alcohol. The Company’s collection of brands includes Johnnie Walker, Crown Royal, J&amp;B and Buchanan's whiskies, Smirnoff, Ciroc and Ketel One vodkas, Captain Morgan, Baileys, Don Julio, and Tanqueray, among others. It also offers Ritual Zero Proof Non-Alcoholic Spirits (Ritual).</v>
      </c>
      <c r="E4" s="1028"/>
      <c r="F4" s="1028"/>
      <c r="G4" s="1028"/>
      <c r="H4" s="113" t="s">
        <v>5</v>
      </c>
      <c r="I4" s="114" t="s">
        <v>6</v>
      </c>
      <c r="J4" s="114" t="s">
        <v>7</v>
      </c>
      <c r="K4" s="1023" t="s">
        <v>8</v>
      </c>
      <c r="L4" s="1024"/>
      <c r="M4" s="1034"/>
    </row>
    <row r="5" spans="2:17" ht="15" customHeight="1">
      <c r="B5" s="1007"/>
      <c r="C5" s="1008"/>
      <c r="D5" s="1028"/>
      <c r="E5" s="1028"/>
      <c r="F5" s="1028"/>
      <c r="G5" s="1028"/>
      <c r="H5" s="710" t="s">
        <v>9</v>
      </c>
      <c r="I5" s="708">
        <v>42736</v>
      </c>
      <c r="J5" s="374" t="s">
        <v>10</v>
      </c>
      <c r="K5" s="1013" t="s">
        <v>11</v>
      </c>
      <c r="L5" s="1014"/>
      <c r="M5" s="1015"/>
    </row>
    <row r="6" spans="2:17" ht="15" customHeight="1">
      <c r="B6" s="1007"/>
      <c r="C6" s="1008"/>
      <c r="D6" s="1028"/>
      <c r="E6" s="1028"/>
      <c r="F6" s="1028"/>
      <c r="G6" s="1028"/>
      <c r="H6" s="710" t="s">
        <v>12</v>
      </c>
      <c r="I6" s="708">
        <v>45078</v>
      </c>
      <c r="J6" s="374" t="s">
        <v>10</v>
      </c>
      <c r="K6" s="1013" t="s">
        <v>13</v>
      </c>
      <c r="L6" s="1014"/>
      <c r="M6" s="1015"/>
    </row>
    <row r="7" spans="2:17" ht="15" customHeight="1">
      <c r="B7" s="1007"/>
      <c r="C7" s="1008"/>
      <c r="D7" s="1028"/>
      <c r="E7" s="1028"/>
      <c r="F7" s="1028"/>
      <c r="G7" s="1028"/>
      <c r="H7" s="710" t="s">
        <v>14</v>
      </c>
      <c r="I7" s="708">
        <v>44378</v>
      </c>
      <c r="J7" s="374" t="s">
        <v>10</v>
      </c>
      <c r="K7" s="1013" t="s">
        <v>15</v>
      </c>
      <c r="L7" s="1014"/>
      <c r="M7" s="1015"/>
    </row>
    <row r="8" spans="2:17" ht="18.75" customHeight="1">
      <c r="B8" s="1007"/>
      <c r="C8" s="1008"/>
      <c r="D8" s="1028"/>
      <c r="E8" s="1028"/>
      <c r="F8" s="1028"/>
      <c r="G8" s="1028"/>
      <c r="H8" s="115" t="s">
        <v>16</v>
      </c>
      <c r="I8" s="708">
        <v>43739</v>
      </c>
      <c r="J8" s="374" t="s">
        <v>10</v>
      </c>
      <c r="K8" s="1013" t="s">
        <v>17</v>
      </c>
      <c r="L8" s="1014"/>
      <c r="M8" s="1015"/>
      <c r="P8" t="str" cm="1">
        <f t="array" aca="1" ref="P8" ca="1">_FV(E2,"Currency")</f>
        <v>GBp</v>
      </c>
    </row>
    <row r="9" spans="2:17" ht="18.75" customHeight="1">
      <c r="B9" s="1007"/>
      <c r="C9" s="1008"/>
      <c r="D9" s="1028"/>
      <c r="E9" s="1028"/>
      <c r="F9" s="1028"/>
      <c r="G9" s="1028"/>
      <c r="H9" s="115" t="s">
        <v>18</v>
      </c>
      <c r="I9" s="708">
        <v>43983</v>
      </c>
      <c r="J9" s="374" t="s">
        <v>19</v>
      </c>
      <c r="K9" s="1013" t="s">
        <v>20</v>
      </c>
      <c r="L9" s="1014"/>
      <c r="M9" s="1015"/>
    </row>
    <row r="10" spans="2:17" ht="18.75" customHeight="1">
      <c r="B10" s="1007"/>
      <c r="C10" s="1008"/>
      <c r="D10" s="1028"/>
      <c r="E10" s="1028"/>
      <c r="F10" s="1028"/>
      <c r="G10" s="1028"/>
      <c r="H10" s="115" t="s">
        <v>21</v>
      </c>
      <c r="I10" s="708">
        <v>44713</v>
      </c>
      <c r="J10" s="374" t="s">
        <v>19</v>
      </c>
      <c r="K10" s="1013" t="s">
        <v>20</v>
      </c>
      <c r="L10" s="1014"/>
      <c r="M10" s="1015"/>
    </row>
    <row r="11" spans="2:17" ht="18.75" customHeight="1">
      <c r="B11" s="1007"/>
      <c r="C11" s="1008"/>
      <c r="D11" s="1028"/>
      <c r="E11" s="1028"/>
      <c r="F11" s="1028"/>
      <c r="G11" s="1028"/>
      <c r="H11" s="115" t="s">
        <v>22</v>
      </c>
      <c r="I11" s="709">
        <v>45312</v>
      </c>
      <c r="J11" s="374" t="s">
        <v>19</v>
      </c>
      <c r="K11" s="1013" t="s">
        <v>20</v>
      </c>
      <c r="L11" s="1014"/>
      <c r="M11" s="1015"/>
    </row>
    <row r="12" spans="2:17" ht="15" customHeight="1">
      <c r="B12" s="1007"/>
      <c r="C12" s="1008"/>
      <c r="D12" s="1028"/>
      <c r="E12" s="1028"/>
      <c r="F12" s="1028"/>
      <c r="G12" s="1028"/>
      <c r="H12" s="115" t="s">
        <v>23</v>
      </c>
      <c r="I12" s="708">
        <v>44105</v>
      </c>
      <c r="J12" s="374" t="s">
        <v>19</v>
      </c>
      <c r="K12" s="1013" t="s">
        <v>20</v>
      </c>
      <c r="L12" s="1014"/>
      <c r="M12" s="1015"/>
      <c r="P12" s="385"/>
    </row>
    <row r="13" spans="2:17" ht="15" customHeight="1">
      <c r="B13" s="1007"/>
      <c r="C13" s="1008"/>
      <c r="D13" s="1028"/>
      <c r="E13" s="1028"/>
      <c r="F13" s="1028"/>
      <c r="G13" s="1028"/>
      <c r="H13" s="115" t="s">
        <v>24</v>
      </c>
      <c r="I13" s="708">
        <v>41883</v>
      </c>
      <c r="J13" s="374" t="s">
        <v>19</v>
      </c>
      <c r="K13" s="1013" t="s">
        <v>25</v>
      </c>
      <c r="L13" s="1014"/>
      <c r="M13" s="1015"/>
    </row>
    <row r="14" spans="2:17" ht="15" customHeight="1">
      <c r="B14" s="1007"/>
      <c r="C14" s="1008"/>
      <c r="D14" s="1028"/>
      <c r="E14" s="1028"/>
      <c r="F14" s="1028"/>
      <c r="G14" s="1028"/>
      <c r="H14" s="115" t="s">
        <v>26</v>
      </c>
      <c r="I14" s="708">
        <v>44105</v>
      </c>
      <c r="J14" s="374" t="s">
        <v>19</v>
      </c>
      <c r="K14" s="1013" t="s">
        <v>20</v>
      </c>
      <c r="L14" s="1014"/>
      <c r="M14" s="1015"/>
      <c r="Q14" s="272"/>
    </row>
    <row r="15" spans="2:17" ht="15" customHeight="1">
      <c r="B15" s="1007"/>
      <c r="C15" s="1008"/>
      <c r="D15" s="1028"/>
      <c r="E15" s="1028"/>
      <c r="F15" s="1028"/>
      <c r="G15" s="1028"/>
      <c r="H15" s="115" t="s">
        <v>27</v>
      </c>
      <c r="I15" s="708">
        <v>41883</v>
      </c>
      <c r="J15" s="374" t="s">
        <v>19</v>
      </c>
      <c r="K15" s="1013" t="s">
        <v>20</v>
      </c>
      <c r="L15" s="1014"/>
      <c r="M15" s="1015"/>
    </row>
    <row r="16" spans="2:17" ht="15" customHeight="1">
      <c r="B16" s="1009"/>
      <c r="C16" s="1010"/>
      <c r="D16" s="1028"/>
      <c r="E16" s="1028"/>
      <c r="F16" s="1028"/>
      <c r="G16" s="1028"/>
      <c r="H16" s="115"/>
      <c r="I16" s="374"/>
      <c r="J16" s="374"/>
      <c r="K16" s="1013"/>
      <c r="L16" s="1014"/>
      <c r="M16" s="1015"/>
    </row>
    <row r="17" spans="2:14" ht="15" customHeight="1">
      <c r="B17" s="1003" t="s">
        <v>28</v>
      </c>
      <c r="C17" s="1004"/>
      <c r="D17" s="1028"/>
      <c r="E17" s="1028"/>
      <c r="F17" s="1028"/>
      <c r="G17" s="1028"/>
      <c r="H17" s="115"/>
      <c r="I17" s="374"/>
      <c r="J17" s="374"/>
      <c r="K17" s="1013"/>
      <c r="L17" s="1014"/>
      <c r="M17" s="1015"/>
    </row>
    <row r="18" spans="2:14" ht="18">
      <c r="B18" s="938" t="s">
        <v>29</v>
      </c>
      <c r="C18" s="939"/>
      <c r="D18" s="939"/>
      <c r="E18" s="939"/>
      <c r="F18" s="939"/>
      <c r="G18" s="939"/>
      <c r="H18" s="939"/>
      <c r="I18" s="939"/>
      <c r="J18" s="939"/>
      <c r="K18" s="939"/>
      <c r="L18" s="939"/>
      <c r="M18" s="940"/>
    </row>
    <row r="19" spans="2:14" ht="15.75">
      <c r="B19" s="893" t="s">
        <v>30</v>
      </c>
      <c r="C19" s="894"/>
      <c r="D19" s="1011" t="s">
        <v>31</v>
      </c>
      <c r="E19" s="1016"/>
      <c r="F19" s="1031" t="s">
        <v>32</v>
      </c>
      <c r="G19" s="1032"/>
      <c r="H19" s="1033"/>
      <c r="I19" s="1011" t="s">
        <v>33</v>
      </c>
      <c r="J19" s="1017"/>
      <c r="K19" s="1016"/>
      <c r="L19" s="1011" t="s">
        <v>34</v>
      </c>
      <c r="M19" s="1012"/>
    </row>
    <row r="20" spans="2:14">
      <c r="B20" s="466" t="s">
        <v>35</v>
      </c>
      <c r="C20" s="855" cm="1">
        <f t="array" aca="1" ref="C20" ca="1">_FV(E2,"Price")</f>
        <v>2344.5</v>
      </c>
      <c r="D20" s="12" t="s">
        <v>36</v>
      </c>
      <c r="E20" s="125">
        <f>_xlfn.XLOOKUP(D20,'Fin. Data'!A:A,'Fin. Data'!B:B,,0)</f>
        <v>35330</v>
      </c>
      <c r="F20" s="1021" t="s">
        <v>37</v>
      </c>
      <c r="G20" s="1022"/>
      <c r="H20" s="107" t="s">
        <v>38</v>
      </c>
      <c r="I20" t="s">
        <v>39</v>
      </c>
      <c r="J20" s="965">
        <v>2023</v>
      </c>
      <c r="K20" s="966"/>
      <c r="L20" s="11" t="s">
        <v>40</v>
      </c>
      <c r="M20" s="464">
        <f>Inputs!B82</f>
        <v>0.98672566371681425</v>
      </c>
    </row>
    <row r="21" spans="2:14" ht="12.75" customHeight="1">
      <c r="B21" s="466" t="s">
        <v>41</v>
      </c>
      <c r="C21" s="855" cm="1">
        <f t="array" aca="1" ref="C21" ca="1">_FV(E2,"Shares outstanding",TRUE)</f>
        <v>2225121000</v>
      </c>
      <c r="D21" s="11" t="s">
        <v>42</v>
      </c>
      <c r="E21" s="125">
        <f>_xlfn.XLOOKUP(D21,'Fin. Data'!A:A,'Fin. Data'!B:B,,0)</f>
        <v>27572</v>
      </c>
      <c r="F21" s="969" t="str">
        <f>Segments!C5</f>
        <v>Great Britain</v>
      </c>
      <c r="G21" s="970"/>
      <c r="H21" s="16">
        <f>Segments!B5</f>
        <v>9.0920688921964699E-2</v>
      </c>
      <c r="I21" s="11" t="s">
        <v>43</v>
      </c>
      <c r="J21" s="1025">
        <v>45291</v>
      </c>
      <c r="K21" s="1026"/>
      <c r="L21" s="11" t="s">
        <v>44</v>
      </c>
      <c r="M21" s="464">
        <f>100%-M20</f>
        <v>1.327433628318575E-2</v>
      </c>
      <c r="N21" s="10"/>
    </row>
    <row r="22" spans="2:14" ht="12.75" customHeight="1">
      <c r="B22" s="466" t="s">
        <v>45</v>
      </c>
      <c r="C22" s="53">
        <f ca="1">C20*C21/1000000</f>
        <v>5216796.1845000004</v>
      </c>
      <c r="D22" s="11" t="s">
        <v>46</v>
      </c>
      <c r="E22" s="367">
        <f ca="1">_xlfn.XLOOKUP("Cash &amp; Eq.",'Fin. Data'!A:A,'Fin. Data'!B:B,,0)*1000000/C21</f>
        <v>0.64131343868490742</v>
      </c>
      <c r="F22" s="969" t="str">
        <f>Segments!C6</f>
        <v>India</v>
      </c>
      <c r="G22" s="970"/>
      <c r="H22" s="16">
        <f>Segments!B6</f>
        <v>0.116989155857963</v>
      </c>
      <c r="I22" s="999" t="s">
        <v>47</v>
      </c>
      <c r="J22" s="999"/>
      <c r="K22" s="125">
        <f>_xlfn.XLOOKUP(I22,'Fin. Data'!A:A,'Fin. Data'!B:B,,0)</f>
        <v>5000</v>
      </c>
      <c r="L22" s="7" t="s">
        <v>48</v>
      </c>
      <c r="M22" s="465" cm="1">
        <f t="array" aca="1" ref="M22" ca="1">_FV(E2,"Beta")</f>
        <v>0.54510000000000003</v>
      </c>
    </row>
    <row r="23" spans="2:14" ht="12.75" customHeight="1">
      <c r="B23" s="463" t="s">
        <v>49</v>
      </c>
      <c r="C23" s="53">
        <f>'Fin. Data'!B58</f>
        <v>16366</v>
      </c>
      <c r="D23" s="11" t="s">
        <v>50</v>
      </c>
      <c r="E23" s="367">
        <f>_xlfn.XLOOKUP("EBITDA",'Fin. Data'!A:A,'Fin. Data'!B:B,,0)/_xlfn.XLOOKUP("Net Financial Cost",'Fin. Data'!A:A,'Fin. Data'!B:B,,0)</f>
        <v>-8.4175084175084169</v>
      </c>
      <c r="F23" s="969" t="e">
        <f>Segments!#REF!</f>
        <v>#REF!</v>
      </c>
      <c r="G23" s="970"/>
      <c r="H23" s="16" t="e">
        <f>Segments!#REF!</f>
        <v>#REF!</v>
      </c>
      <c r="I23" s="1027" t="s">
        <v>51</v>
      </c>
      <c r="J23" s="1027"/>
      <c r="K23" s="125">
        <f>_xlfn.XLOOKUP(I23,'Fin. Data'!A:A,'Fin. Data'!B:B,,0)</f>
        <v>1066</v>
      </c>
      <c r="L23" s="11" t="s">
        <v>52</v>
      </c>
      <c r="M23" s="462" t="s">
        <v>53</v>
      </c>
      <c r="N23" s="10"/>
    </row>
    <row r="24" spans="2:14" ht="12.75" customHeight="1">
      <c r="B24" s="463" t="s">
        <v>54</v>
      </c>
      <c r="C24" s="53">
        <f>'Fin. Data'!B39</f>
        <v>1427</v>
      </c>
      <c r="D24" s="11" t="s">
        <v>55</v>
      </c>
      <c r="E24" s="367">
        <f>_xlfn.XLOOKUP("Total Debt",'Fin. Data'!A:A,'Fin. Data'!B:B,,0)/_xlfn.XLOOKUP("EBITDA",'Fin. Data'!A:A,'Fin. Data'!B:B,,0)</f>
        <v>3.2732000000000001</v>
      </c>
      <c r="F24" s="969" t="str">
        <f>Segments!C7</f>
        <v>United States</v>
      </c>
      <c r="G24" s="970"/>
      <c r="H24" s="42">
        <f>Segments!B7</f>
        <v>0.29649160110567724</v>
      </c>
      <c r="I24" s="1027" t="s">
        <v>56</v>
      </c>
      <c r="J24" s="1027"/>
      <c r="K24" s="125">
        <f>_xlfn.XLOOKUP(I24,'Fin. Data'!A:A,'Fin. Data'!B:B,,0)</f>
        <v>3934</v>
      </c>
      <c r="L24" s="11" t="s">
        <v>57</v>
      </c>
      <c r="M24" s="461">
        <f ca="1">IFERROR((C20*C21/(E20-E21))/1000000,"")</f>
        <v>672.44085904872395</v>
      </c>
    </row>
    <row r="25" spans="2:14" ht="12.75" customHeight="1">
      <c r="B25" s="463" t="s">
        <v>58</v>
      </c>
      <c r="C25" s="53">
        <f ca="1">C22+C23-C24</f>
        <v>5231735.1845000004</v>
      </c>
      <c r="D25" s="11" t="s">
        <v>59</v>
      </c>
      <c r="E25" s="367">
        <f>_xlfn.XLOOKUP("Other Assets",'Fin. Data'!A:A,'Fin. Data'!B:B,,0)/_xlfn.XLOOKUP("Total Assets",'Fin. Data'!A:A,'Fin. Data'!B:B,,0)</f>
        <v>0.37124257005377864</v>
      </c>
      <c r="F25" s="969" t="e">
        <f>Segments!#REF!</f>
        <v>#REF!</v>
      </c>
      <c r="G25" s="970"/>
      <c r="H25" s="42" t="e">
        <f>Segments!#REF!</f>
        <v>#REF!</v>
      </c>
      <c r="I25" s="999" t="s">
        <v>60</v>
      </c>
      <c r="J25" s="999"/>
      <c r="K25" s="125">
        <f>_xlfn.XLOOKUP(I25,'Fin. Data'!A:A,'Fin. Data'!B:B,,0)</f>
        <v>3766</v>
      </c>
      <c r="L25" s="11" t="s">
        <v>61</v>
      </c>
      <c r="M25" s="460">
        <f>IFERROR(K31/E20,"")</f>
        <v>9.3433342768185684E-2</v>
      </c>
    </row>
    <row r="26" spans="2:14" ht="12.75" customHeight="1">
      <c r="B26" s="463" t="s">
        <v>62</v>
      </c>
      <c r="C26" s="127" t="s">
        <v>20</v>
      </c>
      <c r="D26" s="11" t="s">
        <v>63</v>
      </c>
      <c r="E26" s="367">
        <f>_xlfn.XLOOKUP(D26,'Fin. Data'!A:A,'Fin. Data'!B:B,,0)</f>
        <v>0.46323238041324655</v>
      </c>
      <c r="F26" s="1023" t="s">
        <v>64</v>
      </c>
      <c r="G26" s="1024"/>
      <c r="H26" s="108" t="s">
        <v>38</v>
      </c>
      <c r="I26" s="999" t="s">
        <v>65</v>
      </c>
      <c r="J26" s="999"/>
      <c r="K26" s="71">
        <f ca="1">1000000*K25/C21</f>
        <v>1.6924922285125168</v>
      </c>
      <c r="L26" s="11" t="s">
        <v>66</v>
      </c>
      <c r="M26" s="459">
        <f ca="1">IFERROR(C22/K30,"")</f>
        <v>1580.3684291123902</v>
      </c>
    </row>
    <row r="27" spans="2:14" ht="12.75" customHeight="1">
      <c r="B27" s="466" t="s">
        <v>67</v>
      </c>
      <c r="C27" s="128" t="s">
        <v>20</v>
      </c>
      <c r="D27" s="11" t="s">
        <v>68</v>
      </c>
      <c r="E27" s="126">
        <f>AVERAGE(_xlfn.XLOOKUP("EBITDA Margin",'Fin. Data'!A:A,'Fin. Data'!B:D,,0))</f>
        <v>0.3020008883378984</v>
      </c>
      <c r="F27" s="969">
        <f>Segments!C12</f>
        <v>0</v>
      </c>
      <c r="G27" s="970"/>
      <c r="H27" s="16">
        <f>Segments!B12</f>
        <v>0</v>
      </c>
      <c r="I27" s="999" t="s">
        <v>69</v>
      </c>
      <c r="J27" s="999"/>
      <c r="K27" s="72">
        <f>K25/E20</f>
        <v>0.106594961788848</v>
      </c>
      <c r="L27" s="11" t="s">
        <v>70</v>
      </c>
      <c r="M27" s="458">
        <f ca="1">IFERROR(C25/E20,"")</f>
        <v>148.0819469148033</v>
      </c>
    </row>
    <row r="28" spans="2:14" ht="12.75" customHeight="1">
      <c r="B28" s="466" t="s">
        <v>71</v>
      </c>
      <c r="C28" s="17"/>
      <c r="D28" s="11" t="s">
        <v>72</v>
      </c>
      <c r="E28" s="126">
        <f>AVERAGE(_xlfn.XLOOKUP("Operating Margin",'Fin. Data'!A:A,'Fin. Data'!B:D,,0))</f>
        <v>0.28300826430338705</v>
      </c>
      <c r="F28" s="969" t="str">
        <f>Segments!C14</f>
        <v>Spirits</v>
      </c>
      <c r="G28" s="970"/>
      <c r="H28" s="16">
        <f>Segments!B14</f>
        <v>0.80816500106315114</v>
      </c>
      <c r="I28" s="999" t="s">
        <v>73</v>
      </c>
      <c r="J28" s="999"/>
      <c r="K28" s="72">
        <f>Peers!C38</f>
        <v>0.16570819049708621</v>
      </c>
      <c r="L28" s="11" t="s">
        <v>74</v>
      </c>
      <c r="M28" s="458">
        <f ca="1">IFERROR(C25/K29,"")</f>
        <v>1148.4016648496379</v>
      </c>
    </row>
    <row r="29" spans="2:14" ht="15.75">
      <c r="B29" s="893" t="s">
        <v>75</v>
      </c>
      <c r="C29" s="894"/>
      <c r="D29" s="11" t="s">
        <v>76</v>
      </c>
      <c r="E29" s="126">
        <f>AVERAGE(_xlfn.XLOOKUP("Net Income Margin",'Fin. Data'!A:A,'Fin. Data'!B:D,,0))</f>
        <v>0.21863764671760855</v>
      </c>
      <c r="F29" s="969" t="str">
        <f>Segments!C15</f>
        <v>Beer</v>
      </c>
      <c r="G29" s="970"/>
      <c r="H29" s="16">
        <f>Segments!B15</f>
        <v>0.14267488836912609</v>
      </c>
      <c r="I29" s="998" t="s">
        <v>77</v>
      </c>
      <c r="J29" s="998"/>
      <c r="K29" s="676">
        <f>AVERAGE(_xlfn.XLOOKUP("EBITDA",'Fin. Data'!A:A,'Fin. Data'!B:D,,0))</f>
        <v>4555.666666666667</v>
      </c>
      <c r="L29" s="11" t="s">
        <v>78</v>
      </c>
      <c r="M29" s="459">
        <f ca="1">IFERROR(C22/K31,"")</f>
        <v>1580.3684291123902</v>
      </c>
    </row>
    <row r="30" spans="2:14" ht="12.75" customHeight="1">
      <c r="B30" s="8" t="s">
        <v>79</v>
      </c>
      <c r="C30" s="819"/>
      <c r="D30" s="646"/>
      <c r="E30" s="133"/>
      <c r="F30" s="969" t="str">
        <f>Segments!C16</f>
        <v>Ready to drink</v>
      </c>
      <c r="G30" s="970"/>
      <c r="H30" s="16">
        <f>Segments!B16</f>
        <v>3.8230916436317243E-2</v>
      </c>
      <c r="I30" s="999" t="s">
        <v>80</v>
      </c>
      <c r="J30" s="999"/>
      <c r="K30" s="125">
        <f>AVERAGE(_xlfn.XLOOKUP("Net Income",'Fin. Data'!A:A,'Fin. Data'!B:D,,0))</f>
        <v>3301</v>
      </c>
      <c r="L30" s="11" t="s">
        <v>81</v>
      </c>
      <c r="M30" s="457" t="s">
        <v>20</v>
      </c>
    </row>
    <row r="31" spans="2:14" ht="12.75" customHeight="1">
      <c r="B31" s="8" t="s">
        <v>82</v>
      </c>
      <c r="C31" s="819"/>
      <c r="D31" s="11" t="s">
        <v>83</v>
      </c>
      <c r="E31" s="515">
        <f>-_xlfn.XLOOKUP("Net Financial Cost",'Fin. Data'!A:A,'Fin. Data'!B:B,,0)/AVERAGE(_xlfn.XLOOKUP("Net Debt",'Fin. Data'!A:A,'Fin. Data'!B:D,,0))</f>
        <v>3.9231226471170992E-2</v>
      </c>
      <c r="F31" s="969" t="str">
        <f>Segments!C17</f>
        <v>Other</v>
      </c>
      <c r="G31" s="970"/>
      <c r="H31" s="16">
        <f>Segments!B17</f>
        <v>1.0929194131405485E-2</v>
      </c>
      <c r="I31" s="999" t="s">
        <v>84</v>
      </c>
      <c r="J31" s="999"/>
      <c r="K31" s="125">
        <f>AVERAGE(_xlfn.XLOOKUP("Net Income",'Fin. Data'!A:A,'Fin. Data'!B:D,,0))</f>
        <v>3301</v>
      </c>
      <c r="L31" s="11" t="s">
        <v>85</v>
      </c>
      <c r="M31" s="456">
        <f ca="1">-IFERROR(SUM(E52:E54)/(3*C22),"")</f>
        <v>5.6957052341083912E-4</v>
      </c>
    </row>
    <row r="32" spans="2:14" ht="12.6" customHeight="1">
      <c r="B32" s="8" t="s">
        <v>86</v>
      </c>
      <c r="C32" s="818"/>
      <c r="D32" s="130"/>
      <c r="E32" s="132"/>
      <c r="F32" s="967"/>
      <c r="G32" s="968"/>
      <c r="H32" s="18"/>
      <c r="I32" s="130"/>
      <c r="J32" s="131"/>
      <c r="K32" s="131"/>
      <c r="L32" s="11" t="s">
        <v>87</v>
      </c>
      <c r="M32" s="455">
        <f ca="1">-IFERROR(L53/C22,"")</f>
        <v>3.3756350405872367E-4</v>
      </c>
    </row>
    <row r="33" spans="1:19" ht="18.75" thickBot="1">
      <c r="B33" s="938" t="s">
        <v>88</v>
      </c>
      <c r="C33" s="939"/>
      <c r="D33" s="939"/>
      <c r="E33" s="939"/>
      <c r="F33" s="939"/>
      <c r="G33" s="939"/>
      <c r="H33" s="939"/>
      <c r="I33" s="939"/>
      <c r="J33" s="939"/>
      <c r="K33" s="939"/>
      <c r="L33" s="939"/>
      <c r="M33" s="940"/>
    </row>
    <row r="34" spans="1:19" ht="16.5" thickBot="1">
      <c r="B34" s="990" t="s">
        <v>89</v>
      </c>
      <c r="C34" s="991"/>
      <c r="D34" s="991"/>
      <c r="E34" s="991"/>
      <c r="F34" s="991"/>
      <c r="G34" s="991"/>
      <c r="H34" s="520" t="s">
        <v>90</v>
      </c>
      <c r="I34" s="1000" t="s">
        <v>91</v>
      </c>
      <c r="J34" s="1001"/>
      <c r="K34" s="1001"/>
      <c r="L34" s="1001"/>
      <c r="M34" s="1002"/>
      <c r="N34" s="10"/>
    </row>
    <row r="35" spans="1:19" ht="13.35" customHeight="1" thickBot="1">
      <c r="A35" s="10"/>
      <c r="B35" s="521" t="s">
        <v>92</v>
      </c>
      <c r="C35" s="935" t="s">
        <v>93</v>
      </c>
      <c r="D35" s="936"/>
      <c r="E35" s="936"/>
      <c r="F35" s="936"/>
      <c r="G35" s="937"/>
      <c r="H35" s="971" t="s">
        <v>94</v>
      </c>
      <c r="I35" s="979" t="s">
        <v>95</v>
      </c>
      <c r="J35" s="980"/>
      <c r="K35" s="980"/>
      <c r="L35" s="980"/>
      <c r="M35" s="981"/>
    </row>
    <row r="36" spans="1:19" ht="24.6" customHeight="1">
      <c r="A36" s="10"/>
      <c r="B36" s="828" t="s">
        <v>96</v>
      </c>
      <c r="C36" s="941" t="s">
        <v>97</v>
      </c>
      <c r="D36" s="942"/>
      <c r="E36" s="942"/>
      <c r="F36" s="942"/>
      <c r="G36" s="943"/>
      <c r="H36" s="971"/>
      <c r="I36" s="982"/>
      <c r="J36" s="983"/>
      <c r="K36" s="983"/>
      <c r="L36" s="983"/>
      <c r="M36" s="984"/>
    </row>
    <row r="37" spans="1:19" ht="24.6" customHeight="1" thickBot="1">
      <c r="A37" s="10"/>
      <c r="B37" s="828" t="s">
        <v>98</v>
      </c>
      <c r="C37" s="941" t="s">
        <v>99</v>
      </c>
      <c r="D37" s="942"/>
      <c r="E37" s="942"/>
      <c r="F37" s="942"/>
      <c r="G37" s="943"/>
      <c r="H37" s="971"/>
      <c r="I37" s="982"/>
      <c r="J37" s="983"/>
      <c r="K37" s="983"/>
      <c r="L37" s="983"/>
      <c r="M37" s="984"/>
    </row>
    <row r="38" spans="1:19" ht="24.6" customHeight="1" thickBot="1">
      <c r="B38" s="828" t="s">
        <v>100</v>
      </c>
      <c r="C38" s="973" t="s">
        <v>101</v>
      </c>
      <c r="D38" s="974"/>
      <c r="E38" s="974"/>
      <c r="F38" s="974"/>
      <c r="G38" s="975"/>
      <c r="H38" s="972"/>
      <c r="I38" s="985"/>
      <c r="J38" s="986"/>
      <c r="K38" s="986"/>
      <c r="L38" s="986"/>
      <c r="M38" s="987"/>
    </row>
    <row r="39" spans="1:19" ht="16.5" thickBot="1">
      <c r="B39" s="929" t="s">
        <v>102</v>
      </c>
      <c r="C39" s="930"/>
      <c r="D39" s="930"/>
      <c r="E39" s="930"/>
      <c r="F39" s="930"/>
      <c r="G39" s="931"/>
      <c r="H39" s="522" t="s">
        <v>103</v>
      </c>
      <c r="I39" s="988" t="s">
        <v>104</v>
      </c>
      <c r="J39" s="988"/>
      <c r="K39" s="988"/>
      <c r="L39" s="988"/>
      <c r="M39" s="989"/>
    </row>
    <row r="40" spans="1:19" ht="13.35" customHeight="1" thickBot="1">
      <c r="B40" s="523" t="s">
        <v>105</v>
      </c>
      <c r="C40" s="932" t="s">
        <v>93</v>
      </c>
      <c r="D40" s="933"/>
      <c r="E40" s="933"/>
      <c r="F40" s="933"/>
      <c r="G40" s="934"/>
      <c r="H40" s="962">
        <f ca="1">DCF!D76</f>
        <v>22.311388942686872</v>
      </c>
      <c r="I40" s="945" t="s">
        <v>106</v>
      </c>
      <c r="J40" s="947">
        <f>DCF!F50</f>
        <v>8.7999999999999995E-2</v>
      </c>
      <c r="K40" s="948"/>
      <c r="L40" s="953" t="s">
        <v>107</v>
      </c>
      <c r="M40" s="957" t="e">
        <f>#REF!</f>
        <v>#REF!</v>
      </c>
    </row>
    <row r="41" spans="1:19" ht="13.35" customHeight="1">
      <c r="B41" s="828" t="s">
        <v>108</v>
      </c>
      <c r="C41" s="976" t="s">
        <v>109</v>
      </c>
      <c r="D41" s="977"/>
      <c r="E41" s="977"/>
      <c r="F41" s="977"/>
      <c r="G41" s="978"/>
      <c r="H41" s="963"/>
      <c r="I41" s="946"/>
      <c r="J41" s="949"/>
      <c r="K41" s="950"/>
      <c r="L41" s="954"/>
      <c r="M41" s="958"/>
    </row>
    <row r="42" spans="1:19" ht="13.35" customHeight="1" thickBot="1">
      <c r="B42" s="882" t="s">
        <v>110</v>
      </c>
      <c r="C42" s="995" t="s">
        <v>111</v>
      </c>
      <c r="D42" s="996"/>
      <c r="E42" s="996"/>
      <c r="F42" s="996"/>
      <c r="G42" s="997"/>
      <c r="H42" s="963"/>
      <c r="I42" s="945" t="s">
        <v>112</v>
      </c>
      <c r="J42" s="951">
        <f ca="1">DCF!D75</f>
        <v>-0.99048351932493628</v>
      </c>
      <c r="K42" s="952"/>
      <c r="L42" s="955" t="s">
        <v>113</v>
      </c>
      <c r="M42" s="959" t="e">
        <f>#REF!</f>
        <v>#REF!</v>
      </c>
    </row>
    <row r="43" spans="1:19" ht="12.75" customHeight="1" thickBot="1">
      <c r="B43" s="883" t="s">
        <v>114</v>
      </c>
      <c r="C43" s="992" t="s">
        <v>115</v>
      </c>
      <c r="D43" s="993"/>
      <c r="E43" s="993"/>
      <c r="F43" s="993"/>
      <c r="G43" s="994"/>
      <c r="H43" s="964"/>
      <c r="I43" s="946"/>
      <c r="J43" s="949"/>
      <c r="K43" s="950"/>
      <c r="L43" s="956"/>
      <c r="M43" s="958"/>
    </row>
    <row r="44" spans="1:19" ht="18">
      <c r="B44" s="938" t="s">
        <v>116</v>
      </c>
      <c r="C44" s="939"/>
      <c r="D44" s="939"/>
      <c r="E44" s="939"/>
      <c r="F44" s="939"/>
      <c r="G44" s="939"/>
      <c r="H44" s="939"/>
      <c r="I44" s="939"/>
      <c r="J44" s="939"/>
      <c r="K44" s="939"/>
      <c r="L44" s="939"/>
      <c r="M44" s="940"/>
    </row>
    <row r="45" spans="1:19">
      <c r="B45" s="647" t="s">
        <v>117</v>
      </c>
      <c r="C45" s="116" t="s">
        <v>118</v>
      </c>
      <c r="D45" s="116" t="s">
        <v>119</v>
      </c>
      <c r="E45" s="137" t="s">
        <v>120</v>
      </c>
      <c r="F45" s="116" t="s">
        <v>121</v>
      </c>
      <c r="G45" s="116" t="s">
        <v>63</v>
      </c>
      <c r="H45" s="136" t="s">
        <v>51</v>
      </c>
      <c r="I45" s="136" t="s">
        <v>122</v>
      </c>
      <c r="J45" s="914" t="s">
        <v>123</v>
      </c>
      <c r="K45" s="914"/>
      <c r="L45" s="914"/>
      <c r="M45" s="944"/>
    </row>
    <row r="46" spans="1:19">
      <c r="B46" s="648">
        <f t="shared" ref="B46:B52" si="0">B47-1</f>
        <v>2015</v>
      </c>
      <c r="C46" s="135" cm="1">
        <f t="array" ref="C46:C54">_xlfn.SORTBY(TRANSPOSE(_xlfn.XLOOKUP(C$45,'Fin. Data'!$A:$A,'Fin. Data'!$B:$J,,0)),$B$46:$B$54,-1)</f>
        <v>10813</v>
      </c>
      <c r="D46" s="110" cm="1">
        <f t="array" ref="D46:D54">_xlfn.SORTBY(TRANSPOSE(_xlfn.XLOOKUP(D$45,'Fin. Data'!$A:$A,'Fin. Data'!$B:$J,,0)),$B$46:$B$54,-1)</f>
        <v>0.25867011930084161</v>
      </c>
      <c r="E46" s="135" cm="1">
        <f t="array" ref="E46:E54">_xlfn.SORTBY(TRANSPOSE(_xlfn.XLOOKUP(E$45,'Fin. Data'!$A:$A,'Fin. Data'!$B:$J,,0)),$B$46:$B$54,-1)</f>
        <v>-1341</v>
      </c>
      <c r="F46" s="134">
        <f>Inputs!J77</f>
        <v>-150</v>
      </c>
      <c r="G46" s="110" cm="1">
        <f t="array" ref="G46:G54">_xlfn.SORTBY(TRANSPOSE(_xlfn.XLOOKUP(G$45,'Fin. Data'!$A:$A,'Fin. Data'!$B:$J,,0)),$B$46:$B$54,-1)</f>
        <v>0.37148573233652732</v>
      </c>
      <c r="H46" s="135" cm="1">
        <f t="array" ref="H46:H54">_xlfn.SORTBY(TRANSPOSE(_xlfn.XLOOKUP(H$45,'Fin. Data'!$A:$A,'Fin. Data'!$B:$J,,0)),$B$46:$B$54,-1)</f>
        <v>440</v>
      </c>
      <c r="I46" s="135" cm="1">
        <f t="array" ref="I46:I54">_xlfn.SORTBY(TRANSPOSE(_xlfn.XLOOKUP(I$45,'Fin. Data'!$A:$A,'Fin. Data'!$B:$J,,0)),$B$46:$B$54,-1)</f>
        <v>-1924</v>
      </c>
      <c r="J46" s="388"/>
      <c r="K46" s="130"/>
      <c r="L46" s="111">
        <f>J20</f>
        <v>2023</v>
      </c>
      <c r="M46" s="390">
        <f>L46-1</f>
        <v>2022</v>
      </c>
    </row>
    <row r="47" spans="1:19">
      <c r="B47" s="648">
        <f t="shared" si="0"/>
        <v>2016</v>
      </c>
      <c r="C47" s="135">
        <v>10485</v>
      </c>
      <c r="D47" s="109">
        <v>0.27095851216022893</v>
      </c>
      <c r="E47" s="135">
        <v>-1443</v>
      </c>
      <c r="F47" s="134">
        <f>Inputs!I77</f>
        <v>427</v>
      </c>
      <c r="G47" s="110">
        <v>0.3252218524681087</v>
      </c>
      <c r="H47" s="135">
        <v>473</v>
      </c>
      <c r="I47" s="135">
        <v>-523</v>
      </c>
      <c r="J47" s="895" t="s">
        <v>60</v>
      </c>
      <c r="K47" s="896"/>
      <c r="L47" s="53">
        <f>_xlfn.XLOOKUP($J47,'Fin. Data'!$A:$A,'Fin. Data'!B:B,,0)</f>
        <v>3766</v>
      </c>
      <c r="M47" s="454">
        <f>_xlfn.XLOOKUP($J47,'Fin. Data'!$A:$A,'Fin. Data'!C:C,,0)</f>
        <v>3338</v>
      </c>
      <c r="N47" s="21">
        <f t="shared" ref="N47:N55" si="1">(C47/C46)-1</f>
        <v>-3.0333857393877728E-2</v>
      </c>
      <c r="O47" s="21">
        <f t="shared" ref="O47:O55" si="2">(D47/D46)-1</f>
        <v>4.7506039323759408E-2</v>
      </c>
      <c r="P47" s="20"/>
      <c r="Q47" s="19"/>
      <c r="R47" s="19"/>
      <c r="S47" s="19"/>
    </row>
    <row r="48" spans="1:19">
      <c r="B48" s="648">
        <f t="shared" si="0"/>
        <v>2017</v>
      </c>
      <c r="C48" s="135">
        <v>12050</v>
      </c>
      <c r="D48" s="109">
        <v>0.29535269709543571</v>
      </c>
      <c r="E48" s="135">
        <v>-1515</v>
      </c>
      <c r="F48" s="134">
        <f>Inputs!H77</f>
        <v>108</v>
      </c>
      <c r="G48" s="110">
        <v>0.34262157159683659</v>
      </c>
      <c r="H48" s="135">
        <v>361</v>
      </c>
      <c r="I48" s="135">
        <v>-598</v>
      </c>
      <c r="J48" s="895" t="s">
        <v>124</v>
      </c>
      <c r="K48" s="896"/>
      <c r="L48" s="53">
        <f>_xlfn.XLOOKUP($J48,'Fin. Data'!$A:$A,'Fin. Data'!B:B,,0)</f>
        <v>3024</v>
      </c>
      <c r="M48" s="454">
        <f>_xlfn.XLOOKUP($J48,'Fin. Data'!$A:$A,'Fin. Data'!C:C,,0)</f>
        <v>3935</v>
      </c>
      <c r="N48" s="21">
        <f t="shared" si="1"/>
        <v>0.14926084883166424</v>
      </c>
      <c r="O48" s="21">
        <f t="shared" si="2"/>
        <v>9.002922528885704E-2</v>
      </c>
      <c r="P48" s="20"/>
      <c r="Q48" s="19">
        <f t="shared" ref="Q48:Q54" si="3">F48/F47-1</f>
        <v>-0.74707259953161587</v>
      </c>
      <c r="R48" s="19">
        <f t="shared" ref="R48:S54" si="4">H48/H47-1</f>
        <v>-0.2367864693446089</v>
      </c>
      <c r="S48" s="19">
        <f t="shared" si="4"/>
        <v>0.14340344168260044</v>
      </c>
    </row>
    <row r="49" spans="2:19">
      <c r="B49" s="648">
        <f t="shared" si="0"/>
        <v>2018</v>
      </c>
      <c r="C49" s="135">
        <v>12163</v>
      </c>
      <c r="D49" s="109">
        <v>0.30346131710926583</v>
      </c>
      <c r="E49" s="135">
        <v>-3088</v>
      </c>
      <c r="F49" s="134">
        <f>Inputs!G77</f>
        <v>-224</v>
      </c>
      <c r="G49" s="110">
        <v>0.40797546012269936</v>
      </c>
      <c r="H49" s="135">
        <v>493</v>
      </c>
      <c r="I49" s="135">
        <v>-1195</v>
      </c>
      <c r="J49" s="895" t="s">
        <v>125</v>
      </c>
      <c r="K49" s="896"/>
      <c r="L49" s="53">
        <f>_xlfn.XLOOKUP($J49,'Fin. Data'!$A:$A,'Fin. Data'!B:B,,0)</f>
        <v>-1197</v>
      </c>
      <c r="M49" s="454">
        <f>_xlfn.XLOOKUP($J49,'Fin. Data'!$A:$A,'Fin. Data'!C:C,,0)</f>
        <v>-1341</v>
      </c>
      <c r="N49" s="21">
        <f t="shared" si="1"/>
        <v>9.3775933609958617E-3</v>
      </c>
      <c r="O49" s="21">
        <f t="shared" si="2"/>
        <v>2.7454023929939009E-2</v>
      </c>
      <c r="P49" s="20"/>
      <c r="Q49" s="19">
        <f t="shared" si="3"/>
        <v>-3.074074074074074</v>
      </c>
      <c r="R49" s="19">
        <f t="shared" si="4"/>
        <v>0.36565096952908593</v>
      </c>
      <c r="S49" s="19">
        <f t="shared" si="4"/>
        <v>0.9983277591973243</v>
      </c>
    </row>
    <row r="50" spans="2:19">
      <c r="B50" s="648">
        <f t="shared" si="0"/>
        <v>2019</v>
      </c>
      <c r="C50" s="135">
        <v>12867</v>
      </c>
      <c r="D50" s="109">
        <v>0.31413693945752702</v>
      </c>
      <c r="E50" s="135">
        <v>-4398</v>
      </c>
      <c r="F50" s="134">
        <f>Inputs!F77</f>
        <v>28</v>
      </c>
      <c r="G50" s="110">
        <v>0.52897201873423805</v>
      </c>
      <c r="H50" s="135">
        <v>374</v>
      </c>
      <c r="I50" s="135">
        <v>-728</v>
      </c>
      <c r="J50" s="960" t="s">
        <v>126</v>
      </c>
      <c r="K50" s="961"/>
      <c r="L50" s="53">
        <f>_xlfn.XLOOKUP($J50,'Fin. Data'!$A:$A,'Fin. Data'!B:B,,0)</f>
        <v>-1180</v>
      </c>
      <c r="M50" s="454">
        <f>_xlfn.XLOOKUP($J50,'Fin. Data'!$A:$A,'Fin. Data'!C:C,,0)</f>
        <v>-1097</v>
      </c>
      <c r="N50" s="21">
        <f t="shared" si="1"/>
        <v>5.7880457124064755E-2</v>
      </c>
      <c r="O50" s="21">
        <f t="shared" si="2"/>
        <v>3.5179516288783796E-2</v>
      </c>
      <c r="P50" s="20"/>
      <c r="Q50" s="19">
        <f t="shared" si="3"/>
        <v>-1.125</v>
      </c>
      <c r="R50" s="19">
        <f t="shared" si="4"/>
        <v>-0.24137931034482762</v>
      </c>
      <c r="S50" s="19">
        <f t="shared" si="4"/>
        <v>-0.3907949790794979</v>
      </c>
    </row>
    <row r="51" spans="2:19">
      <c r="B51" s="648">
        <f t="shared" si="0"/>
        <v>2020</v>
      </c>
      <c r="C51" s="135">
        <v>11752</v>
      </c>
      <c r="D51" s="109">
        <v>0.18184138869979577</v>
      </c>
      <c r="E51" s="135">
        <v>-2928</v>
      </c>
      <c r="F51" s="134">
        <f>Inputs!E77</f>
        <v>2432</v>
      </c>
      <c r="G51" s="110">
        <v>0.48105029261728161</v>
      </c>
      <c r="H51" s="135">
        <v>1839</v>
      </c>
      <c r="I51" s="135">
        <v>-830</v>
      </c>
      <c r="J51" s="960" t="s">
        <v>127</v>
      </c>
      <c r="K51" s="961"/>
      <c r="L51" s="53">
        <f>_xlfn.XLOOKUP($J51,'Fin. Data'!$A:$A,'Fin. Data'!B:B,,0)</f>
        <v>-492</v>
      </c>
      <c r="M51" s="454">
        <f>_xlfn.XLOOKUP($J51,'Fin. Data'!$A:$A,'Fin. Data'!C:C,,0)</f>
        <v>-343</v>
      </c>
      <c r="N51" s="21">
        <f t="shared" si="1"/>
        <v>-8.665578611953062E-2</v>
      </c>
      <c r="O51" s="21">
        <f t="shared" si="2"/>
        <v>-0.42113974557143197</v>
      </c>
      <c r="P51" s="20"/>
      <c r="Q51" s="19">
        <f t="shared" si="3"/>
        <v>85.857142857142861</v>
      </c>
      <c r="R51" s="19">
        <f t="shared" si="4"/>
        <v>3.9171122994652405</v>
      </c>
      <c r="S51" s="19">
        <f t="shared" si="4"/>
        <v>0.14010989010989006</v>
      </c>
    </row>
    <row r="52" spans="2:19">
      <c r="B52" s="648">
        <f t="shared" si="0"/>
        <v>2021</v>
      </c>
      <c r="C52" s="135">
        <v>12733</v>
      </c>
      <c r="D52" s="109">
        <v>0.2930181418361737</v>
      </c>
      <c r="E52" s="135">
        <v>-1755</v>
      </c>
      <c r="F52" s="134">
        <f>Inputs!D77</f>
        <v>-516</v>
      </c>
      <c r="G52" s="110">
        <v>0.46240004381640926</v>
      </c>
      <c r="H52" s="135">
        <v>447</v>
      </c>
      <c r="I52" s="135">
        <v>-1118</v>
      </c>
      <c r="J52" s="895" t="s">
        <v>128</v>
      </c>
      <c r="K52" s="896"/>
      <c r="L52" s="53">
        <f>_xlfn.XLOOKUP($J52,'Fin. Data'!$A:$A,'Fin. Data'!B:B,,0)</f>
        <v>-2408</v>
      </c>
      <c r="M52" s="454">
        <f>_xlfn.XLOOKUP($J52,'Fin. Data'!$A:$A,'Fin. Data'!C:C,,0)</f>
        <v>-3259</v>
      </c>
      <c r="N52" s="21">
        <f t="shared" si="1"/>
        <v>8.3475153165418758E-2</v>
      </c>
      <c r="O52" s="21">
        <f t="shared" si="2"/>
        <v>0.61139410522167226</v>
      </c>
      <c r="P52" s="20"/>
      <c r="Q52" s="19">
        <f t="shared" si="3"/>
        <v>-1.212171052631579</v>
      </c>
      <c r="R52" s="19">
        <f t="shared" si="4"/>
        <v>-0.75693311582381728</v>
      </c>
      <c r="S52" s="19">
        <f t="shared" si="4"/>
        <v>0.34698795180722897</v>
      </c>
    </row>
    <row r="53" spans="2:19">
      <c r="B53" s="648">
        <f>B54-1</f>
        <v>2022</v>
      </c>
      <c r="C53" s="135">
        <v>15452</v>
      </c>
      <c r="D53" s="109">
        <v>0.28533523168521874</v>
      </c>
      <c r="E53" s="135">
        <v>-4017</v>
      </c>
      <c r="F53" s="134">
        <f>Inputs!C$77</f>
        <v>-426</v>
      </c>
      <c r="G53" s="110">
        <v>0.48631425282838775</v>
      </c>
      <c r="H53" s="135">
        <v>828</v>
      </c>
      <c r="I53" s="135">
        <v>-1440</v>
      </c>
      <c r="J53" s="960" t="s">
        <v>129</v>
      </c>
      <c r="K53" s="961"/>
      <c r="L53" s="53">
        <f>_xlfn.XLOOKUP($J53,'Fin. Data'!$A:$A,'Fin. Data'!B:B,,0)</f>
        <v>-1761</v>
      </c>
      <c r="M53" s="454">
        <f>_xlfn.XLOOKUP($J53,'Fin. Data'!$A:$A,'Fin. Data'!C:C,,0)</f>
        <v>-1718</v>
      </c>
      <c r="N53" s="21">
        <f t="shared" si="1"/>
        <v>0.21353962145605898</v>
      </c>
      <c r="O53" s="21">
        <f t="shared" si="2"/>
        <v>-2.6219912879150264E-2</v>
      </c>
      <c r="P53" s="20"/>
      <c r="Q53" s="19">
        <f t="shared" si="3"/>
        <v>-0.17441860465116277</v>
      </c>
      <c r="R53" s="19">
        <f t="shared" si="4"/>
        <v>0.8523489932885906</v>
      </c>
      <c r="S53" s="19">
        <f t="shared" si="4"/>
        <v>0.28801431127012522</v>
      </c>
    </row>
    <row r="54" spans="2:19">
      <c r="B54" s="648">
        <f>J20</f>
        <v>2023</v>
      </c>
      <c r="C54" s="135">
        <v>17113</v>
      </c>
      <c r="D54" s="109">
        <v>0.27067141938876876</v>
      </c>
      <c r="E54" s="135">
        <v>-3142</v>
      </c>
      <c r="F54" s="134">
        <f>Inputs!B77</f>
        <v>-808</v>
      </c>
      <c r="G54" s="110">
        <v>0.46323238041324655</v>
      </c>
      <c r="H54" s="135">
        <v>1066</v>
      </c>
      <c r="I54" s="135">
        <v>-1672</v>
      </c>
      <c r="J54" s="960" t="s">
        <v>130</v>
      </c>
      <c r="K54" s="961"/>
      <c r="L54" s="53">
        <f>_xlfn.XLOOKUP($J54,'Fin. Data'!$A:$A,'Fin. Data'!B:B,,0)</f>
        <v>-1381</v>
      </c>
      <c r="M54" s="454">
        <f>_xlfn.XLOOKUP($J54,'Fin. Data'!$A:$A,'Fin. Data'!C:C,,0)</f>
        <v>-2299</v>
      </c>
      <c r="N54" s="21">
        <f t="shared" si="1"/>
        <v>0.10749417551126061</v>
      </c>
      <c r="O54" s="21">
        <f t="shared" si="2"/>
        <v>-5.139152361187227E-2</v>
      </c>
      <c r="P54" s="20"/>
      <c r="Q54" s="19">
        <f t="shared" si="3"/>
        <v>0.89671361502347424</v>
      </c>
      <c r="R54" s="19">
        <f t="shared" si="4"/>
        <v>0.28743961352656999</v>
      </c>
      <c r="S54" s="19">
        <f t="shared" si="4"/>
        <v>0.1611111111111112</v>
      </c>
    </row>
    <row r="55" spans="2:19">
      <c r="B55" s="649" t="s">
        <v>131</v>
      </c>
      <c r="C55" s="112">
        <f>IFERROR((C54/C46)^(1/8)-1,"")</f>
        <v>5.9064701803558384E-2</v>
      </c>
      <c r="D55" s="112">
        <f>IFERROR((D54/D46)^(1/8)-1,"")</f>
        <v>5.6851031379190342E-3</v>
      </c>
      <c r="E55" s="129"/>
      <c r="F55" s="112">
        <f>IFERROR((F54/F46)^(1/8)-1,"")</f>
        <v>0.2342837539853857</v>
      </c>
      <c r="G55" s="129"/>
      <c r="H55" s="112">
        <f>IFERROR((H54/H46)^(1/8)-1,"")</f>
        <v>0.11696114542824643</v>
      </c>
      <c r="I55" s="129"/>
      <c r="J55" s="895" t="s">
        <v>132</v>
      </c>
      <c r="K55" s="896"/>
      <c r="L55" s="53">
        <f>_xlfn.XLOOKUP($J55,'Fin. Data'!$A:$A,'Fin. Data'!B:B,,0)</f>
        <v>-227</v>
      </c>
      <c r="M55" s="454">
        <f>_xlfn.XLOOKUP($J55,'Fin. Data'!$A:$A,'Fin. Data'!C:C,,0)</f>
        <v>239</v>
      </c>
      <c r="N55" s="21">
        <f t="shared" si="1"/>
        <v>-0.99999654854778219</v>
      </c>
      <c r="O55" s="21">
        <f t="shared" si="2"/>
        <v>-0.9789962931780638</v>
      </c>
      <c r="P55" s="20"/>
      <c r="Q55" s="19"/>
      <c r="R55" s="19"/>
      <c r="S55" s="19"/>
    </row>
    <row r="56" spans="2:19">
      <c r="B56" s="649" t="s">
        <v>133</v>
      </c>
      <c r="C56" s="112">
        <f>IFERROR(AVERAGE(N47:N54),"")</f>
        <v>6.3004775742006858E-2</v>
      </c>
      <c r="D56" s="112">
        <f>IFERROR(AVERAGE(O47:O54),"")</f>
        <v>3.9101465998819626E-2</v>
      </c>
      <c r="E56" s="129"/>
      <c r="F56" s="112">
        <f>IFERROR(AVERAGE(Q47:Q54),"")</f>
        <v>11.488731448753985</v>
      </c>
      <c r="G56" s="129"/>
      <c r="H56" s="112">
        <f>IFERROR(AVERAGE(S47:S54),"")</f>
        <v>0.24102278372839744</v>
      </c>
      <c r="I56" s="129"/>
      <c r="J56" s="1039" t="s">
        <v>134</v>
      </c>
      <c r="K56" s="1040"/>
      <c r="L56" s="138">
        <f>L48+L49+L52-L53-L54</f>
        <v>2561</v>
      </c>
      <c r="M56" s="391">
        <f>M48+M49+M52-M53-M54</f>
        <v>3352</v>
      </c>
    </row>
    <row r="57" spans="2:19">
      <c r="B57" s="649" t="s">
        <v>135</v>
      </c>
      <c r="C57" s="112">
        <f>IFERROR(STDEV(C47:C54)/AVERAGE(C47:C54),"")</f>
        <v>0.16466387234592569</v>
      </c>
      <c r="D57" s="112">
        <f>IFERROR(STDEV(D46:D54)/AVERAGE(D46:D54),"")</f>
        <v>0.14190404790739239</v>
      </c>
      <c r="E57" s="129"/>
      <c r="F57" s="112">
        <f>IFERROR(STDEV(F46:F54)/AVERAGE(F46:F54),"")</f>
        <v>9.8015945155292741</v>
      </c>
      <c r="G57" s="129"/>
      <c r="H57" s="112">
        <f>IFERROR(STDEV(H46:H54)/AVERAGE(H46:H54),"")</f>
        <v>0.69293572952474103</v>
      </c>
      <c r="I57" s="129"/>
      <c r="J57" s="1041" t="s">
        <v>136</v>
      </c>
      <c r="K57" s="1042"/>
      <c r="L57" s="386">
        <f>IFERROR(SUM(I51:I54)/(C54-C50),"")</f>
        <v>-1.1917098445595855</v>
      </c>
      <c r="M57" s="453">
        <f>IFERROR((SUM(I51:I54)-SUM(H51:H54))/(C54-C50),"")</f>
        <v>-2.1761658031088085</v>
      </c>
    </row>
    <row r="58" spans="2:19">
      <c r="B58" s="649" t="s">
        <v>137</v>
      </c>
      <c r="C58" s="112">
        <f>IFERROR(C54/C53-1,"")</f>
        <v>0.10749417551126061</v>
      </c>
      <c r="D58" s="112">
        <f>IFERROR(D54/D53-1,"")</f>
        <v>-5.139152361187227E-2</v>
      </c>
      <c r="E58" s="129"/>
      <c r="F58" s="112">
        <f>IFERROR(1-(F54/F53),"")</f>
        <v>-0.89671361502347424</v>
      </c>
      <c r="G58" s="129"/>
      <c r="H58" s="112">
        <f>IFERROR(1-(H54/H53),"")</f>
        <v>-0.28743961352656999</v>
      </c>
      <c r="I58" s="129"/>
      <c r="J58" s="1043" t="s">
        <v>138</v>
      </c>
      <c r="K58" s="1044"/>
      <c r="L58" s="387">
        <f>IFERROR(L57/E27,"")</f>
        <v>-3.9460474805829788</v>
      </c>
      <c r="M58" s="392">
        <f>IFERROR(M57/E27,"")</f>
        <v>-7.2058258341080492</v>
      </c>
    </row>
    <row r="59" spans="2:19" ht="18">
      <c r="B59" s="938" t="s">
        <v>139</v>
      </c>
      <c r="C59" s="939"/>
      <c r="D59" s="939"/>
      <c r="E59" s="939"/>
      <c r="F59" s="939"/>
      <c r="G59" s="939"/>
      <c r="H59" s="939"/>
      <c r="I59" s="939"/>
      <c r="J59" s="939"/>
      <c r="K59" s="939"/>
      <c r="L59" s="939"/>
      <c r="M59" s="940"/>
    </row>
    <row r="60" spans="2:19" ht="15.75">
      <c r="B60" s="1038" t="s">
        <v>140</v>
      </c>
      <c r="C60" s="898"/>
      <c r="D60" s="898"/>
      <c r="E60" s="898"/>
      <c r="F60" s="898"/>
      <c r="G60" s="898"/>
      <c r="H60" s="898"/>
      <c r="I60" s="898"/>
      <c r="J60" s="898" t="s">
        <v>141</v>
      </c>
      <c r="K60" s="898"/>
      <c r="L60" s="898"/>
      <c r="M60" s="899"/>
    </row>
    <row r="61" spans="2:19">
      <c r="B61" s="1035" t="s">
        <v>142</v>
      </c>
      <c r="C61" s="914"/>
      <c r="D61" s="914"/>
      <c r="E61" s="914" t="s">
        <v>143</v>
      </c>
      <c r="F61" s="914"/>
      <c r="G61" s="914"/>
      <c r="H61" s="914"/>
      <c r="I61" s="914"/>
      <c r="J61" s="914" t="s">
        <v>144</v>
      </c>
      <c r="K61" s="914"/>
      <c r="L61" s="914"/>
      <c r="M61" s="389" t="s">
        <v>145</v>
      </c>
    </row>
    <row r="62" spans="2:19" ht="15" customHeight="1">
      <c r="B62" s="925" t="s">
        <v>146</v>
      </c>
      <c r="C62" s="906"/>
      <c r="D62" s="907"/>
      <c r="E62" s="900" t="s">
        <v>147</v>
      </c>
      <c r="F62" s="906"/>
      <c r="G62" s="906"/>
      <c r="H62" s="906"/>
      <c r="I62" s="907"/>
      <c r="J62" s="890" t="s">
        <v>148</v>
      </c>
      <c r="K62" s="891"/>
      <c r="L62" s="892"/>
      <c r="M62" s="711">
        <f>29980.447/2230000</f>
        <v>1.3444146636771301E-2</v>
      </c>
    </row>
    <row r="63" spans="2:19" ht="15" customHeight="1">
      <c r="B63" s="1036"/>
      <c r="C63" s="909"/>
      <c r="D63" s="910"/>
      <c r="E63" s="908"/>
      <c r="F63" s="909"/>
      <c r="G63" s="909"/>
      <c r="H63" s="909"/>
      <c r="I63" s="910"/>
      <c r="J63" s="890" t="s">
        <v>149</v>
      </c>
      <c r="K63" s="891"/>
      <c r="L63" s="892"/>
      <c r="M63" s="711">
        <f>26803.878/2230000</f>
        <v>1.2019676233183858E-2</v>
      </c>
    </row>
    <row r="64" spans="2:19" ht="15" customHeight="1">
      <c r="B64" s="1036"/>
      <c r="C64" s="909"/>
      <c r="D64" s="910"/>
      <c r="E64" s="908"/>
      <c r="F64" s="909"/>
      <c r="G64" s="909"/>
      <c r="H64" s="909"/>
      <c r="I64" s="910"/>
      <c r="J64" s="890" t="s">
        <v>150</v>
      </c>
      <c r="K64" s="891"/>
      <c r="L64" s="892"/>
      <c r="M64" s="711">
        <f>20943.597/2230000</f>
        <v>9.3917475336322883E-3</v>
      </c>
    </row>
    <row r="65" spans="2:13" ht="15" customHeight="1">
      <c r="B65" s="1036"/>
      <c r="C65" s="909"/>
      <c r="D65" s="910"/>
      <c r="E65" s="908"/>
      <c r="F65" s="909"/>
      <c r="G65" s="909"/>
      <c r="H65" s="909"/>
      <c r="I65" s="910"/>
      <c r="J65" s="890" t="s">
        <v>151</v>
      </c>
      <c r="K65" s="891"/>
      <c r="L65" s="892"/>
      <c r="M65" s="711">
        <f>17729.834/2230000</f>
        <v>7.9505982062780256E-3</v>
      </c>
    </row>
    <row r="66" spans="2:13">
      <c r="B66" s="1036"/>
      <c r="C66" s="909"/>
      <c r="D66" s="910"/>
      <c r="E66" s="908"/>
      <c r="F66" s="909"/>
      <c r="G66" s="909"/>
      <c r="H66" s="909"/>
      <c r="I66" s="910"/>
      <c r="J66" s="927" t="s">
        <v>152</v>
      </c>
      <c r="K66" s="928"/>
      <c r="L66" s="928"/>
      <c r="M66" s="711">
        <f>12670.251/2230000</f>
        <v>5.6817269058295969E-3</v>
      </c>
    </row>
    <row r="67" spans="2:13">
      <c r="B67" s="1036"/>
      <c r="C67" s="909"/>
      <c r="D67" s="910"/>
      <c r="E67" s="908"/>
      <c r="F67" s="909"/>
      <c r="G67" s="909"/>
      <c r="H67" s="909"/>
      <c r="I67" s="910"/>
      <c r="J67" s="927" t="s">
        <v>153</v>
      </c>
      <c r="K67" s="928"/>
      <c r="L67" s="928"/>
      <c r="M67" s="711">
        <f>10456.98/2230000</f>
        <v>4.6892286995515696E-3</v>
      </c>
    </row>
    <row r="68" spans="2:13">
      <c r="B68" s="1036"/>
      <c r="C68" s="909"/>
      <c r="D68" s="910"/>
      <c r="E68" s="908"/>
      <c r="F68" s="909"/>
      <c r="G68" s="909"/>
      <c r="H68" s="909"/>
      <c r="I68" s="910"/>
      <c r="J68" s="927" t="s">
        <v>154</v>
      </c>
      <c r="K68" s="928"/>
      <c r="L68" s="928"/>
      <c r="M68" s="711">
        <f>8170.46/2230000</f>
        <v>3.6638834080717489E-3</v>
      </c>
    </row>
    <row r="69" spans="2:13">
      <c r="B69" s="1036"/>
      <c r="C69" s="909"/>
      <c r="D69" s="910"/>
      <c r="E69" s="908"/>
      <c r="F69" s="909"/>
      <c r="G69" s="909"/>
      <c r="H69" s="909"/>
      <c r="I69" s="910"/>
      <c r="J69" s="927" t="s">
        <v>155</v>
      </c>
      <c r="K69" s="928"/>
      <c r="L69" s="928"/>
      <c r="M69" s="711">
        <f>7586.229/2230000</f>
        <v>3.4018964125560537E-3</v>
      </c>
    </row>
    <row r="70" spans="2:13">
      <c r="B70" s="1036"/>
      <c r="C70" s="909"/>
      <c r="D70" s="910"/>
      <c r="E70" s="908"/>
      <c r="F70" s="909"/>
      <c r="G70" s="909"/>
      <c r="H70" s="909"/>
      <c r="I70" s="910"/>
      <c r="J70" s="927" t="s">
        <v>156</v>
      </c>
      <c r="K70" s="928"/>
      <c r="L70" s="928"/>
      <c r="M70" s="711">
        <f>7102.025/2230000</f>
        <v>3.1847645739910314E-3</v>
      </c>
    </row>
    <row r="71" spans="2:13">
      <c r="B71" s="1037"/>
      <c r="C71" s="912"/>
      <c r="D71" s="913"/>
      <c r="E71" s="911"/>
      <c r="F71" s="912"/>
      <c r="G71" s="912"/>
      <c r="H71" s="912"/>
      <c r="I71" s="913"/>
      <c r="J71" s="927" t="s">
        <v>157</v>
      </c>
      <c r="K71" s="928"/>
      <c r="L71" s="928"/>
      <c r="M71" s="711">
        <f>6790.08/2230000</f>
        <v>3.0448789237668161E-3</v>
      </c>
    </row>
    <row r="72" spans="2:13">
      <c r="B72" s="1035" t="s">
        <v>158</v>
      </c>
      <c r="C72" s="914"/>
      <c r="D72" s="914"/>
      <c r="E72" s="914" t="s">
        <v>159</v>
      </c>
      <c r="F72" s="914"/>
      <c r="G72" s="914"/>
      <c r="H72" s="914"/>
      <c r="I72" s="914"/>
      <c r="J72" s="927" t="s">
        <v>160</v>
      </c>
      <c r="K72" s="928"/>
      <c r="L72" s="928"/>
      <c r="M72" s="711">
        <f>157/2230000</f>
        <v>7.0403587443946186E-5</v>
      </c>
    </row>
    <row r="73" spans="2:13" ht="15" customHeight="1">
      <c r="B73" s="925" t="s">
        <v>161</v>
      </c>
      <c r="C73" s="901"/>
      <c r="D73" s="902"/>
      <c r="E73" s="900" t="s">
        <v>162</v>
      </c>
      <c r="F73" s="901"/>
      <c r="G73" s="901"/>
      <c r="H73" s="901"/>
      <c r="I73" s="902"/>
      <c r="J73" s="927" t="s">
        <v>163</v>
      </c>
      <c r="K73" s="928"/>
      <c r="L73" s="928"/>
      <c r="M73" s="711">
        <f>3.56/2230000</f>
        <v>1.5964125560538117E-6</v>
      </c>
    </row>
    <row r="74" spans="2:13" ht="15" customHeight="1">
      <c r="B74" s="926"/>
      <c r="C74" s="904"/>
      <c r="D74" s="905"/>
      <c r="E74" s="903"/>
      <c r="F74" s="904"/>
      <c r="G74" s="904"/>
      <c r="H74" s="904"/>
      <c r="I74" s="905"/>
      <c r="J74" s="927" t="s">
        <v>164</v>
      </c>
      <c r="K74" s="928"/>
      <c r="L74" s="928"/>
      <c r="M74" s="711">
        <f>47/2230000</f>
        <v>2.1076233183856501E-5</v>
      </c>
    </row>
    <row r="75" spans="2:13" ht="15" customHeight="1">
      <c r="B75" s="926"/>
      <c r="C75" s="904"/>
      <c r="D75" s="905"/>
      <c r="E75" s="903"/>
      <c r="F75" s="904"/>
      <c r="G75" s="904"/>
      <c r="H75" s="904"/>
      <c r="I75" s="905"/>
      <c r="J75" s="927" t="s">
        <v>165</v>
      </c>
      <c r="K75" s="928"/>
      <c r="L75" s="928"/>
      <c r="M75" s="711">
        <f>4.475/2230000</f>
        <v>2.0067264573991028E-6</v>
      </c>
    </row>
    <row r="76" spans="2:13" ht="15" customHeight="1">
      <c r="B76" s="926"/>
      <c r="C76" s="904"/>
      <c r="D76" s="905"/>
      <c r="E76" s="903"/>
      <c r="F76" s="904"/>
      <c r="G76" s="904"/>
      <c r="H76" s="904"/>
      <c r="I76" s="905"/>
      <c r="J76" s="927" t="s">
        <v>166</v>
      </c>
      <c r="K76" s="928"/>
      <c r="L76" s="928"/>
      <c r="M76" s="711">
        <f>71.034/2230000</f>
        <v>3.1853811659192827E-5</v>
      </c>
    </row>
    <row r="77" spans="2:13">
      <c r="B77" s="926"/>
      <c r="C77" s="904"/>
      <c r="D77" s="905"/>
      <c r="E77" s="903"/>
      <c r="F77" s="904"/>
      <c r="G77" s="904"/>
      <c r="H77" s="904"/>
      <c r="I77" s="905"/>
      <c r="J77" s="927" t="s">
        <v>167</v>
      </c>
      <c r="K77" s="928"/>
      <c r="L77" s="928"/>
      <c r="M77" s="712">
        <f>13.841/2230000</f>
        <v>6.2067264573991032E-6</v>
      </c>
    </row>
    <row r="78" spans="2:13" ht="15.75">
      <c r="B78" s="923" t="s">
        <v>168</v>
      </c>
      <c r="C78" s="924"/>
      <c r="D78" s="924"/>
      <c r="E78" s="924"/>
      <c r="F78" s="924"/>
      <c r="G78" s="898" t="s">
        <v>169</v>
      </c>
      <c r="H78" s="898"/>
      <c r="I78" s="898"/>
      <c r="J78" s="898"/>
      <c r="K78" s="898"/>
      <c r="L78" s="898"/>
      <c r="M78" s="899"/>
    </row>
    <row r="79" spans="2:13" s="10" customFormat="1">
      <c r="B79" s="1244"/>
      <c r="C79" s="915"/>
      <c r="D79" s="915"/>
      <c r="E79" s="915"/>
      <c r="F79" s="916"/>
      <c r="G79" s="888"/>
      <c r="H79" s="889"/>
      <c r="I79"/>
      <c r="J79"/>
      <c r="K79"/>
      <c r="L79"/>
      <c r="M79" s="50"/>
    </row>
    <row r="80" spans="2:13">
      <c r="B80" s="917"/>
      <c r="C80" s="918"/>
      <c r="D80" s="918"/>
      <c r="E80" s="918"/>
      <c r="F80" s="919"/>
      <c r="M80" s="50"/>
    </row>
    <row r="81" spans="2:13">
      <c r="B81" s="917"/>
      <c r="C81" s="918"/>
      <c r="D81" s="918"/>
      <c r="E81" s="918"/>
      <c r="F81" s="919"/>
      <c r="M81" s="50"/>
    </row>
    <row r="82" spans="2:13">
      <c r="B82" s="917"/>
      <c r="C82" s="918"/>
      <c r="D82" s="918"/>
      <c r="E82" s="918"/>
      <c r="F82" s="919"/>
      <c r="M82" s="50"/>
    </row>
    <row r="83" spans="2:13">
      <c r="B83" s="917"/>
      <c r="C83" s="918"/>
      <c r="D83" s="918"/>
      <c r="E83" s="918"/>
      <c r="F83" s="919"/>
      <c r="M83" s="50"/>
    </row>
    <row r="84" spans="2:13">
      <c r="B84" s="917"/>
      <c r="C84" s="918"/>
      <c r="D84" s="918"/>
      <c r="E84" s="918"/>
      <c r="F84" s="919"/>
      <c r="M84" s="50"/>
    </row>
    <row r="85" spans="2:13">
      <c r="B85" s="917"/>
      <c r="C85" s="918"/>
      <c r="D85" s="918"/>
      <c r="E85" s="918"/>
      <c r="F85" s="919"/>
      <c r="M85" s="50"/>
    </row>
    <row r="86" spans="2:13">
      <c r="B86" s="917"/>
      <c r="C86" s="918"/>
      <c r="D86" s="918"/>
      <c r="E86" s="918"/>
      <c r="F86" s="919"/>
      <c r="M86" s="50"/>
    </row>
    <row r="87" spans="2:13">
      <c r="B87" s="917"/>
      <c r="C87" s="918"/>
      <c r="D87" s="918"/>
      <c r="E87" s="918"/>
      <c r="F87" s="919"/>
      <c r="M87" s="50"/>
    </row>
    <row r="88" spans="2:13">
      <c r="B88" s="917"/>
      <c r="C88" s="918"/>
      <c r="D88" s="918"/>
      <c r="E88" s="918"/>
      <c r="F88" s="919"/>
      <c r="M88" s="50"/>
    </row>
    <row r="89" spans="2:13">
      <c r="B89" s="917"/>
      <c r="C89" s="918"/>
      <c r="D89" s="918"/>
      <c r="E89" s="918"/>
      <c r="F89" s="919"/>
      <c r="M89" s="50"/>
    </row>
    <row r="90" spans="2:13">
      <c r="B90" s="917"/>
      <c r="C90" s="918"/>
      <c r="D90" s="918"/>
      <c r="E90" s="918"/>
      <c r="F90" s="919"/>
      <c r="M90" s="50"/>
    </row>
    <row r="91" spans="2:13">
      <c r="B91" s="917"/>
      <c r="C91" s="918"/>
      <c r="D91" s="918"/>
      <c r="E91" s="918"/>
      <c r="F91" s="919"/>
      <c r="M91" s="50"/>
    </row>
    <row r="92" spans="2:13">
      <c r="B92" s="917"/>
      <c r="C92" s="918"/>
      <c r="D92" s="918"/>
      <c r="E92" s="918"/>
      <c r="F92" s="919"/>
      <c r="M92" s="50"/>
    </row>
    <row r="93" spans="2:13">
      <c r="B93" s="917"/>
      <c r="C93" s="918"/>
      <c r="D93" s="918"/>
      <c r="E93" s="918"/>
      <c r="F93" s="919"/>
      <c r="M93" s="50"/>
    </row>
    <row r="94" spans="2:13">
      <c r="B94" s="917"/>
      <c r="C94" s="918"/>
      <c r="D94" s="918"/>
      <c r="E94" s="918"/>
      <c r="F94" s="919"/>
      <c r="M94" s="50"/>
    </row>
    <row r="95" spans="2:13">
      <c r="B95" s="917"/>
      <c r="C95" s="918"/>
      <c r="D95" s="918"/>
      <c r="E95" s="918"/>
      <c r="F95" s="919"/>
      <c r="M95" s="50"/>
    </row>
    <row r="96" spans="2:13">
      <c r="B96" s="917"/>
      <c r="C96" s="918"/>
      <c r="D96" s="918"/>
      <c r="E96" s="918"/>
      <c r="F96" s="919"/>
      <c r="M96" s="50"/>
    </row>
    <row r="97" spans="2:13">
      <c r="B97" s="917"/>
      <c r="C97" s="918"/>
      <c r="D97" s="918"/>
      <c r="E97" s="918"/>
      <c r="F97" s="919"/>
      <c r="M97" s="50"/>
    </row>
    <row r="98" spans="2:13">
      <c r="B98" s="917"/>
      <c r="C98" s="918"/>
      <c r="D98" s="918"/>
      <c r="E98" s="918"/>
      <c r="F98" s="919"/>
      <c r="M98" s="50"/>
    </row>
    <row r="99" spans="2:13">
      <c r="B99" s="917"/>
      <c r="C99" s="918"/>
      <c r="D99" s="918"/>
      <c r="E99" s="918"/>
      <c r="F99" s="919"/>
      <c r="M99" s="50"/>
    </row>
    <row r="100" spans="2:13">
      <c r="B100" s="917"/>
      <c r="C100" s="918"/>
      <c r="D100" s="918"/>
      <c r="E100" s="918"/>
      <c r="F100" s="919"/>
      <c r="M100" s="50"/>
    </row>
    <row r="101" spans="2:13">
      <c r="B101" s="917"/>
      <c r="C101" s="918"/>
      <c r="D101" s="918"/>
      <c r="E101" s="918"/>
      <c r="F101" s="919"/>
      <c r="M101" s="50"/>
    </row>
    <row r="102" spans="2:13" ht="13.5" thickBot="1">
      <c r="B102" s="917"/>
      <c r="C102" s="918"/>
      <c r="D102" s="918"/>
      <c r="E102" s="918"/>
      <c r="F102" s="919"/>
      <c r="M102" s="50"/>
    </row>
    <row r="103" spans="2:13" ht="22.9" customHeight="1" thickBot="1">
      <c r="B103" s="920"/>
      <c r="C103" s="921"/>
      <c r="D103" s="921"/>
      <c r="E103" s="921"/>
      <c r="F103" s="922"/>
      <c r="G103" s="897" t="e" vm="1">
        <f>Peers!C28</f>
        <v>#VALUE!</v>
      </c>
      <c r="H103" s="897"/>
      <c r="I103" s="650" t="e" vm="2">
        <f>Peers!D28</f>
        <v>#VALUE!</v>
      </c>
      <c r="J103" s="651" t="e" vm="3">
        <f>Peers!E28</f>
        <v>#VALUE!</v>
      </c>
      <c r="K103" s="652" t="e" vm="4">
        <f>Peers!F28</f>
        <v>#VALUE!</v>
      </c>
      <c r="L103" s="653" t="e" vm="5">
        <f>Peers!G28</f>
        <v>#VALUE!</v>
      </c>
      <c r="M103" s="654" t="e" vm="6">
        <f>Peers!H28</f>
        <v>#VALUE!</v>
      </c>
    </row>
  </sheetData>
  <mergeCells count="123">
    <mergeCell ref="B72:D72"/>
    <mergeCell ref="B62:D71"/>
    <mergeCell ref="J60:M60"/>
    <mergeCell ref="B60:I60"/>
    <mergeCell ref="J64:L64"/>
    <mergeCell ref="J65:L65"/>
    <mergeCell ref="J55:K55"/>
    <mergeCell ref="J56:K56"/>
    <mergeCell ref="J57:K57"/>
    <mergeCell ref="J58:K58"/>
    <mergeCell ref="J70:L70"/>
    <mergeCell ref="J66:L66"/>
    <mergeCell ref="J67:L67"/>
    <mergeCell ref="J68:L68"/>
    <mergeCell ref="B61:D61"/>
    <mergeCell ref="J71:L71"/>
    <mergeCell ref="E2:K2"/>
    <mergeCell ref="F20:G20"/>
    <mergeCell ref="F28:G28"/>
    <mergeCell ref="F26:G26"/>
    <mergeCell ref="J21:K21"/>
    <mergeCell ref="I22:J22"/>
    <mergeCell ref="I23:J23"/>
    <mergeCell ref="I24:J24"/>
    <mergeCell ref="I25:J25"/>
    <mergeCell ref="I26:J26"/>
    <mergeCell ref="I27:J27"/>
    <mergeCell ref="I28:J28"/>
    <mergeCell ref="F27:G27"/>
    <mergeCell ref="D4:G17"/>
    <mergeCell ref="D3:G3"/>
    <mergeCell ref="H3:M3"/>
    <mergeCell ref="F19:H19"/>
    <mergeCell ref="F22:G22"/>
    <mergeCell ref="K4:M4"/>
    <mergeCell ref="K5:M5"/>
    <mergeCell ref="B17:C17"/>
    <mergeCell ref="B3:C16"/>
    <mergeCell ref="L19:M19"/>
    <mergeCell ref="B19:C19"/>
    <mergeCell ref="K6:M6"/>
    <mergeCell ref="K7:M7"/>
    <mergeCell ref="K8:M8"/>
    <mergeCell ref="K9:M9"/>
    <mergeCell ref="K10:M10"/>
    <mergeCell ref="K11:M11"/>
    <mergeCell ref="K12:M12"/>
    <mergeCell ref="K13:M13"/>
    <mergeCell ref="K14:M14"/>
    <mergeCell ref="K15:M15"/>
    <mergeCell ref="K16:M16"/>
    <mergeCell ref="K17:M17"/>
    <mergeCell ref="D19:E19"/>
    <mergeCell ref="B18:M18"/>
    <mergeCell ref="I19:K19"/>
    <mergeCell ref="B33:M33"/>
    <mergeCell ref="H40:H43"/>
    <mergeCell ref="J20:K20"/>
    <mergeCell ref="F32:G32"/>
    <mergeCell ref="F31:G31"/>
    <mergeCell ref="F29:G29"/>
    <mergeCell ref="F30:G30"/>
    <mergeCell ref="H35:H38"/>
    <mergeCell ref="C37:G37"/>
    <mergeCell ref="C38:G38"/>
    <mergeCell ref="C41:G41"/>
    <mergeCell ref="F23:G23"/>
    <mergeCell ref="F24:G24"/>
    <mergeCell ref="F25:G25"/>
    <mergeCell ref="F21:G21"/>
    <mergeCell ref="I35:M38"/>
    <mergeCell ref="I39:M39"/>
    <mergeCell ref="B34:G34"/>
    <mergeCell ref="C43:G43"/>
    <mergeCell ref="C42:G42"/>
    <mergeCell ref="I29:J29"/>
    <mergeCell ref="I30:J30"/>
    <mergeCell ref="I31:J31"/>
    <mergeCell ref="I34:M34"/>
    <mergeCell ref="C40:G40"/>
    <mergeCell ref="C35:G35"/>
    <mergeCell ref="B59:M59"/>
    <mergeCell ref="C36:G36"/>
    <mergeCell ref="J45:M45"/>
    <mergeCell ref="B44:M44"/>
    <mergeCell ref="I40:I41"/>
    <mergeCell ref="I42:I43"/>
    <mergeCell ref="J40:K41"/>
    <mergeCell ref="J42:K43"/>
    <mergeCell ref="L40:L41"/>
    <mergeCell ref="L42:L43"/>
    <mergeCell ref="M40:M41"/>
    <mergeCell ref="M42:M43"/>
    <mergeCell ref="J49:K49"/>
    <mergeCell ref="J50:K50"/>
    <mergeCell ref="J51:K51"/>
    <mergeCell ref="J52:K52"/>
    <mergeCell ref="J53:K53"/>
    <mergeCell ref="J54:K54"/>
    <mergeCell ref="G79:H79"/>
    <mergeCell ref="J62:L62"/>
    <mergeCell ref="J63:L63"/>
    <mergeCell ref="B29:C29"/>
    <mergeCell ref="J47:K47"/>
    <mergeCell ref="J48:K48"/>
    <mergeCell ref="G103:H103"/>
    <mergeCell ref="G78:M78"/>
    <mergeCell ref="E73:I77"/>
    <mergeCell ref="E62:I71"/>
    <mergeCell ref="J61:L61"/>
    <mergeCell ref="E72:I72"/>
    <mergeCell ref="B79:F103"/>
    <mergeCell ref="B78:F78"/>
    <mergeCell ref="B73:D77"/>
    <mergeCell ref="J74:L74"/>
    <mergeCell ref="J75:L75"/>
    <mergeCell ref="J76:L76"/>
    <mergeCell ref="J77:L77"/>
    <mergeCell ref="J72:L72"/>
    <mergeCell ref="J73:L73"/>
    <mergeCell ref="E61:I61"/>
    <mergeCell ref="J69:L69"/>
    <mergeCell ref="B39:G39"/>
  </mergeCells>
  <phoneticPr fontId="0" type="noConversion"/>
  <conditionalFormatting sqref="C46:C54 D46:E46">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6:D54">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7:D54">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6:E54">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7:E54">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5:E58 G55:G58 I55:I58">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6:F54">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6:G54">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1:H25">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7:H31">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6:H54">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6:I54">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J42:K43">
    <cfRule type="cellIs" dxfId="33" priority="1" operator="lessThan">
      <formula>0</formula>
    </cfRule>
    <cfRule type="cellIs" dxfId="32" priority="2" operator="greaterThan">
      <formula>0</formula>
    </cfRule>
  </conditionalFormatting>
  <conditionalFormatting sqref="M40:M43">
    <cfRule type="cellIs" dxfId="31" priority="3" operator="lessThan">
      <formula>0</formula>
    </cfRule>
    <cfRule type="cellIs" dxfId="30"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7:S57"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C46:C54 D46:E46</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D46:D54</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D47:D54</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E46:E54</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E47:E54</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E55:E58 G55:G58 I55:I58</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F46:F54</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G46:G54</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H21:H25</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H27:H31</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H46:H54</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I46:I54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42578125" defaultRowHeight="12.75"/>
  <cols>
    <col min="1" max="1" width="27.140625" bestFit="1" customWidth="1"/>
  </cols>
  <sheetData>
    <row r="1" spans="1:1">
      <c r="A1" t="s">
        <v>170</v>
      </c>
    </row>
    <row r="2" spans="1:1">
      <c r="A2" t="s">
        <v>171</v>
      </c>
    </row>
    <row r="3" spans="1:1">
      <c r="A3" t="s">
        <v>172</v>
      </c>
    </row>
    <row r="4" spans="1:1">
      <c r="A4" t="s">
        <v>173</v>
      </c>
    </row>
    <row r="5" spans="1:1">
      <c r="A5" t="s">
        <v>174</v>
      </c>
    </row>
    <row r="6" spans="1:1">
      <c r="A6" s="10" t="s">
        <v>175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145"/>
  <sheetViews>
    <sheetView showGridLines="0" topLeftCell="A21" zoomScale="85" zoomScaleNormal="85" workbookViewId="0">
      <selection activeCell="C54" sqref="C54"/>
    </sheetView>
  </sheetViews>
  <sheetFormatPr defaultColWidth="11.42578125" defaultRowHeight="12.75"/>
  <cols>
    <col min="1" max="1" width="2.140625" customWidth="1"/>
    <col min="2" max="2" width="11.140625" customWidth="1"/>
    <col min="3" max="3" width="42.85546875" customWidth="1"/>
    <col min="4" max="4" width="15.42578125" style="2" customWidth="1"/>
    <col min="5" max="9" width="15.42578125" customWidth="1"/>
    <col min="10" max="10" width="11.42578125" bestFit="1" customWidth="1"/>
    <col min="11" max="11" width="11.7109375" customWidth="1"/>
    <col min="17" max="17" width="23.42578125" customWidth="1"/>
  </cols>
  <sheetData>
    <row r="1" spans="2:25" ht="7.5" customHeight="1"/>
    <row r="2" spans="2:25" ht="20.25">
      <c r="B2" s="1074" t="str">
        <f>"Regions "&amp;"("&amp;OP!$J$20&amp;")"</f>
        <v>Regions (2023)</v>
      </c>
      <c r="C2" s="1075"/>
      <c r="D2" s="1075"/>
      <c r="E2" s="1075"/>
      <c r="F2" s="1075"/>
      <c r="G2" s="1075"/>
      <c r="H2" s="1075"/>
      <c r="I2" s="1075"/>
      <c r="J2" s="1075"/>
      <c r="K2" s="1075"/>
      <c r="L2" s="1075"/>
      <c r="M2" s="1075"/>
      <c r="N2" s="1075"/>
      <c r="O2" s="1075"/>
      <c r="P2" s="1075"/>
      <c r="Q2" s="1070" t="s">
        <v>176</v>
      </c>
      <c r="R2" s="1071"/>
      <c r="S2" s="1071"/>
      <c r="T2" s="1071"/>
      <c r="U2" s="1071"/>
      <c r="V2" s="1071"/>
      <c r="W2" s="1071"/>
      <c r="X2" s="1071"/>
      <c r="Y2" s="1072"/>
    </row>
    <row r="3" spans="2:25" ht="18.75" thickBot="1">
      <c r="B3" s="159"/>
      <c r="C3" s="160"/>
      <c r="D3" s="1088" t="s">
        <v>177</v>
      </c>
      <c r="E3" s="1088"/>
      <c r="F3" s="1088"/>
      <c r="G3" s="1088"/>
      <c r="H3" s="1088"/>
      <c r="I3" s="1089"/>
      <c r="J3" s="142"/>
      <c r="K3" s="1073" t="s">
        <v>178</v>
      </c>
      <c r="L3" s="1073"/>
      <c r="M3" s="1073"/>
      <c r="N3" s="1073"/>
      <c r="O3" s="1073"/>
      <c r="P3" s="1073"/>
      <c r="Q3" s="139"/>
      <c r="Y3" s="155"/>
    </row>
    <row r="4" spans="2:25">
      <c r="B4" s="147" t="s">
        <v>179</v>
      </c>
      <c r="C4" s="148" t="s">
        <v>180</v>
      </c>
      <c r="D4" s="149">
        <f>OP!J20</f>
        <v>2023</v>
      </c>
      <c r="E4" s="149">
        <f>D4-1</f>
        <v>2022</v>
      </c>
      <c r="F4" s="149">
        <f>E4-1</f>
        <v>2021</v>
      </c>
      <c r="G4" s="149">
        <f>F4-1</f>
        <v>2020</v>
      </c>
      <c r="H4" s="149">
        <f>G4-1</f>
        <v>2019</v>
      </c>
      <c r="I4" s="149">
        <f>H4-1</f>
        <v>2018</v>
      </c>
      <c r="J4" s="143"/>
      <c r="K4" s="149">
        <f>OP!J20</f>
        <v>2023</v>
      </c>
      <c r="L4" s="149">
        <f t="shared" ref="L4:P4" si="0">K4-1</f>
        <v>2022</v>
      </c>
      <c r="M4" s="149">
        <f t="shared" si="0"/>
        <v>2021</v>
      </c>
      <c r="N4" s="149">
        <f t="shared" si="0"/>
        <v>2020</v>
      </c>
      <c r="O4" s="149">
        <f t="shared" si="0"/>
        <v>2019</v>
      </c>
      <c r="P4" s="161">
        <f t="shared" si="0"/>
        <v>2018</v>
      </c>
      <c r="Q4" s="139"/>
      <c r="Y4" s="155"/>
    </row>
    <row r="5" spans="2:25">
      <c r="B5" s="146">
        <f>IFERROR(D5/$D$9,"")</f>
        <v>9.0920688921964699E-2</v>
      </c>
      <c r="C5" s="713" t="s">
        <v>181</v>
      </c>
      <c r="D5" s="150">
        <v>2138</v>
      </c>
      <c r="E5" s="150">
        <v>2142</v>
      </c>
      <c r="F5" s="150">
        <v>1822</v>
      </c>
      <c r="G5" s="150">
        <v>1684</v>
      </c>
      <c r="H5" s="150">
        <v>1706</v>
      </c>
      <c r="I5" s="150"/>
      <c r="J5" s="143"/>
      <c r="K5" s="287">
        <f>(D5-E5)/E5</f>
        <v>-1.8674136321195146E-3</v>
      </c>
      <c r="L5" s="287">
        <f t="shared" ref="L5:O5" si="1">(E5-F5)/F5</f>
        <v>0.17563117453347971</v>
      </c>
      <c r="M5" s="287">
        <f t="shared" si="1"/>
        <v>8.1947743467933487E-2</v>
      </c>
      <c r="N5" s="287">
        <f t="shared" si="1"/>
        <v>-1.2895662368112544E-2</v>
      </c>
      <c r="O5" s="287" t="e">
        <f t="shared" si="1"/>
        <v>#DIV/0!</v>
      </c>
      <c r="P5" s="287" t="s">
        <v>20</v>
      </c>
      <c r="Q5" s="139"/>
      <c r="Y5" s="155"/>
    </row>
    <row r="6" spans="2:25">
      <c r="B6" s="146">
        <f>IFERROR(D6/$D$9,"")</f>
        <v>0.116989155857963</v>
      </c>
      <c r="C6" s="713" t="s">
        <v>182</v>
      </c>
      <c r="D6" s="150">
        <v>2751</v>
      </c>
      <c r="E6" s="150">
        <v>3219</v>
      </c>
      <c r="F6" s="150">
        <v>3011</v>
      </c>
      <c r="G6" s="150">
        <v>2783</v>
      </c>
      <c r="H6" s="150">
        <v>3236</v>
      </c>
      <c r="I6" s="150"/>
      <c r="J6" s="143"/>
      <c r="K6" s="287">
        <f>(D6-E6)/E6</f>
        <v>-0.14538676607642126</v>
      </c>
      <c r="L6" s="287">
        <f t="shared" ref="K6:O6" si="2">(E6-F6)/F6</f>
        <v>6.9080039853869152E-2</v>
      </c>
      <c r="M6" s="287">
        <f t="shared" si="2"/>
        <v>8.1925979159180734E-2</v>
      </c>
      <c r="N6" s="287">
        <f t="shared" si="2"/>
        <v>-0.1399876390605686</v>
      </c>
      <c r="O6" s="287" t="e">
        <f t="shared" si="2"/>
        <v>#DIV/0!</v>
      </c>
      <c r="P6" s="287" t="s">
        <v>20</v>
      </c>
      <c r="Q6" s="139"/>
      <c r="Y6" s="155"/>
    </row>
    <row r="7" spans="2:25" ht="13.15" customHeight="1" thickBot="1">
      <c r="B7" s="146">
        <f>IFERROR(D7/$D$9,"")</f>
        <v>0.29649160110567724</v>
      </c>
      <c r="C7" s="719" t="s">
        <v>183</v>
      </c>
      <c r="D7" s="150">
        <v>6972</v>
      </c>
      <c r="E7" s="150">
        <v>6327</v>
      </c>
      <c r="F7" s="150">
        <v>5441</v>
      </c>
      <c r="G7" s="150">
        <v>4839</v>
      </c>
      <c r="H7" s="150">
        <v>4724</v>
      </c>
      <c r="I7" s="150"/>
      <c r="J7" s="720" t="s">
        <v>184</v>
      </c>
      <c r="K7" s="287">
        <f t="shared" ref="K7:O9" si="3">(D7-E7)/E7</f>
        <v>0.10194404931247036</v>
      </c>
      <c r="L7" s="287">
        <f t="shared" si="3"/>
        <v>0.16283771365557803</v>
      </c>
      <c r="M7" s="287">
        <f t="shared" si="3"/>
        <v>0.12440586898119446</v>
      </c>
      <c r="N7" s="287">
        <f t="shared" si="3"/>
        <v>2.4343776460626586E-2</v>
      </c>
      <c r="O7" s="287" t="e">
        <f t="shared" si="3"/>
        <v>#DIV/0!</v>
      </c>
      <c r="P7" s="721" t="s">
        <v>20</v>
      </c>
      <c r="Q7" s="139"/>
      <c r="Y7" s="155"/>
    </row>
    <row r="8" spans="2:25" ht="13.15" customHeight="1" thickBot="1">
      <c r="B8" s="146">
        <f>IFERROR(D8/$D$9,"")</f>
        <v>0.49559855411439507</v>
      </c>
      <c r="C8" s="724" t="s">
        <v>185</v>
      </c>
      <c r="D8" s="150">
        <v>11654</v>
      </c>
      <c r="E8" s="150">
        <v>10760</v>
      </c>
      <c r="F8" s="150">
        <v>8879</v>
      </c>
      <c r="G8" s="150">
        <v>8391</v>
      </c>
      <c r="H8" s="150">
        <v>9628</v>
      </c>
      <c r="I8" s="768"/>
      <c r="J8" s="769" t="s">
        <v>184</v>
      </c>
      <c r="K8" s="287">
        <f t="shared" si="3"/>
        <v>8.3085501858736061E-2</v>
      </c>
      <c r="L8" s="287">
        <f t="shared" si="3"/>
        <v>0.21184818110147538</v>
      </c>
      <c r="M8" s="287">
        <f t="shared" si="3"/>
        <v>5.8157549755690624E-2</v>
      </c>
      <c r="N8" s="287">
        <f t="shared" si="3"/>
        <v>-0.12847943498130454</v>
      </c>
      <c r="O8" s="287" t="e">
        <f t="shared" si="3"/>
        <v>#DIV/0!</v>
      </c>
      <c r="P8" s="722" t="s">
        <v>184</v>
      </c>
      <c r="Q8" s="139"/>
      <c r="Y8" s="155"/>
    </row>
    <row r="9" spans="2:25" ht="21.6" customHeight="1" thickBot="1">
      <c r="B9" s="723">
        <f>SUM(B5:B8)</f>
        <v>1</v>
      </c>
      <c r="C9" s="724" t="s">
        <v>186</v>
      </c>
      <c r="D9" s="141">
        <f>SUM(D5:D8)</f>
        <v>23515</v>
      </c>
      <c r="E9" s="141">
        <f>SUM(E5:E8)</f>
        <v>22448</v>
      </c>
      <c r="F9" s="141">
        <f>SUM(F5:F8)</f>
        <v>19153</v>
      </c>
      <c r="G9" s="141">
        <f>SUM(G5:G8)</f>
        <v>17697</v>
      </c>
      <c r="H9" s="141">
        <f>SUM(H5:H8)</f>
        <v>19294</v>
      </c>
      <c r="I9" s="141">
        <f>SUM(I5:I8)</f>
        <v>0</v>
      </c>
      <c r="J9" s="725" t="s">
        <v>184</v>
      </c>
      <c r="K9" s="288">
        <f t="shared" si="3"/>
        <v>4.7532074126870993E-2</v>
      </c>
      <c r="L9" s="288">
        <f t="shared" si="3"/>
        <v>0.17203571242103063</v>
      </c>
      <c r="M9" s="288">
        <f t="shared" si="3"/>
        <v>8.2273831722890892E-2</v>
      </c>
      <c r="N9" s="288">
        <f t="shared" si="3"/>
        <v>-8.2771846169793717E-2</v>
      </c>
      <c r="O9" s="288" t="e">
        <f t="shared" si="3"/>
        <v>#DIV/0!</v>
      </c>
      <c r="P9" s="722" t="s">
        <v>184</v>
      </c>
      <c r="Q9" s="139"/>
      <c r="S9" s="291"/>
      <c r="Y9" s="155"/>
    </row>
    <row r="10" spans="2:25" ht="21.6" customHeight="1">
      <c r="D10"/>
      <c r="Q10" s="139"/>
      <c r="Y10" s="155"/>
    </row>
    <row r="11" spans="2:25" ht="13.15" customHeight="1" thickBot="1">
      <c r="B11" s="1090" t="str">
        <f>"Categories "&amp;"("&amp;OP!$J$20&amp;")"</f>
        <v>Categories (2023)</v>
      </c>
      <c r="C11" s="1091"/>
      <c r="D11" s="1091"/>
      <c r="E11" s="1091"/>
      <c r="F11" s="1091"/>
      <c r="G11" s="1091"/>
      <c r="H11" s="1091"/>
      <c r="I11" s="1091"/>
      <c r="J11" s="1091"/>
      <c r="K11" s="1091"/>
      <c r="L11" s="1091"/>
      <c r="M11" s="1091"/>
      <c r="N11" s="1091"/>
      <c r="O11" s="1091"/>
      <c r="P11" s="1092"/>
      <c r="Q11" s="139"/>
      <c r="Y11" s="155"/>
    </row>
    <row r="12" spans="2:25" ht="23.25" customHeight="1" thickBot="1">
      <c r="B12" s="846"/>
      <c r="C12" s="843"/>
      <c r="D12" s="1093" t="s">
        <v>177</v>
      </c>
      <c r="E12" s="1094"/>
      <c r="F12" s="1094"/>
      <c r="G12" s="1094"/>
      <c r="H12" s="1094"/>
      <c r="I12" s="1095"/>
      <c r="J12" s="854"/>
      <c r="K12" s="1096" t="s">
        <v>178</v>
      </c>
      <c r="L12" s="1097"/>
      <c r="M12" s="1097"/>
      <c r="N12" s="1097"/>
      <c r="O12" s="1097"/>
      <c r="P12" s="1098"/>
      <c r="Q12" s="139"/>
      <c r="Y12" s="155"/>
    </row>
    <row r="13" spans="2:25" ht="13.15" customHeight="1">
      <c r="B13" s="845" t="s">
        <v>179</v>
      </c>
      <c r="C13" s="839" t="s">
        <v>187</v>
      </c>
      <c r="D13" s="851">
        <f>OP!J20</f>
        <v>2023</v>
      </c>
      <c r="E13" s="852">
        <f>D13-1</f>
        <v>2022</v>
      </c>
      <c r="F13" s="852">
        <f>E13-1</f>
        <v>2021</v>
      </c>
      <c r="G13" s="852">
        <f>F13-1</f>
        <v>2020</v>
      </c>
      <c r="H13" s="852">
        <f>G13-1</f>
        <v>2019</v>
      </c>
      <c r="I13" s="853">
        <f>H13-1</f>
        <v>2018</v>
      </c>
      <c r="J13" s="849"/>
      <c r="K13" s="145">
        <f>OP!J20</f>
        <v>2023</v>
      </c>
      <c r="L13" s="145">
        <f>K13-1</f>
        <v>2022</v>
      </c>
      <c r="M13" s="145">
        <f>L13-1</f>
        <v>2021</v>
      </c>
      <c r="N13" s="145">
        <f>M13-1</f>
        <v>2020</v>
      </c>
      <c r="O13" s="145">
        <f>N13-1</f>
        <v>2019</v>
      </c>
      <c r="P13" s="162">
        <f>O13-1</f>
        <v>2018</v>
      </c>
      <c r="Q13" s="139"/>
      <c r="Y13" s="155"/>
    </row>
    <row r="14" spans="2:25" ht="13.15" customHeight="1">
      <c r="B14" s="841">
        <f>IFERROR(D14/$D$18,"")</f>
        <v>0.80816500106315114</v>
      </c>
      <c r="C14" s="847" t="s">
        <v>188</v>
      </c>
      <c r="D14" s="150">
        <v>19004</v>
      </c>
      <c r="E14" s="150">
        <v>18164</v>
      </c>
      <c r="F14" s="150">
        <v>15634</v>
      </c>
      <c r="G14" s="150">
        <v>14158</v>
      </c>
      <c r="H14" s="150">
        <v>15283</v>
      </c>
      <c r="I14" s="150">
        <v>14605</v>
      </c>
      <c r="J14" s="850"/>
      <c r="K14" s="765">
        <f t="shared" ref="K14:O18" si="4">(D14-E14)/E14</f>
        <v>4.6245320414005725E-2</v>
      </c>
      <c r="L14" s="765">
        <f t="shared" si="4"/>
        <v>0.16182678777024434</v>
      </c>
      <c r="M14" s="765">
        <f t="shared" si="4"/>
        <v>0.1042520129961859</v>
      </c>
      <c r="N14" s="765">
        <f t="shared" si="4"/>
        <v>-7.3611201989138259E-2</v>
      </c>
      <c r="O14" s="765">
        <f t="shared" si="4"/>
        <v>4.642245806230743E-2</v>
      </c>
      <c r="P14" s="765" t="s">
        <v>20</v>
      </c>
      <c r="Q14" s="139"/>
      <c r="Y14" s="155"/>
    </row>
    <row r="15" spans="2:25" ht="13.15" customHeight="1">
      <c r="B15" s="841">
        <f>IFERROR(D15/$D$18,"")</f>
        <v>0.14267488836912609</v>
      </c>
      <c r="C15" s="847" t="s">
        <v>189</v>
      </c>
      <c r="D15" s="150">
        <v>3355</v>
      </c>
      <c r="E15" s="150">
        <v>3128</v>
      </c>
      <c r="F15" s="150">
        <v>2562</v>
      </c>
      <c r="G15" s="150">
        <v>2342</v>
      </c>
      <c r="H15" s="150">
        <v>2758</v>
      </c>
      <c r="I15" s="150">
        <v>2647</v>
      </c>
      <c r="J15" s="850"/>
      <c r="K15" s="765">
        <f t="shared" si="4"/>
        <v>7.2570332480818414E-2</v>
      </c>
      <c r="L15" s="765">
        <f t="shared" si="4"/>
        <v>0.22092115534738485</v>
      </c>
      <c r="M15" s="765">
        <f t="shared" si="4"/>
        <v>9.3936806148590943E-2</v>
      </c>
      <c r="N15" s="765">
        <f t="shared" si="4"/>
        <v>-0.15083393763596809</v>
      </c>
      <c r="O15" s="765">
        <f t="shared" si="4"/>
        <v>4.1934265205893467E-2</v>
      </c>
      <c r="P15" s="766" t="s">
        <v>20</v>
      </c>
      <c r="Q15" s="139"/>
      <c r="Y15" s="155"/>
    </row>
    <row r="16" spans="2:25" ht="13.15" customHeight="1">
      <c r="B16" s="841">
        <f>IFERROR(D16/$D$18,"")</f>
        <v>3.8230916436317243E-2</v>
      </c>
      <c r="C16" s="847" t="s">
        <v>190</v>
      </c>
      <c r="D16" s="150">
        <v>899</v>
      </c>
      <c r="E16" s="150">
        <v>882</v>
      </c>
      <c r="F16" s="150">
        <v>741</v>
      </c>
      <c r="G16" s="150">
        <v>966</v>
      </c>
      <c r="H16" s="150">
        <v>945</v>
      </c>
      <c r="I16" s="150">
        <v>854</v>
      </c>
      <c r="J16" s="850"/>
      <c r="K16" s="290">
        <f t="shared" si="4"/>
        <v>1.927437641723356E-2</v>
      </c>
      <c r="L16" s="290">
        <f t="shared" si="4"/>
        <v>0.19028340080971659</v>
      </c>
      <c r="M16" s="290">
        <f t="shared" si="4"/>
        <v>-0.23291925465838509</v>
      </c>
      <c r="N16" s="290">
        <f t="shared" si="4"/>
        <v>2.2222222222222223E-2</v>
      </c>
      <c r="O16" s="290">
        <f t="shared" si="4"/>
        <v>0.10655737704918032</v>
      </c>
      <c r="P16" s="290" t="s">
        <v>20</v>
      </c>
      <c r="Q16" s="139"/>
      <c r="Y16" s="155"/>
    </row>
    <row r="17" spans="2:25" ht="13.15" customHeight="1">
      <c r="B17" s="842">
        <f>IFERROR(D17/$D$18,"")</f>
        <v>1.0929194131405485E-2</v>
      </c>
      <c r="C17" s="848" t="s">
        <v>191</v>
      </c>
      <c r="D17" s="150">
        <v>257</v>
      </c>
      <c r="E17" s="150">
        <v>274</v>
      </c>
      <c r="F17" s="150">
        <v>216</v>
      </c>
      <c r="G17" s="150">
        <v>231</v>
      </c>
      <c r="H17" s="150">
        <v>308</v>
      </c>
      <c r="I17" s="150">
        <v>326</v>
      </c>
      <c r="J17" s="850"/>
      <c r="K17" s="767">
        <f t="shared" si="4"/>
        <v>-6.2043795620437957E-2</v>
      </c>
      <c r="L17" s="767">
        <f t="shared" si="4"/>
        <v>0.26851851851851855</v>
      </c>
      <c r="M17" s="767">
        <f t="shared" si="4"/>
        <v>-6.4935064935064929E-2</v>
      </c>
      <c r="N17" s="767">
        <f t="shared" si="4"/>
        <v>-0.25</v>
      </c>
      <c r="O17" s="767">
        <f t="shared" si="4"/>
        <v>-5.5214723926380369E-2</v>
      </c>
      <c r="P17" s="767" t="s">
        <v>20</v>
      </c>
      <c r="Q17" s="139"/>
      <c r="Y17" s="155"/>
    </row>
    <row r="18" spans="2:25" ht="21" customHeight="1">
      <c r="B18" s="840">
        <f>SUM(B14:B17)</f>
        <v>1</v>
      </c>
      <c r="C18" s="844" t="s">
        <v>186</v>
      </c>
      <c r="D18" s="141">
        <f t="shared" ref="D18:I18" si="5">SUM(D14:D17)</f>
        <v>23515</v>
      </c>
      <c r="E18" s="141">
        <f t="shared" si="5"/>
        <v>22448</v>
      </c>
      <c r="F18" s="141">
        <f t="shared" si="5"/>
        <v>19153</v>
      </c>
      <c r="G18" s="141">
        <f t="shared" si="5"/>
        <v>17697</v>
      </c>
      <c r="H18" s="141">
        <f t="shared" si="5"/>
        <v>19294</v>
      </c>
      <c r="I18" s="141">
        <f t="shared" si="5"/>
        <v>18432</v>
      </c>
      <c r="J18" s="144"/>
      <c r="K18" s="288">
        <f t="shared" si="4"/>
        <v>4.7532074126870993E-2</v>
      </c>
      <c r="L18" s="289">
        <f t="shared" si="4"/>
        <v>0.17203571242103063</v>
      </c>
      <c r="M18" s="289">
        <f t="shared" si="4"/>
        <v>8.2273831722890892E-2</v>
      </c>
      <c r="N18" s="289">
        <f t="shared" si="4"/>
        <v>-8.2771846169793717E-2</v>
      </c>
      <c r="O18" s="289">
        <f t="shared" si="4"/>
        <v>4.6766493055555552E-2</v>
      </c>
      <c r="P18" s="289" t="s">
        <v>20</v>
      </c>
      <c r="Q18" s="139"/>
      <c r="Y18" s="155"/>
    </row>
    <row r="19" spans="2:25" ht="9.75" customHeight="1">
      <c r="C19" s="13"/>
      <c r="D19" s="14"/>
      <c r="E19" s="15"/>
      <c r="F19" s="14"/>
      <c r="G19" s="15"/>
      <c r="H19" s="14"/>
      <c r="I19" s="15"/>
      <c r="J19" s="43"/>
      <c r="Q19" s="139"/>
      <c r="Y19" s="155"/>
    </row>
    <row r="20" spans="2:25" ht="17.25" customHeight="1" thickBot="1">
      <c r="B20" s="1063" t="s">
        <v>64</v>
      </c>
      <c r="C20" s="1064"/>
      <c r="D20" s="1063" t="s">
        <v>192</v>
      </c>
      <c r="E20" s="1078"/>
      <c r="F20" s="1078"/>
      <c r="G20" s="1078"/>
      <c r="H20" s="1064"/>
      <c r="I20" s="1045" t="s">
        <v>193</v>
      </c>
      <c r="J20" s="1046"/>
      <c r="K20" s="1046"/>
      <c r="L20" s="1046"/>
      <c r="M20" s="1046"/>
      <c r="N20" s="1046"/>
      <c r="O20" s="1046"/>
      <c r="P20" s="1047"/>
      <c r="Q20" s="139"/>
      <c r="Y20" s="155"/>
    </row>
    <row r="21" spans="2:25" ht="57.75" customHeight="1" thickBot="1">
      <c r="B21" s="1076" t="s">
        <v>188</v>
      </c>
      <c r="C21" s="1077"/>
      <c r="D21" s="1079" t="s">
        <v>194</v>
      </c>
      <c r="E21" s="1080"/>
      <c r="F21" s="1080"/>
      <c r="G21" s="1080"/>
      <c r="H21" s="1081"/>
      <c r="I21" s="139"/>
      <c r="Q21" s="139"/>
      <c r="Y21" s="155"/>
    </row>
    <row r="22" spans="2:25" ht="78" customHeight="1" thickBot="1">
      <c r="B22" s="1076" t="s">
        <v>189</v>
      </c>
      <c r="C22" s="1077"/>
      <c r="D22" s="1082" t="s">
        <v>195</v>
      </c>
      <c r="E22" s="1083"/>
      <c r="F22" s="1083"/>
      <c r="G22" s="1083"/>
      <c r="H22" s="1084"/>
      <c r="I22" s="139"/>
      <c r="Q22" s="139"/>
      <c r="Y22" s="155"/>
    </row>
    <row r="23" spans="2:25" ht="69" customHeight="1" thickBot="1">
      <c r="B23" s="1076" t="s">
        <v>190</v>
      </c>
      <c r="C23" s="1077"/>
      <c r="D23" s="1085" t="s">
        <v>196</v>
      </c>
      <c r="E23" s="1086"/>
      <c r="F23" s="1086"/>
      <c r="G23" s="1086"/>
      <c r="H23" s="1087"/>
      <c r="I23" s="139"/>
      <c r="Q23" s="139"/>
      <c r="Y23" s="155"/>
    </row>
    <row r="24" spans="2:25" ht="28.35" hidden="1" customHeight="1">
      <c r="B24" s="1076"/>
      <c r="C24" s="1077"/>
      <c r="D24" s="1085"/>
      <c r="E24" s="1086"/>
      <c r="F24" s="1086"/>
      <c r="G24" s="1086"/>
      <c r="H24" s="1087"/>
      <c r="I24" s="139"/>
      <c r="Q24" s="139"/>
      <c r="Y24" s="155"/>
    </row>
    <row r="25" spans="2:25" ht="13.15" customHeight="1" thickBot="1">
      <c r="I25" s="140"/>
      <c r="J25" s="156"/>
      <c r="K25" s="156"/>
      <c r="L25" s="156"/>
      <c r="M25" s="156"/>
      <c r="N25" s="156"/>
      <c r="O25" s="156"/>
      <c r="P25" s="156"/>
      <c r="Q25" s="140"/>
    </row>
    <row r="26" spans="2:25" ht="13.5" customHeight="1" thickBot="1">
      <c r="B26" s="1045" t="s">
        <v>197</v>
      </c>
      <c r="C26" s="1046"/>
      <c r="D26" s="1046"/>
      <c r="E26" s="1046"/>
      <c r="F26" s="1046"/>
      <c r="G26" s="1046"/>
      <c r="H26" s="1046"/>
      <c r="I26" s="1047"/>
      <c r="J26" s="1048" t="s">
        <v>198</v>
      </c>
      <c r="K26" s="1049"/>
      <c r="L26" s="1049"/>
      <c r="M26" s="1049"/>
      <c r="N26" s="1049"/>
      <c r="O26" s="1049"/>
      <c r="P26" s="1049"/>
      <c r="Q26" s="1050"/>
    </row>
    <row r="27" spans="2:25" ht="13.15" customHeight="1" thickBot="1">
      <c r="B27" s="1051" t="s">
        <v>199</v>
      </c>
      <c r="C27" s="1052"/>
      <c r="D27" s="1051" t="s">
        <v>192</v>
      </c>
      <c r="E27" s="1052"/>
      <c r="F27" s="1052"/>
      <c r="G27" s="1052"/>
      <c r="H27" s="1052"/>
      <c r="I27" s="1053"/>
      <c r="J27" s="153"/>
      <c r="K27" s="153"/>
      <c r="L27" s="153"/>
      <c r="M27" s="153"/>
      <c r="N27" s="153"/>
      <c r="O27" s="153"/>
      <c r="P27" s="153"/>
      <c r="Q27" s="154"/>
    </row>
    <row r="28" spans="2:25" ht="34.5" customHeight="1" thickBot="1">
      <c r="B28" s="1067" t="s">
        <v>200</v>
      </c>
      <c r="C28" s="1069"/>
      <c r="D28" s="1099" t="s">
        <v>201</v>
      </c>
      <c r="E28" s="1099"/>
      <c r="F28" s="1099"/>
      <c r="G28" s="1099"/>
      <c r="H28" s="1099"/>
      <c r="I28" s="1100"/>
      <c r="J28" s="139"/>
      <c r="Q28" s="155"/>
    </row>
    <row r="29" spans="2:25" ht="45" customHeight="1" thickBot="1">
      <c r="B29" s="1067" t="s">
        <v>202</v>
      </c>
      <c r="C29" s="1068"/>
      <c r="D29" s="1101" t="s">
        <v>203</v>
      </c>
      <c r="E29" s="1102"/>
      <c r="F29" s="1102"/>
      <c r="G29" s="1102"/>
      <c r="H29" s="1102"/>
      <c r="I29" s="1103"/>
      <c r="J29" s="139"/>
      <c r="Q29" s="155"/>
      <c r="T29" s="10"/>
      <c r="U29" s="10"/>
    </row>
    <row r="30" spans="2:25" ht="13.15" customHeight="1" thickBot="1">
      <c r="B30" s="1104" t="s">
        <v>204</v>
      </c>
      <c r="C30" s="1105"/>
      <c r="D30" s="1105"/>
      <c r="E30" s="1105"/>
      <c r="F30" s="1105"/>
      <c r="G30" s="1105"/>
      <c r="H30" s="1105"/>
      <c r="I30" s="1106"/>
      <c r="J30" s="139"/>
      <c r="Q30" s="155"/>
      <c r="T30" s="10"/>
      <c r="U30" s="10"/>
    </row>
    <row r="31" spans="2:25" ht="13.15" customHeight="1">
      <c r="B31" s="1057" t="s">
        <v>205</v>
      </c>
      <c r="C31" s="1059"/>
      <c r="D31" s="1057" t="s">
        <v>206</v>
      </c>
      <c r="E31" s="1058"/>
      <c r="F31" s="1059"/>
      <c r="G31" s="1057" t="s">
        <v>207</v>
      </c>
      <c r="H31" s="1058"/>
      <c r="I31" s="1059"/>
      <c r="J31" s="139"/>
      <c r="Q31" s="155"/>
      <c r="T31" s="10"/>
      <c r="U31" s="10"/>
    </row>
    <row r="32" spans="2:25" ht="13.15" customHeight="1">
      <c r="B32" s="1065" t="s">
        <v>208</v>
      </c>
      <c r="C32" s="1066"/>
      <c r="D32" s="1060" t="s">
        <v>209</v>
      </c>
      <c r="E32" s="1061"/>
      <c r="F32" s="1062"/>
      <c r="G32" s="1054" t="s">
        <v>210</v>
      </c>
      <c r="H32" s="1055"/>
      <c r="I32" s="1056"/>
      <c r="J32" s="139"/>
      <c r="Q32" s="155"/>
      <c r="T32" s="10"/>
      <c r="U32" s="10"/>
    </row>
    <row r="33" spans="2:21" ht="13.15" customHeight="1">
      <c r="B33" s="1065" t="s">
        <v>211</v>
      </c>
      <c r="C33" s="1066"/>
      <c r="D33" s="1060" t="s">
        <v>212</v>
      </c>
      <c r="E33" s="1061"/>
      <c r="F33" s="1062"/>
      <c r="G33" s="1054" t="s">
        <v>213</v>
      </c>
      <c r="H33" s="1055"/>
      <c r="I33" s="1056"/>
      <c r="J33" s="139"/>
      <c r="Q33" s="155"/>
      <c r="T33" s="10"/>
      <c r="U33" s="10"/>
    </row>
    <row r="34" spans="2:21" ht="21" customHeight="1">
      <c r="B34" s="1065" t="s">
        <v>214</v>
      </c>
      <c r="C34" s="1066"/>
      <c r="D34" s="1060" t="s">
        <v>215</v>
      </c>
      <c r="E34" s="1061"/>
      <c r="F34" s="1062"/>
      <c r="G34" s="1054" t="s">
        <v>216</v>
      </c>
      <c r="H34" s="1055"/>
      <c r="I34" s="1056"/>
      <c r="J34" s="139"/>
      <c r="Q34" s="155"/>
      <c r="T34" s="10"/>
      <c r="U34" s="10"/>
    </row>
    <row r="35" spans="2:21" ht="13.15" customHeight="1" thickBot="1">
      <c r="B35" s="1110" t="s">
        <v>217</v>
      </c>
      <c r="C35" s="1111"/>
      <c r="D35" s="1112" t="s">
        <v>218</v>
      </c>
      <c r="E35" s="1113"/>
      <c r="F35" s="1114"/>
      <c r="G35" s="1115" t="s">
        <v>219</v>
      </c>
      <c r="H35" s="1116"/>
      <c r="I35" s="1117"/>
      <c r="J35" s="139"/>
      <c r="Q35" s="155"/>
      <c r="T35" s="10"/>
      <c r="U35" s="10"/>
    </row>
    <row r="36" spans="2:21" ht="13.15" customHeight="1" thickBot="1">
      <c r="B36" s="1118" t="s">
        <v>220</v>
      </c>
      <c r="C36" s="1119"/>
      <c r="D36" s="1112" t="s">
        <v>221</v>
      </c>
      <c r="E36" s="1113"/>
      <c r="F36" s="1114"/>
      <c r="G36" s="1115" t="s">
        <v>210</v>
      </c>
      <c r="H36" s="1116"/>
      <c r="I36" s="1117"/>
      <c r="J36" s="139"/>
      <c r="Q36" s="155"/>
      <c r="T36" s="10"/>
      <c r="U36" s="10"/>
    </row>
    <row r="37" spans="2:21" ht="33" customHeight="1" thickBot="1">
      <c r="B37" s="1048" t="s">
        <v>222</v>
      </c>
      <c r="C37" s="1049"/>
      <c r="D37" s="1049"/>
      <c r="E37" s="1049"/>
      <c r="F37" s="1049"/>
      <c r="G37" s="1049"/>
      <c r="H37" s="1049"/>
      <c r="I37" s="1050"/>
      <c r="J37" s="139"/>
      <c r="Q37" s="155"/>
      <c r="T37" s="10"/>
      <c r="U37" s="10"/>
    </row>
    <row r="38" spans="2:21" ht="12.75" customHeight="1">
      <c r="B38" s="292"/>
      <c r="C38" s="151"/>
      <c r="D38" s="152"/>
      <c r="E38" s="153"/>
      <c r="F38" s="153"/>
      <c r="G38" s="153"/>
      <c r="H38" s="153"/>
      <c r="I38" s="154"/>
      <c r="J38" s="139"/>
      <c r="Q38" s="155"/>
      <c r="T38" s="10"/>
      <c r="U38" s="10"/>
    </row>
    <row r="39" spans="2:21" ht="13.15" customHeight="1">
      <c r="B39" s="139"/>
      <c r="I39" s="155"/>
      <c r="J39" s="139"/>
      <c r="Q39" s="155"/>
      <c r="T39" s="10"/>
      <c r="U39" s="10"/>
    </row>
    <row r="40" spans="2:21" ht="13.15" customHeight="1">
      <c r="B40" s="1107" t="s">
        <v>223</v>
      </c>
      <c r="C40" s="1108"/>
      <c r="D40" s="1108"/>
      <c r="E40" s="1108"/>
      <c r="F40" s="1108"/>
      <c r="G40" s="1108"/>
      <c r="H40" s="1108"/>
      <c r="I40" s="1109"/>
      <c r="J40" s="139"/>
      <c r="Q40" s="155"/>
      <c r="T40" s="10"/>
      <c r="U40" s="10"/>
    </row>
    <row r="41" spans="2:21" ht="13.15" customHeight="1">
      <c r="B41" s="1107"/>
      <c r="C41" s="1108"/>
      <c r="D41" s="1108"/>
      <c r="E41" s="1108"/>
      <c r="F41" s="1108"/>
      <c r="G41" s="1108"/>
      <c r="H41" s="1108"/>
      <c r="I41" s="1109"/>
      <c r="J41" s="139"/>
      <c r="Q41" s="155"/>
      <c r="T41" s="10"/>
      <c r="U41" s="10"/>
    </row>
    <row r="42" spans="2:21" ht="13.15" customHeight="1">
      <c r="B42" s="1107"/>
      <c r="C42" s="1108"/>
      <c r="D42" s="1108"/>
      <c r="E42" s="1108"/>
      <c r="F42" s="1108"/>
      <c r="G42" s="1108"/>
      <c r="H42" s="1108"/>
      <c r="I42" s="1109"/>
      <c r="J42" s="139"/>
      <c r="Q42" s="155"/>
      <c r="T42" s="10"/>
      <c r="U42" s="10"/>
    </row>
    <row r="43" spans="2:21" ht="13.15" customHeight="1">
      <c r="B43" s="1107"/>
      <c r="C43" s="1108"/>
      <c r="D43" s="1108"/>
      <c r="E43" s="1108"/>
      <c r="F43" s="1108"/>
      <c r="G43" s="1108"/>
      <c r="H43" s="1108"/>
      <c r="I43" s="1109"/>
      <c r="J43" s="139"/>
      <c r="Q43" s="155"/>
      <c r="T43" s="10"/>
      <c r="U43" s="10"/>
    </row>
    <row r="44" spans="2:21" ht="13.15" customHeight="1">
      <c r="B44" s="1107"/>
      <c r="C44" s="1108"/>
      <c r="D44" s="1108"/>
      <c r="E44" s="1108"/>
      <c r="F44" s="1108"/>
      <c r="G44" s="1108"/>
      <c r="H44" s="1108"/>
      <c r="I44" s="1109"/>
      <c r="J44" s="139"/>
      <c r="Q44" s="155"/>
      <c r="T44" s="10"/>
      <c r="U44" s="10"/>
    </row>
    <row r="45" spans="2:21" ht="13.15" customHeight="1">
      <c r="B45" s="1107"/>
      <c r="C45" s="1108"/>
      <c r="D45" s="1108"/>
      <c r="E45" s="1108"/>
      <c r="F45" s="1108"/>
      <c r="G45" s="1108"/>
      <c r="H45" s="1108"/>
      <c r="I45" s="1109"/>
      <c r="J45" s="139"/>
      <c r="Q45" s="155"/>
      <c r="T45" s="10"/>
      <c r="U45" s="10"/>
    </row>
    <row r="46" spans="2:21" ht="13.15" customHeight="1">
      <c r="B46" s="1107"/>
      <c r="C46" s="1108"/>
      <c r="D46" s="1108"/>
      <c r="E46" s="1108"/>
      <c r="F46" s="1108"/>
      <c r="G46" s="1108"/>
      <c r="H46" s="1108"/>
      <c r="I46" s="1109"/>
      <c r="J46" s="139"/>
      <c r="Q46" s="155"/>
      <c r="T46" s="10"/>
      <c r="U46" s="10"/>
    </row>
    <row r="47" spans="2:21">
      <c r="B47" s="1107"/>
      <c r="C47" s="1108"/>
      <c r="D47" s="1108"/>
      <c r="E47" s="1108"/>
      <c r="F47" s="1108"/>
      <c r="G47" s="1108"/>
      <c r="H47" s="1108"/>
      <c r="I47" s="1109"/>
      <c r="J47" s="139"/>
      <c r="Q47" s="155"/>
      <c r="T47" s="10"/>
      <c r="U47" s="10"/>
    </row>
    <row r="48" spans="2:21">
      <c r="B48" s="1107"/>
      <c r="C48" s="1108"/>
      <c r="D48" s="1108"/>
      <c r="E48" s="1108"/>
      <c r="F48" s="1108"/>
      <c r="G48" s="1108"/>
      <c r="H48" s="1108"/>
      <c r="I48" s="1109"/>
      <c r="J48" s="139"/>
      <c r="Q48" s="155"/>
      <c r="T48" s="10"/>
      <c r="U48" s="10"/>
    </row>
    <row r="49" spans="2:21">
      <c r="B49" s="139"/>
      <c r="C49" t="s">
        <v>224</v>
      </c>
      <c r="I49" s="155"/>
      <c r="J49" s="139"/>
      <c r="Q49" s="155"/>
      <c r="T49" s="10"/>
      <c r="U49" s="10"/>
    </row>
    <row r="50" spans="2:21">
      <c r="B50" s="139"/>
      <c r="C50" t="s">
        <v>225</v>
      </c>
      <c r="I50" s="155"/>
      <c r="J50" s="139"/>
      <c r="Q50" s="155"/>
      <c r="T50" s="10"/>
      <c r="U50" s="10"/>
    </row>
    <row r="51" spans="2:21">
      <c r="B51" s="139"/>
      <c r="C51" t="s">
        <v>226</v>
      </c>
      <c r="I51" s="155"/>
      <c r="J51" s="139"/>
      <c r="Q51" s="155"/>
      <c r="T51" s="10"/>
      <c r="U51" s="10"/>
    </row>
    <row r="52" spans="2:21">
      <c r="B52" s="139"/>
      <c r="C52" t="s">
        <v>227</v>
      </c>
      <c r="I52" s="155"/>
      <c r="J52" s="139"/>
      <c r="Q52" s="155"/>
      <c r="T52" s="10"/>
      <c r="U52" s="10"/>
    </row>
    <row r="53" spans="2:21">
      <c r="B53" s="139"/>
      <c r="C53" t="s">
        <v>228</v>
      </c>
      <c r="I53" s="155"/>
      <c r="J53" s="139"/>
      <c r="Q53" s="155"/>
      <c r="T53" s="10"/>
      <c r="U53" s="10"/>
    </row>
    <row r="54" spans="2:21" ht="15.75" thickBot="1">
      <c r="B54" s="140"/>
      <c r="C54" s="714" t="s">
        <v>229</v>
      </c>
      <c r="D54" s="157"/>
      <c r="E54" s="156"/>
      <c r="F54" s="156"/>
      <c r="G54" s="156"/>
      <c r="H54" s="156"/>
      <c r="I54" s="158"/>
      <c r="J54" s="140"/>
      <c r="K54" s="156"/>
      <c r="L54" s="156"/>
      <c r="M54" s="156"/>
      <c r="N54" s="156"/>
      <c r="O54" s="156"/>
      <c r="P54" s="156"/>
      <c r="Q54" s="158"/>
      <c r="T54" s="10"/>
      <c r="U54" s="10"/>
    </row>
    <row r="55" spans="2:21">
      <c r="T55" s="10"/>
      <c r="U55" s="10"/>
    </row>
    <row r="56" spans="2:21">
      <c r="T56" s="10"/>
      <c r="U56" s="10"/>
    </row>
    <row r="57" spans="2:21">
      <c r="O57" s="293"/>
      <c r="T57" s="10"/>
      <c r="U57" s="10"/>
    </row>
    <row r="58" spans="2:21" ht="13.15" customHeight="1">
      <c r="D58"/>
      <c r="O58" s="293"/>
      <c r="T58" s="10"/>
      <c r="U58" s="10"/>
    </row>
    <row r="59" spans="2:21" ht="13.15" customHeight="1">
      <c r="D59"/>
      <c r="O59" s="293"/>
      <c r="T59" s="10"/>
      <c r="U59" s="10"/>
    </row>
    <row r="60" spans="2:21" ht="13.15" customHeight="1">
      <c r="D60"/>
      <c r="T60" s="10"/>
      <c r="U60" s="10"/>
    </row>
    <row r="61" spans="2:21" ht="13.15" customHeight="1">
      <c r="D61"/>
      <c r="T61" s="10"/>
      <c r="U61" s="10"/>
    </row>
    <row r="62" spans="2:21" ht="13.15" customHeight="1">
      <c r="D62"/>
      <c r="T62" s="10"/>
      <c r="U62" s="10"/>
    </row>
    <row r="63" spans="2:21" ht="13.15" customHeight="1">
      <c r="D63"/>
      <c r="T63" s="10"/>
      <c r="U63" s="10"/>
    </row>
    <row r="64" spans="2:21" ht="13.15" customHeight="1">
      <c r="D64"/>
      <c r="T64" s="10"/>
      <c r="U64" s="10"/>
    </row>
    <row r="65" spans="4:15" ht="13.15" customHeight="1">
      <c r="D65"/>
      <c r="J65" s="873">
        <v>16633.650000000001</v>
      </c>
      <c r="K65" s="873">
        <v>16618.509999999998</v>
      </c>
      <c r="L65" s="873">
        <v>13981.06</v>
      </c>
      <c r="M65" s="873">
        <v>11840.33</v>
      </c>
      <c r="N65" s="873">
        <v>12394.17</v>
      </c>
      <c r="O65" s="873">
        <v>12967.17</v>
      </c>
    </row>
    <row r="66" spans="4:15" ht="13.15" customHeight="1">
      <c r="D66"/>
      <c r="J66" s="872">
        <v>2936.53</v>
      </c>
      <c r="K66" s="872">
        <v>2861.85</v>
      </c>
      <c r="L66" s="872">
        <v>2291.13</v>
      </c>
      <c r="M66" s="872">
        <v>2247.14</v>
      </c>
      <c r="N66" s="872">
        <v>2236.6799999999998</v>
      </c>
      <c r="O66" s="872">
        <v>2350.16</v>
      </c>
    </row>
    <row r="67" spans="4:15" ht="13.15" customHeight="1">
      <c r="D67"/>
      <c r="J67" s="872">
        <v>786.87</v>
      </c>
      <c r="K67" s="872">
        <v>806.95</v>
      </c>
      <c r="L67" s="872">
        <v>662.66</v>
      </c>
      <c r="M67" s="872">
        <v>519.34</v>
      </c>
      <c r="N67" s="872">
        <v>766.37</v>
      </c>
      <c r="O67" s="872">
        <v>758.23</v>
      </c>
    </row>
    <row r="68" spans="4:15" ht="13.15" customHeight="1">
      <c r="D68"/>
      <c r="J68" s="872">
        <v>224.94</v>
      </c>
      <c r="K68" s="872">
        <v>250.69</v>
      </c>
      <c r="L68" s="872">
        <v>193.16</v>
      </c>
      <c r="M68" s="872">
        <v>193.19</v>
      </c>
      <c r="N68" s="872">
        <v>249.78</v>
      </c>
      <c r="O68" s="872">
        <v>289.44</v>
      </c>
    </row>
    <row r="69" spans="4:15" ht="13.15" customHeight="1">
      <c r="D69"/>
    </row>
    <row r="70" spans="4:15" ht="13.15" customHeight="1">
      <c r="D70"/>
    </row>
    <row r="71" spans="4:15" ht="13.15" customHeight="1">
      <c r="D71"/>
    </row>
    <row r="72" spans="4:15" ht="13.15" customHeight="1">
      <c r="D72"/>
    </row>
    <row r="73" spans="4:15" ht="13.15" customHeight="1">
      <c r="D73"/>
    </row>
    <row r="74" spans="4:15" ht="13.15" customHeight="1">
      <c r="D74"/>
    </row>
    <row r="75" spans="4:15" ht="13.15" customHeight="1">
      <c r="D75"/>
    </row>
    <row r="76" spans="4:15" ht="13.15" customHeight="1">
      <c r="D76"/>
    </row>
    <row r="77" spans="4:15" ht="13.15" customHeight="1">
      <c r="D77"/>
    </row>
    <row r="78" spans="4:15" ht="13.15" customHeight="1">
      <c r="D78"/>
    </row>
    <row r="79" spans="4:15" ht="13.15" customHeight="1">
      <c r="D79"/>
    </row>
    <row r="80" spans="4:15" ht="13.15" customHeight="1">
      <c r="D80"/>
    </row>
    <row r="81" spans="4:4" ht="13.15" customHeight="1">
      <c r="D81"/>
    </row>
    <row r="82" spans="4:4" ht="13.15" customHeight="1">
      <c r="D82"/>
    </row>
    <row r="83" spans="4:4" ht="13.15" customHeight="1">
      <c r="D83"/>
    </row>
    <row r="84" spans="4:4" ht="13.15" customHeight="1">
      <c r="D84"/>
    </row>
    <row r="85" spans="4:4" ht="13.15" customHeight="1">
      <c r="D85"/>
    </row>
    <row r="86" spans="4:4" ht="13.15" customHeight="1">
      <c r="D86"/>
    </row>
    <row r="87" spans="4:4" ht="13.15" customHeight="1">
      <c r="D87"/>
    </row>
    <row r="88" spans="4:4" ht="13.15" customHeight="1">
      <c r="D88"/>
    </row>
    <row r="89" spans="4:4" ht="13.15" customHeight="1">
      <c r="D89"/>
    </row>
    <row r="90" spans="4:4" ht="13.15" customHeight="1">
      <c r="D90"/>
    </row>
    <row r="91" spans="4:4" ht="13.15" customHeight="1">
      <c r="D91"/>
    </row>
    <row r="92" spans="4:4" ht="13.15" customHeight="1">
      <c r="D92"/>
    </row>
    <row r="93" spans="4:4" ht="13.15" customHeight="1">
      <c r="D93"/>
    </row>
    <row r="94" spans="4:4" ht="13.15" customHeight="1">
      <c r="D94"/>
    </row>
    <row r="95" spans="4:4" ht="13.15" customHeight="1">
      <c r="D95"/>
    </row>
    <row r="96" spans="4:4" ht="13.15" customHeight="1">
      <c r="D96"/>
    </row>
    <row r="97" spans="4:4" ht="13.15" customHeight="1">
      <c r="D97"/>
    </row>
    <row r="98" spans="4:4" ht="13.15" customHeight="1">
      <c r="D98"/>
    </row>
    <row r="99" spans="4:4" ht="13.15" customHeight="1">
      <c r="D99"/>
    </row>
    <row r="100" spans="4:4" ht="13.15" customHeight="1">
      <c r="D100"/>
    </row>
    <row r="101" spans="4:4" ht="13.15" customHeight="1">
      <c r="D101"/>
    </row>
    <row r="102" spans="4:4" ht="13.15" customHeight="1">
      <c r="D102"/>
    </row>
    <row r="103" spans="4:4" ht="13.15" customHeight="1">
      <c r="D103"/>
    </row>
    <row r="104" spans="4:4" ht="13.15" customHeight="1">
      <c r="D104"/>
    </row>
    <row r="105" spans="4:4" ht="13.15" customHeight="1">
      <c r="D105"/>
    </row>
    <row r="106" spans="4:4" ht="13.15" customHeight="1">
      <c r="D106"/>
    </row>
    <row r="107" spans="4:4" ht="13.15" customHeight="1">
      <c r="D107"/>
    </row>
    <row r="108" spans="4:4" ht="13.15" customHeight="1">
      <c r="D108"/>
    </row>
    <row r="109" spans="4:4" ht="13.15" customHeight="1">
      <c r="D109"/>
    </row>
    <row r="110" spans="4:4" ht="13.15" customHeight="1">
      <c r="D110"/>
    </row>
    <row r="111" spans="4:4" ht="13.15" customHeight="1">
      <c r="D111"/>
    </row>
    <row r="112" spans="4:4" ht="21" customHeight="1">
      <c r="D112"/>
    </row>
    <row r="113" spans="4:4" ht="13.15" customHeight="1">
      <c r="D113"/>
    </row>
    <row r="114" spans="4:4" ht="13.15" customHeight="1">
      <c r="D114"/>
    </row>
    <row r="115" spans="4:4" ht="13.15" customHeight="1">
      <c r="D115"/>
    </row>
    <row r="116" spans="4:4" ht="13.15" customHeight="1">
      <c r="D116"/>
    </row>
    <row r="117" spans="4:4" ht="13.15" customHeight="1">
      <c r="D117"/>
    </row>
    <row r="118" spans="4:4" ht="13.15" customHeight="1">
      <c r="D118"/>
    </row>
    <row r="119" spans="4:4" ht="13.15" customHeight="1">
      <c r="D119"/>
    </row>
    <row r="120" spans="4:4" ht="13.15" customHeight="1">
      <c r="D120"/>
    </row>
    <row r="121" spans="4:4" ht="13.15" customHeight="1">
      <c r="D121"/>
    </row>
    <row r="122" spans="4:4" ht="13.15" customHeight="1">
      <c r="D122"/>
    </row>
    <row r="123" spans="4:4" ht="13.15" customHeight="1">
      <c r="D123"/>
    </row>
    <row r="124" spans="4:4" ht="13.15" customHeight="1">
      <c r="D124"/>
    </row>
    <row r="125" spans="4:4" ht="13.15" customHeight="1">
      <c r="D125"/>
    </row>
    <row r="126" spans="4:4" ht="13.15" customHeight="1">
      <c r="D126"/>
    </row>
    <row r="127" spans="4:4" ht="13.15" customHeight="1">
      <c r="D127"/>
    </row>
    <row r="128" spans="4:4" ht="13.15" customHeight="1">
      <c r="D128"/>
    </row>
    <row r="129" spans="4:4" ht="13.15" customHeight="1">
      <c r="D129"/>
    </row>
    <row r="130" spans="4:4" ht="13.15" customHeight="1">
      <c r="D130"/>
    </row>
    <row r="131" spans="4:4" ht="13.15" customHeight="1">
      <c r="D131"/>
    </row>
    <row r="132" spans="4:4" ht="13.15" customHeight="1">
      <c r="D132"/>
    </row>
    <row r="133" spans="4:4" ht="13.15" customHeight="1">
      <c r="D133"/>
    </row>
    <row r="134" spans="4:4" ht="13.15" customHeight="1">
      <c r="D134"/>
    </row>
    <row r="135" spans="4:4" ht="13.15" customHeight="1">
      <c r="D135"/>
    </row>
    <row r="136" spans="4:4" ht="13.15" customHeight="1">
      <c r="D136"/>
    </row>
    <row r="137" spans="4:4" ht="13.15" customHeight="1">
      <c r="D137"/>
    </row>
    <row r="138" spans="4:4" ht="13.15" customHeight="1">
      <c r="D138"/>
    </row>
    <row r="139" spans="4:4" ht="13.15" customHeight="1">
      <c r="D139"/>
    </row>
    <row r="140" spans="4:4" ht="13.15" customHeight="1">
      <c r="D140"/>
    </row>
    <row r="141" spans="4:4" ht="13.15" customHeight="1">
      <c r="D141"/>
    </row>
    <row r="142" spans="4:4" ht="13.15" customHeight="1">
      <c r="D142"/>
    </row>
    <row r="143" spans="4:4" ht="13.15" customHeight="1">
      <c r="D143"/>
    </row>
    <row r="144" spans="4:4" ht="13.15" customHeight="1">
      <c r="D144"/>
    </row>
    <row r="145" spans="4:4" ht="13.15" customHeight="1">
      <c r="D145"/>
    </row>
  </sheetData>
  <mergeCells count="47">
    <mergeCell ref="B40:I48"/>
    <mergeCell ref="B34:C34"/>
    <mergeCell ref="D34:F34"/>
    <mergeCell ref="G34:I34"/>
    <mergeCell ref="B35:C35"/>
    <mergeCell ref="D35:F35"/>
    <mergeCell ref="G35:I35"/>
    <mergeCell ref="B36:C36"/>
    <mergeCell ref="D36:F36"/>
    <mergeCell ref="G36:I36"/>
    <mergeCell ref="D28:I28"/>
    <mergeCell ref="D29:I29"/>
    <mergeCell ref="B30:I30"/>
    <mergeCell ref="B37:I37"/>
    <mergeCell ref="D33:F33"/>
    <mergeCell ref="Q2:Y2"/>
    <mergeCell ref="K3:P3"/>
    <mergeCell ref="B2:P2"/>
    <mergeCell ref="B24:C24"/>
    <mergeCell ref="D20:H20"/>
    <mergeCell ref="D21:H21"/>
    <mergeCell ref="D22:H22"/>
    <mergeCell ref="D23:H23"/>
    <mergeCell ref="D24:H24"/>
    <mergeCell ref="D3:I3"/>
    <mergeCell ref="B22:C22"/>
    <mergeCell ref="B23:C23"/>
    <mergeCell ref="B21:C21"/>
    <mergeCell ref="B11:P11"/>
    <mergeCell ref="D12:I12"/>
    <mergeCell ref="K12:P12"/>
    <mergeCell ref="I20:P20"/>
    <mergeCell ref="B26:I26"/>
    <mergeCell ref="J26:Q26"/>
    <mergeCell ref="D27:I27"/>
    <mergeCell ref="G33:I33"/>
    <mergeCell ref="G31:I31"/>
    <mergeCell ref="G32:I32"/>
    <mergeCell ref="D31:F31"/>
    <mergeCell ref="D32:F32"/>
    <mergeCell ref="B20:C20"/>
    <mergeCell ref="B27:C27"/>
    <mergeCell ref="B31:C31"/>
    <mergeCell ref="B32:C32"/>
    <mergeCell ref="B33:C33"/>
    <mergeCell ref="B29:C29"/>
    <mergeCell ref="B28:C28"/>
  </mergeCells>
  <phoneticPr fontId="0" type="noConversion"/>
  <conditionalFormatting sqref="B14:B17">
    <cfRule type="dataBar" priority="305">
      <dataBar>
        <cfvo type="min"/>
        <cfvo type="max"/>
        <color rgb="FF638EC6"/>
      </dataBar>
      <extLst>
        <ext xmlns:x14="http://schemas.microsoft.com/office/spreadsheetml/2009/9/main" uri="{B025F937-C7B1-47D3-B67F-A62EFF666E3E}">
          <x14:id>{FF97A4AD-B483-47F0-9F02-35866E44782B}</x14:id>
        </ext>
      </extLst>
    </cfRule>
  </conditionalFormatting>
  <conditionalFormatting sqref="D5:I5">
    <cfRule type="dataBar" priority="101">
      <dataBar>
        <cfvo type="min"/>
        <cfvo type="max"/>
        <color rgb="FF63C384"/>
      </dataBar>
      <extLst>
        <ext xmlns:x14="http://schemas.microsoft.com/office/spreadsheetml/2009/9/main" uri="{B025F937-C7B1-47D3-B67F-A62EFF666E3E}">
          <x14:id>{AD398820-6302-488A-8AFB-E5B11631C1A6}</x14:id>
        </ext>
      </extLst>
    </cfRule>
    <cfRule type="dataBar" priority="102">
      <dataBar>
        <cfvo type="min"/>
        <cfvo type="max"/>
        <color rgb="FF63C384"/>
      </dataBar>
      <extLst>
        <ext xmlns:x14="http://schemas.microsoft.com/office/spreadsheetml/2009/9/main" uri="{B025F937-C7B1-47D3-B67F-A62EFF666E3E}">
          <x14:id>{3CDA52ED-DFF8-4E4C-A34E-6DE4E6D7B265}</x14:id>
        </ext>
      </extLst>
    </cfRule>
  </conditionalFormatting>
  <conditionalFormatting sqref="D6:I6">
    <cfRule type="dataBar" priority="99">
      <dataBar>
        <cfvo type="min"/>
        <cfvo type="max"/>
        <color rgb="FF63C384"/>
      </dataBar>
      <extLst>
        <ext xmlns:x14="http://schemas.microsoft.com/office/spreadsheetml/2009/9/main" uri="{B025F937-C7B1-47D3-B67F-A62EFF666E3E}">
          <x14:id>{D36C0D1E-8082-4547-A77F-0733F2AAF27E}</x14:id>
        </ext>
      </extLst>
    </cfRule>
    <cfRule type="dataBar" priority="100">
      <dataBar>
        <cfvo type="min"/>
        <cfvo type="max"/>
        <color rgb="FF63C384"/>
      </dataBar>
      <extLst>
        <ext xmlns:x14="http://schemas.microsoft.com/office/spreadsheetml/2009/9/main" uri="{B025F937-C7B1-47D3-B67F-A62EFF666E3E}">
          <x14:id>{ECCF6700-BABD-45E9-89E2-9DB8650B6DD6}</x14:id>
        </ext>
      </extLst>
    </cfRule>
  </conditionalFormatting>
  <conditionalFormatting sqref="D7:I7">
    <cfRule type="dataBar" priority="95">
      <dataBar>
        <cfvo type="min"/>
        <cfvo type="max"/>
        <color rgb="FF63C384"/>
      </dataBar>
      <extLst>
        <ext xmlns:x14="http://schemas.microsoft.com/office/spreadsheetml/2009/9/main" uri="{B025F937-C7B1-47D3-B67F-A62EFF666E3E}">
          <x14:id>{5C567D89-F399-45BC-84AD-D9FE15C0B4DC}</x14:id>
        </ext>
      </extLst>
    </cfRule>
    <cfRule type="dataBar" priority="96">
      <dataBar>
        <cfvo type="min"/>
        <cfvo type="max"/>
        <color rgb="FF63C384"/>
      </dataBar>
      <extLst>
        <ext xmlns:x14="http://schemas.microsoft.com/office/spreadsheetml/2009/9/main" uri="{B025F937-C7B1-47D3-B67F-A62EFF666E3E}">
          <x14:id>{BE119A44-ACB5-42AA-9590-175D3F76B18F}</x14:id>
        </ext>
      </extLst>
    </cfRule>
  </conditionalFormatting>
  <conditionalFormatting sqref="D8:I8">
    <cfRule type="dataBar" priority="55">
      <dataBar>
        <cfvo type="min"/>
        <cfvo type="max"/>
        <color rgb="FF63C384"/>
      </dataBar>
      <extLst>
        <ext xmlns:x14="http://schemas.microsoft.com/office/spreadsheetml/2009/9/main" uri="{B025F937-C7B1-47D3-B67F-A62EFF666E3E}">
          <x14:id>{0D63483F-66EC-4601-A5C0-189E84E4B53A}</x14:id>
        </ext>
      </extLst>
    </cfRule>
    <cfRule type="dataBar" priority="56">
      <dataBar>
        <cfvo type="min"/>
        <cfvo type="max"/>
        <color rgb="FF63C384"/>
      </dataBar>
      <extLst>
        <ext xmlns:x14="http://schemas.microsoft.com/office/spreadsheetml/2009/9/main" uri="{B025F937-C7B1-47D3-B67F-A62EFF666E3E}">
          <x14:id>{D5D86E45-408A-4840-9EB1-33FAE65ACB2D}</x14:id>
        </ext>
      </extLst>
    </cfRule>
    <cfRule type="dataBar" priority="57">
      <dataBar>
        <cfvo type="min"/>
        <cfvo type="max"/>
        <color rgb="FF63C384"/>
      </dataBar>
      <extLst>
        <ext xmlns:x14="http://schemas.microsoft.com/office/spreadsheetml/2009/9/main" uri="{B025F937-C7B1-47D3-B67F-A62EFF666E3E}">
          <x14:id>{E61D29E0-5F20-4236-A62B-38697EB3234D}</x14:id>
        </ext>
      </extLst>
    </cfRule>
    <cfRule type="dataBar" priority="58">
      <dataBar>
        <cfvo type="min"/>
        <cfvo type="max"/>
        <color rgb="FF63C384"/>
      </dataBar>
      <extLst>
        <ext xmlns:x14="http://schemas.microsoft.com/office/spreadsheetml/2009/9/main" uri="{B025F937-C7B1-47D3-B67F-A62EFF666E3E}">
          <x14:id>{57367B2B-1266-40E4-8768-A8D95FA304D6}</x14:id>
        </ext>
      </extLst>
    </cfRule>
  </conditionalFormatting>
  <conditionalFormatting sqref="D14:I17">
    <cfRule type="dataBar" priority="1">
      <dataBar>
        <cfvo type="min"/>
        <cfvo type="max"/>
        <color rgb="FF63C384"/>
      </dataBar>
      <extLst>
        <ext xmlns:x14="http://schemas.microsoft.com/office/spreadsheetml/2009/9/main" uri="{B025F937-C7B1-47D3-B67F-A62EFF666E3E}">
          <x14:id>{4D84BDF2-B610-4561-B057-EBC4F16D81EC}</x14:id>
        </ext>
      </extLst>
    </cfRule>
    <cfRule type="dataBar" priority="2">
      <dataBar>
        <cfvo type="min"/>
        <cfvo type="max"/>
        <color rgb="FF63C384"/>
      </dataBar>
      <extLst>
        <ext xmlns:x14="http://schemas.microsoft.com/office/spreadsheetml/2009/9/main" uri="{B025F937-C7B1-47D3-B67F-A62EFF666E3E}">
          <x14:id>{395D3267-F5C7-48F9-AF2E-47FB8C3189B6}</x14:id>
        </ext>
      </extLst>
    </cfRule>
    <cfRule type="dataBar" priority="3">
      <dataBar>
        <cfvo type="min"/>
        <cfvo type="max"/>
        <color rgb="FF63C384"/>
      </dataBar>
      <extLst>
        <ext xmlns:x14="http://schemas.microsoft.com/office/spreadsheetml/2009/9/main" uri="{B025F937-C7B1-47D3-B67F-A62EFF666E3E}">
          <x14:id>{BC67488B-8D7E-418B-8307-C61E9215AC58}</x14:id>
        </ext>
      </extLst>
    </cfRule>
    <cfRule type="dataBar" priority="4">
      <dataBar>
        <cfvo type="min"/>
        <cfvo type="max"/>
        <color rgb="FF63C384"/>
      </dataBar>
      <extLst>
        <ext xmlns:x14="http://schemas.microsoft.com/office/spreadsheetml/2009/9/main" uri="{B025F937-C7B1-47D3-B67F-A62EFF666E3E}">
          <x14:id>{F060A7FC-3B8B-475A-87EC-BD645650E66C}</x14:id>
        </ext>
      </extLst>
    </cfRule>
  </conditionalFormatting>
  <conditionalFormatting sqref="J65:O65">
    <cfRule type="dataBar" priority="15">
      <dataBar>
        <cfvo type="min"/>
        <cfvo type="max"/>
        <color rgb="FF63C384"/>
      </dataBar>
      <extLst>
        <ext xmlns:x14="http://schemas.microsoft.com/office/spreadsheetml/2009/9/main" uri="{B025F937-C7B1-47D3-B67F-A62EFF666E3E}">
          <x14:id>{46B5332F-541E-4B5A-9EF3-D3DBF661553F}</x14:id>
        </ext>
      </extLst>
    </cfRule>
    <cfRule type="dataBar" priority="16">
      <dataBar>
        <cfvo type="min"/>
        <cfvo type="max"/>
        <color rgb="FF63C384"/>
      </dataBar>
      <extLst>
        <ext xmlns:x14="http://schemas.microsoft.com/office/spreadsheetml/2009/9/main" uri="{B025F937-C7B1-47D3-B67F-A62EFF666E3E}">
          <x14:id>{5374E95E-0EAE-461E-BE6B-CA17E67ED778}</x14:id>
        </ext>
      </extLst>
    </cfRule>
  </conditionalFormatting>
  <conditionalFormatting sqref="K14:K17">
    <cfRule type="dataBar" priority="306">
      <dataBar>
        <cfvo type="min"/>
        <cfvo type="max"/>
        <color rgb="FF63C384"/>
      </dataBar>
      <extLst>
        <ext xmlns:x14="http://schemas.microsoft.com/office/spreadsheetml/2009/9/main" uri="{B025F937-C7B1-47D3-B67F-A62EFF666E3E}">
          <x14:id>{B2094BEA-488A-493D-8E0D-AFE175B2BDBE}</x14:id>
        </ext>
      </extLst>
    </cfRule>
  </conditionalFormatting>
  <conditionalFormatting sqref="K14:O17">
    <cfRule type="dataBar" priority="307">
      <dataBar>
        <cfvo type="min"/>
        <cfvo type="max"/>
        <color rgb="FF63C384"/>
      </dataBar>
      <extLst>
        <ext xmlns:x14="http://schemas.microsoft.com/office/spreadsheetml/2009/9/main" uri="{B025F937-C7B1-47D3-B67F-A62EFF666E3E}">
          <x14:id>{F29A1CCC-3015-4A7D-BDBD-D6C2BD7C7134}</x14:id>
        </ext>
      </extLst>
    </cfRule>
    <cfRule type="dataBar" priority="308">
      <dataBar>
        <cfvo type="min"/>
        <cfvo type="max"/>
        <color rgb="FF63C384"/>
      </dataBar>
      <extLst>
        <ext xmlns:x14="http://schemas.microsoft.com/office/spreadsheetml/2009/9/main" uri="{B025F937-C7B1-47D3-B67F-A62EFF666E3E}">
          <x14:id>{13D432BC-65B8-4D3E-8E4E-9ECA2EFCE700}</x14:id>
        </ext>
      </extLst>
    </cfRule>
    <cfRule type="dataBar" priority="309">
      <dataBar>
        <cfvo type="min"/>
        <cfvo type="max"/>
        <color rgb="FF63C384"/>
      </dataBar>
      <extLst>
        <ext xmlns:x14="http://schemas.microsoft.com/office/spreadsheetml/2009/9/main" uri="{B025F937-C7B1-47D3-B67F-A62EFF666E3E}">
          <x14:id>{4979FC66-8D7A-44EF-87EB-4D32DF25CAB2}</x14:id>
        </ext>
      </extLst>
    </cfRule>
  </conditionalFormatting>
  <conditionalFormatting sqref="K14:P17">
    <cfRule type="dataBar" priority="310">
      <dataBar>
        <cfvo type="min"/>
        <cfvo type="max"/>
        <color rgb="FF63C384"/>
      </dataBar>
      <extLst>
        <ext xmlns:x14="http://schemas.microsoft.com/office/spreadsheetml/2009/9/main" uri="{B025F937-C7B1-47D3-B67F-A62EFF666E3E}">
          <x14:id>{D2571974-B262-4609-A0A0-5E24D8AB9D12}</x14:id>
        </ext>
      </extLst>
    </cfRule>
    <cfRule type="dataBar" priority="311">
      <dataBar>
        <cfvo type="min"/>
        <cfvo type="max"/>
        <color rgb="FF63C384"/>
      </dataBar>
      <extLst>
        <ext xmlns:x14="http://schemas.microsoft.com/office/spreadsheetml/2009/9/main" uri="{B025F937-C7B1-47D3-B67F-A62EFF666E3E}">
          <x14:id>{64BFC5DA-7D24-450B-A163-4EFC129E3461}</x14:id>
        </ext>
      </extLst>
    </cfRule>
    <cfRule type="dataBar" priority="312">
      <dataBar>
        <cfvo type="min"/>
        <cfvo type="max"/>
        <color rgb="FF63C384"/>
      </dataBar>
      <extLst>
        <ext xmlns:x14="http://schemas.microsoft.com/office/spreadsheetml/2009/9/main" uri="{B025F937-C7B1-47D3-B67F-A62EFF666E3E}">
          <x14:id>{95D181D7-3E86-40C0-B2E5-A32694D59997}</x14:id>
        </ext>
      </extLst>
    </cfRule>
    <cfRule type="dataBar" priority="313">
      <dataBar>
        <cfvo type="min"/>
        <cfvo type="max"/>
        <color rgb="FF63C384"/>
      </dataBar>
      <extLst>
        <ext xmlns:x14="http://schemas.microsoft.com/office/spreadsheetml/2009/9/main" uri="{B025F937-C7B1-47D3-B67F-A62EFF666E3E}">
          <x14:id>{1CDEC3E4-D4E1-43F5-AF4B-A5290E560428}</x14:id>
        </ext>
      </extLst>
    </cfRule>
    <cfRule type="dataBar" priority="314">
      <dataBar>
        <cfvo type="min"/>
        <cfvo type="max"/>
        <color rgb="FF63C384"/>
      </dataBar>
      <extLst>
        <ext xmlns:x14="http://schemas.microsoft.com/office/spreadsheetml/2009/9/main" uri="{B025F937-C7B1-47D3-B67F-A62EFF666E3E}">
          <x14:id>{70EF5D6C-0F10-4FCA-9A7A-31C05844FA46}</x14:id>
        </ext>
      </extLst>
    </cfRule>
  </conditionalFormatting>
  <conditionalFormatting sqref="L14:L17">
    <cfRule type="dataBar" priority="315">
      <dataBar>
        <cfvo type="min"/>
        <cfvo type="max"/>
        <color rgb="FF63C384"/>
      </dataBar>
      <extLst>
        <ext xmlns:x14="http://schemas.microsoft.com/office/spreadsheetml/2009/9/main" uri="{B025F937-C7B1-47D3-B67F-A62EFF666E3E}">
          <x14:id>{EB4E86C5-A4B2-4912-80F0-39C07D30F8EE}</x14:id>
        </ext>
      </extLst>
    </cfRule>
  </conditionalFormatting>
  <conditionalFormatting sqref="M16:M17">
    <cfRule type="dataBar" priority="316">
      <dataBar>
        <cfvo type="min"/>
        <cfvo type="max"/>
        <color rgb="FF63C384"/>
      </dataBar>
      <extLst>
        <ext xmlns:x14="http://schemas.microsoft.com/office/spreadsheetml/2009/9/main" uri="{B025F937-C7B1-47D3-B67F-A62EFF666E3E}">
          <x14:id>{841D9B30-5BAB-4140-A0DE-43D026E8440D}</x14:id>
        </ext>
      </extLst>
    </cfRule>
  </conditionalFormatting>
  <conditionalFormatting sqref="N14:N17">
    <cfRule type="dataBar" priority="317">
      <dataBar>
        <cfvo type="min"/>
        <cfvo type="max"/>
        <color rgb="FF63C384"/>
      </dataBar>
      <extLst>
        <ext xmlns:x14="http://schemas.microsoft.com/office/spreadsheetml/2009/9/main" uri="{B025F937-C7B1-47D3-B67F-A62EFF666E3E}">
          <x14:id>{5683EB30-CFD2-4726-B55A-B3C860030A7B}</x14:id>
        </ext>
      </extLst>
    </cfRule>
  </conditionalFormatting>
  <conditionalFormatting sqref="O14:O17">
    <cfRule type="dataBar" priority="318">
      <dataBar>
        <cfvo type="min"/>
        <cfvo type="max"/>
        <color rgb="FF63C384"/>
      </dataBar>
      <extLst>
        <ext xmlns:x14="http://schemas.microsoft.com/office/spreadsheetml/2009/9/main" uri="{B025F937-C7B1-47D3-B67F-A62EFF666E3E}">
          <x14:id>{FB5893C9-59BA-44A8-8FA9-DEF1D65B80E2}</x14:id>
        </ext>
      </extLst>
    </cfRule>
  </conditionalFormatting>
  <conditionalFormatting sqref="P14:P17">
    <cfRule type="dataBar" priority="319">
      <dataBar>
        <cfvo type="min"/>
        <cfvo type="max"/>
        <color rgb="FF63C384"/>
      </dataBar>
      <extLst>
        <ext xmlns:x14="http://schemas.microsoft.com/office/spreadsheetml/2009/9/main" uri="{B025F937-C7B1-47D3-B67F-A62EFF666E3E}">
          <x14:id>{0509DCCA-8D2E-4B3C-BE32-B54EE0EDAEB1}</x14:id>
        </ext>
      </extLst>
    </cfRule>
  </conditionalFormatting>
  <conditionalFormatting sqref="L7:O8 K5:K8">
    <cfRule type="dataBar" priority="322">
      <dataBar>
        <cfvo type="min"/>
        <cfvo type="max"/>
        <color rgb="FF63C384"/>
      </dataBar>
      <extLst>
        <ext xmlns:x14="http://schemas.microsoft.com/office/spreadsheetml/2009/9/main" uri="{B025F937-C7B1-47D3-B67F-A62EFF666E3E}">
          <x14:id>{5A27FB5F-AC6D-40FD-B152-7630C251B9C8}</x14:id>
        </ext>
      </extLst>
    </cfRule>
  </conditionalFormatting>
  <conditionalFormatting sqref="K7:O8 K5:P6">
    <cfRule type="dataBar" priority="326">
      <dataBar>
        <cfvo type="min"/>
        <cfvo type="max"/>
        <color rgb="FF63C384"/>
      </dataBar>
      <extLst>
        <ext xmlns:x14="http://schemas.microsoft.com/office/spreadsheetml/2009/9/main" uri="{B025F937-C7B1-47D3-B67F-A62EFF666E3E}">
          <x14:id>{1642E512-5328-4DB9-81F4-5A67EFFA2D7A}</x14:id>
        </ext>
      </extLst>
    </cfRule>
    <cfRule type="dataBar" priority="327">
      <dataBar>
        <cfvo type="min"/>
        <cfvo type="max"/>
        <color rgb="FF63C384"/>
      </dataBar>
      <extLst>
        <ext xmlns:x14="http://schemas.microsoft.com/office/spreadsheetml/2009/9/main" uri="{B025F937-C7B1-47D3-B67F-A62EFF666E3E}">
          <x14:id>{5832A442-CC22-41FC-AD17-86122538435B}</x14:id>
        </ext>
      </extLst>
    </cfRule>
  </conditionalFormatting>
  <conditionalFormatting sqref="D5:I7">
    <cfRule type="dataBar" priority="328">
      <dataBar>
        <cfvo type="min"/>
        <cfvo type="max"/>
        <color rgb="FF63C384"/>
      </dataBar>
      <extLst>
        <ext xmlns:x14="http://schemas.microsoft.com/office/spreadsheetml/2009/9/main" uri="{B025F937-C7B1-47D3-B67F-A62EFF666E3E}">
          <x14:id>{75B1F656-8DD4-487F-A221-DCDBA8DA4FED}</x14:id>
        </ext>
      </extLst>
    </cfRule>
    <cfRule type="dataBar" priority="329">
      <dataBar>
        <cfvo type="min"/>
        <cfvo type="max"/>
        <color rgb="FF63C384"/>
      </dataBar>
      <extLst>
        <ext xmlns:x14="http://schemas.microsoft.com/office/spreadsheetml/2009/9/main" uri="{B025F937-C7B1-47D3-B67F-A62EFF666E3E}">
          <x14:id>{0E7CF652-EB3F-4171-A40A-1F4DC9F6771E}</x14:id>
        </ext>
      </extLst>
    </cfRule>
  </conditionalFormatting>
  <conditionalFormatting sqref="L5:L6">
    <cfRule type="dataBar" priority="332">
      <dataBar>
        <cfvo type="min"/>
        <cfvo type="max"/>
        <color rgb="FF63C384"/>
      </dataBar>
      <extLst>
        <ext xmlns:x14="http://schemas.microsoft.com/office/spreadsheetml/2009/9/main" uri="{B025F937-C7B1-47D3-B67F-A62EFF666E3E}">
          <x14:id>{086E2BE5-AF7D-45A1-A497-EB3FB49CEB4D}</x14:id>
        </ext>
      </extLst>
    </cfRule>
  </conditionalFormatting>
  <conditionalFormatting sqref="M5:P6">
    <cfRule type="dataBar" priority="333">
      <dataBar>
        <cfvo type="min"/>
        <cfvo type="max"/>
        <color rgb="FF63C384"/>
      </dataBar>
      <extLst>
        <ext xmlns:x14="http://schemas.microsoft.com/office/spreadsheetml/2009/9/main" uri="{B025F937-C7B1-47D3-B67F-A62EFF666E3E}">
          <x14:id>{418255D3-2B96-41A9-9582-87939D7FAE81}</x14:id>
        </ext>
      </extLst>
    </cfRule>
  </conditionalFormatting>
  <conditionalFormatting sqref="B5:B8">
    <cfRule type="dataBar" priority="334">
      <dataBar>
        <cfvo type="min"/>
        <cfvo type="max"/>
        <color rgb="FF638EC6"/>
      </dataBar>
      <extLst>
        <ext xmlns:x14="http://schemas.microsoft.com/office/spreadsheetml/2009/9/main" uri="{B025F937-C7B1-47D3-B67F-A62EFF666E3E}">
          <x14:id>{6E381EE6-DF6C-4880-BDC6-793A4FBC9886}</x14:id>
        </ext>
      </extLst>
    </cfRule>
  </conditionalFormatting>
  <pageMargins left="0.75" right="0.75" top="1" bottom="1" header="0" footer="0"/>
  <pageSetup orientation="landscape" r:id="rId1"/>
  <headerFooter alignWithMargins="0"/>
  <drawing r:id="rId2"/>
  <extLst>
    <ext xmlns:x14="http://schemas.microsoft.com/office/spreadsheetml/2009/9/main" uri="{78C0D931-6437-407d-A8EE-F0AAD7539E65}">
      <x14:conditionalFormattings>
        <x14:conditionalFormatting xmlns:xm="http://schemas.microsoft.com/office/excel/2006/main">
          <x14:cfRule type="dataBar" id="{FF97A4AD-B483-47F0-9F02-35866E44782B}">
            <x14:dataBar minLength="0" maxLength="100" border="1" negativeBarBorderColorSameAsPositive="0">
              <x14:cfvo type="autoMin"/>
              <x14:cfvo type="autoMax"/>
              <x14:borderColor rgb="FF638EC6"/>
              <x14:negativeFillColor rgb="FFFF0000"/>
              <x14:negativeBorderColor rgb="FFFF0000"/>
              <x14:axisColor rgb="FF000000"/>
            </x14:dataBar>
          </x14:cfRule>
          <xm:sqref>B14:B17</xm:sqref>
        </x14:conditionalFormatting>
        <x14:conditionalFormatting xmlns:xm="http://schemas.microsoft.com/office/excel/2006/main">
          <x14:cfRule type="dataBar" id="{AD398820-6302-488A-8AFB-E5B11631C1A6}">
            <x14:dataBar minLength="0" maxLength="100" gradient="0">
              <x14:cfvo type="autoMin"/>
              <x14:cfvo type="autoMax"/>
              <x14:negativeFillColor rgb="FFFF0000"/>
              <x14:axisColor rgb="FF000000"/>
            </x14:dataBar>
          </x14:cfRule>
          <x14:cfRule type="dataBar" id="{3CDA52ED-DFF8-4E4C-A34E-6DE4E6D7B265}">
            <x14:dataBar minLength="0" maxLength="100" gradient="0">
              <x14:cfvo type="autoMin"/>
              <x14:cfvo type="autoMax"/>
              <x14:negativeFillColor rgb="FFFF0000"/>
              <x14:axisColor rgb="FF000000"/>
            </x14:dataBar>
          </x14:cfRule>
          <xm:sqref>D5:I5</xm:sqref>
        </x14:conditionalFormatting>
        <x14:conditionalFormatting xmlns:xm="http://schemas.microsoft.com/office/excel/2006/main">
          <x14:cfRule type="dataBar" id="{D36C0D1E-8082-4547-A77F-0733F2AAF27E}">
            <x14:dataBar minLength="0" maxLength="100" gradient="0">
              <x14:cfvo type="autoMin"/>
              <x14:cfvo type="autoMax"/>
              <x14:negativeFillColor rgb="FFFF0000"/>
              <x14:axisColor rgb="FF000000"/>
            </x14:dataBar>
          </x14:cfRule>
          <x14:cfRule type="dataBar" id="{ECCF6700-BABD-45E9-89E2-9DB8650B6DD6}">
            <x14:dataBar minLength="0" maxLength="100" gradient="0">
              <x14:cfvo type="autoMin"/>
              <x14:cfvo type="autoMax"/>
              <x14:negativeFillColor rgb="FFFF0000"/>
              <x14:axisColor rgb="FF000000"/>
            </x14:dataBar>
          </x14:cfRule>
          <xm:sqref>D6:I6</xm:sqref>
        </x14:conditionalFormatting>
        <x14:conditionalFormatting xmlns:xm="http://schemas.microsoft.com/office/excel/2006/main">
          <x14:cfRule type="dataBar" id="{5C567D89-F399-45BC-84AD-D9FE15C0B4DC}">
            <x14:dataBar minLength="0" maxLength="100" gradient="0">
              <x14:cfvo type="autoMin"/>
              <x14:cfvo type="autoMax"/>
              <x14:negativeFillColor rgb="FFFF0000"/>
              <x14:axisColor rgb="FF000000"/>
            </x14:dataBar>
          </x14:cfRule>
          <x14:cfRule type="dataBar" id="{BE119A44-ACB5-42AA-9590-175D3F76B18F}">
            <x14:dataBar minLength="0" maxLength="100" gradient="0">
              <x14:cfvo type="autoMin"/>
              <x14:cfvo type="autoMax"/>
              <x14:negativeFillColor rgb="FFFF0000"/>
              <x14:axisColor rgb="FF000000"/>
            </x14:dataBar>
          </x14:cfRule>
          <xm:sqref>D7:I7</xm:sqref>
        </x14:conditionalFormatting>
        <x14:conditionalFormatting xmlns:xm="http://schemas.microsoft.com/office/excel/2006/main">
          <x14:cfRule type="dataBar" id="{0D63483F-66EC-4601-A5C0-189E84E4B53A}">
            <x14:dataBar minLength="0" maxLength="100" gradient="0">
              <x14:cfvo type="autoMin"/>
              <x14:cfvo type="autoMax"/>
              <x14:negativeFillColor rgb="FFFF0000"/>
              <x14:axisColor rgb="FF000000"/>
            </x14:dataBar>
          </x14:cfRule>
          <x14:cfRule type="dataBar" id="{D5D86E45-408A-4840-9EB1-33FAE65ACB2D}">
            <x14:dataBar minLength="0" maxLength="100" gradient="0">
              <x14:cfvo type="autoMin"/>
              <x14:cfvo type="autoMax"/>
              <x14:negativeFillColor rgb="FFFF0000"/>
              <x14:axisColor rgb="FF000000"/>
            </x14:dataBar>
          </x14:cfRule>
          <x14:cfRule type="dataBar" id="{E61D29E0-5F20-4236-A62B-38697EB3234D}">
            <x14:dataBar minLength="0" maxLength="100" gradient="0">
              <x14:cfvo type="autoMin"/>
              <x14:cfvo type="autoMax"/>
              <x14:negativeFillColor rgb="FFFF0000"/>
              <x14:axisColor rgb="FF000000"/>
            </x14:dataBar>
          </x14:cfRule>
          <x14:cfRule type="dataBar" id="{57367B2B-1266-40E4-8768-A8D95FA304D6}">
            <x14:dataBar minLength="0" maxLength="100" gradient="0">
              <x14:cfvo type="autoMin"/>
              <x14:cfvo type="autoMax"/>
              <x14:negativeFillColor rgb="FFFF0000"/>
              <x14:axisColor rgb="FF000000"/>
            </x14:dataBar>
          </x14:cfRule>
          <xm:sqref>D8:I8</xm:sqref>
        </x14:conditionalFormatting>
        <x14:conditionalFormatting xmlns:xm="http://schemas.microsoft.com/office/excel/2006/main">
          <x14:cfRule type="dataBar" id="{4D84BDF2-B610-4561-B057-EBC4F16D81EC}">
            <x14:dataBar minLength="0" maxLength="100" gradient="0">
              <x14:cfvo type="autoMin"/>
              <x14:cfvo type="autoMax"/>
              <x14:negativeFillColor rgb="FFFF0000"/>
              <x14:axisColor rgb="FF000000"/>
            </x14:dataBar>
          </x14:cfRule>
          <x14:cfRule type="dataBar" id="{395D3267-F5C7-48F9-AF2E-47FB8C3189B6}">
            <x14:dataBar minLength="0" maxLength="100" gradient="0">
              <x14:cfvo type="autoMin"/>
              <x14:cfvo type="autoMax"/>
              <x14:negativeFillColor rgb="FFFF0000"/>
              <x14:axisColor rgb="FF000000"/>
            </x14:dataBar>
          </x14:cfRule>
          <x14:cfRule type="dataBar" id="{BC67488B-8D7E-418B-8307-C61E9215AC58}">
            <x14:dataBar minLength="0" maxLength="100" gradient="0">
              <x14:cfvo type="autoMin"/>
              <x14:cfvo type="autoMax"/>
              <x14:negativeFillColor rgb="FFFF0000"/>
              <x14:axisColor rgb="FF000000"/>
            </x14:dataBar>
          </x14:cfRule>
          <x14:cfRule type="dataBar" id="{F060A7FC-3B8B-475A-87EC-BD645650E66C}">
            <x14:dataBar minLength="0" maxLength="100" gradient="0">
              <x14:cfvo type="autoMin"/>
              <x14:cfvo type="autoMax"/>
              <x14:negativeFillColor rgb="FFFF0000"/>
              <x14:axisColor rgb="FF000000"/>
            </x14:dataBar>
          </x14:cfRule>
          <xm:sqref>D14:I17</xm:sqref>
        </x14:conditionalFormatting>
        <x14:conditionalFormatting xmlns:xm="http://schemas.microsoft.com/office/excel/2006/main">
          <x14:cfRule type="dataBar" id="{46B5332F-541E-4B5A-9EF3-D3DBF661553F}">
            <x14:dataBar minLength="0" maxLength="100" gradient="0">
              <x14:cfvo type="autoMin"/>
              <x14:cfvo type="autoMax"/>
              <x14:negativeFillColor rgb="FFFF0000"/>
              <x14:axisColor rgb="FF000000"/>
            </x14:dataBar>
          </x14:cfRule>
          <x14:cfRule type="dataBar" id="{5374E95E-0EAE-461E-BE6B-CA17E67ED778}">
            <x14:dataBar minLength="0" maxLength="100" gradient="0">
              <x14:cfvo type="autoMin"/>
              <x14:cfvo type="autoMax"/>
              <x14:negativeFillColor rgb="FFFF0000"/>
              <x14:axisColor rgb="FF000000"/>
            </x14:dataBar>
          </x14:cfRule>
          <xm:sqref>J65:O65</xm:sqref>
        </x14:conditionalFormatting>
        <x14:conditionalFormatting xmlns:xm="http://schemas.microsoft.com/office/excel/2006/main">
          <x14:cfRule type="dataBar" id="{B2094BEA-488A-493D-8E0D-AFE175B2BDBE}">
            <x14:dataBar minLength="0" maxLength="100" gradient="0">
              <x14:cfvo type="autoMin"/>
              <x14:cfvo type="autoMax"/>
              <x14:negativeFillColor rgb="FFFF0000"/>
              <x14:axisColor rgb="FF000000"/>
            </x14:dataBar>
          </x14:cfRule>
          <xm:sqref>K14:K17</xm:sqref>
        </x14:conditionalFormatting>
        <x14:conditionalFormatting xmlns:xm="http://schemas.microsoft.com/office/excel/2006/main">
          <x14:cfRule type="dataBar" id="{F29A1CCC-3015-4A7D-BDBD-D6C2BD7C7134}">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13D432BC-65B8-4D3E-8E4E-9ECA2EFCE700}">
            <x14:dataBar minLength="0" maxLength="100" gradient="0">
              <x14:cfvo type="autoMin"/>
              <x14:cfvo type="autoMax"/>
              <x14:negativeFillColor rgb="FFFF0000"/>
              <x14:axisColor rgb="FF000000"/>
            </x14:dataBar>
          </x14:cfRule>
          <x14:cfRule type="dataBar" id="{4979FC66-8D7A-44EF-87EB-4D32DF25CAB2}">
            <x14:dataBar minLength="0" maxLength="100" gradient="0">
              <x14:cfvo type="autoMin"/>
              <x14:cfvo type="autoMax"/>
              <x14:negativeFillColor rgb="FFFF0000"/>
              <x14:axisColor rgb="FF000000"/>
            </x14:dataBar>
          </x14:cfRule>
          <xm:sqref>K14:O17</xm:sqref>
        </x14:conditionalFormatting>
        <x14:conditionalFormatting xmlns:xm="http://schemas.microsoft.com/office/excel/2006/main">
          <x14:cfRule type="dataBar" id="{D2571974-B262-4609-A0A0-5E24D8AB9D12}">
            <x14:dataBar minLength="0" maxLength="100" gradient="0">
              <x14:cfvo type="autoMin"/>
              <x14:cfvo type="autoMax"/>
              <x14:negativeFillColor rgb="FFFF0000"/>
              <x14:axisColor rgb="FF000000"/>
            </x14:dataBar>
          </x14:cfRule>
          <x14:cfRule type="dataBar" id="{64BFC5DA-7D24-450B-A163-4EFC129E3461}">
            <x14:dataBar minLength="0" maxLength="100" gradient="0">
              <x14:cfvo type="autoMin"/>
              <x14:cfvo type="autoMax"/>
              <x14:negativeFillColor rgb="FFFF0000"/>
              <x14:axisColor rgb="FF000000"/>
            </x14:dataBar>
          </x14:cfRule>
          <x14:cfRule type="dataBar" id="{95D181D7-3E86-40C0-B2E5-A32694D59997}">
            <x14:dataBar minLength="0" maxLength="100" gradient="0">
              <x14:cfvo type="autoMin"/>
              <x14:cfvo type="autoMax"/>
              <x14:negativeFillColor rgb="FFFF0000"/>
              <x14:axisColor rgb="FF000000"/>
            </x14:dataBar>
          </x14:cfRule>
          <x14:cfRule type="dataBar" id="{1CDEC3E4-D4E1-43F5-AF4B-A5290E560428}">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70EF5D6C-0F10-4FCA-9A7A-31C05844FA46}">
            <x14:dataBar minLength="0" maxLength="100" gradient="0">
              <x14:cfvo type="autoMin"/>
              <x14:cfvo type="autoMax"/>
              <x14:negativeFillColor rgb="FFFF0000"/>
              <x14:axisColor rgb="FF000000"/>
            </x14:dataBar>
          </x14:cfRule>
          <xm:sqref>K14:P17</xm:sqref>
        </x14:conditionalFormatting>
        <x14:conditionalFormatting xmlns:xm="http://schemas.microsoft.com/office/excel/2006/main">
          <x14:cfRule type="dataBar" id="{EB4E86C5-A4B2-4912-80F0-39C07D30F8EE}">
            <x14:dataBar minLength="0" maxLength="100" gradient="0">
              <x14:cfvo type="autoMin"/>
              <x14:cfvo type="autoMax"/>
              <x14:negativeFillColor rgb="FFFF0000"/>
              <x14:axisColor rgb="FF000000"/>
            </x14:dataBar>
          </x14:cfRule>
          <xm:sqref>L14:L17</xm:sqref>
        </x14:conditionalFormatting>
        <x14:conditionalFormatting xmlns:xm="http://schemas.microsoft.com/office/excel/2006/main">
          <x14:cfRule type="dataBar" id="{841D9B30-5BAB-4140-A0DE-43D026E8440D}">
            <x14:dataBar minLength="0" maxLength="100" gradient="0">
              <x14:cfvo type="autoMin"/>
              <x14:cfvo type="autoMax"/>
              <x14:negativeFillColor rgb="FFFF0000"/>
              <x14:axisColor rgb="FF000000"/>
            </x14:dataBar>
          </x14:cfRule>
          <xm:sqref>M16:M17</xm:sqref>
        </x14:conditionalFormatting>
        <x14:conditionalFormatting xmlns:xm="http://schemas.microsoft.com/office/excel/2006/main">
          <x14:cfRule type="dataBar" id="{5683EB30-CFD2-4726-B55A-B3C860030A7B}">
            <x14:dataBar minLength="0" maxLength="100" gradient="0">
              <x14:cfvo type="autoMin"/>
              <x14:cfvo type="autoMax"/>
              <x14:negativeFillColor rgb="FFFF0000"/>
              <x14:axisColor rgb="FF000000"/>
            </x14:dataBar>
          </x14:cfRule>
          <xm:sqref>N14:N17</xm:sqref>
        </x14:conditionalFormatting>
        <x14:conditionalFormatting xmlns:xm="http://schemas.microsoft.com/office/excel/2006/main">
          <x14:cfRule type="dataBar" id="{FB5893C9-59BA-44A8-8FA9-DEF1D65B80E2}">
            <x14:dataBar minLength="0" maxLength="100" gradient="0">
              <x14:cfvo type="autoMin"/>
              <x14:cfvo type="autoMax"/>
              <x14:negativeFillColor rgb="FFFF0000"/>
              <x14:axisColor rgb="FF000000"/>
            </x14:dataBar>
          </x14:cfRule>
          <xm:sqref>O14:O17</xm:sqref>
        </x14:conditionalFormatting>
        <x14:conditionalFormatting xmlns:xm="http://schemas.microsoft.com/office/excel/2006/main">
          <x14:cfRule type="dataBar" id="{0509DCCA-8D2E-4B3C-BE32-B54EE0EDAEB1}">
            <x14:dataBar minLength="0" maxLength="100" gradient="0">
              <x14:cfvo type="autoMin"/>
              <x14:cfvo type="autoMax"/>
              <x14:negativeFillColor rgb="FFFF0000"/>
              <x14:axisColor rgb="FF000000"/>
            </x14:dataBar>
          </x14:cfRule>
          <xm:sqref>P14:P17</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L7:O8 K5:K8</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K7:O8 K5:P6</xm:sqref>
        </x14:conditionalFormatting>
        <x14:conditionalFormatting xmlns:xm="http://schemas.microsoft.com/office/excel/2006/main">
          <x14:cfRule type="dataBar" id="{75B1F656-8DD4-487F-A221-DCDBA8DA4FED}">
            <x14:dataBar minLength="0" maxLength="100" gradient="0">
              <x14:cfvo type="autoMin"/>
              <x14:cfvo type="autoMax"/>
              <x14:negativeFillColor rgb="FFFF0000"/>
              <x14:axisColor rgb="FF000000"/>
            </x14:dataBar>
          </x14:cfRule>
          <x14:cfRule type="dataBar" id="{0E7CF652-EB3F-4171-A40A-1F4DC9F6771E}">
            <x14:dataBar minLength="0" maxLength="100" gradient="0">
              <x14:cfvo type="autoMin"/>
              <x14:cfvo type="autoMax"/>
              <x14:negativeFillColor rgb="FFFF0000"/>
              <x14:axisColor rgb="FF000000"/>
            </x14:dataBar>
          </x14:cfRule>
          <xm:sqref>D5:I7</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L5:L6</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M5:P6</xm:sqref>
        </x14:conditionalFormatting>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B5:B8</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49433-D52C-4FB7-AC24-064C8F995301}">
  <sheetPr>
    <tabColor theme="5"/>
  </sheetPr>
  <dimension ref="A1:Y106"/>
  <sheetViews>
    <sheetView showGridLines="0" topLeftCell="A72" zoomScale="79" zoomScaleNormal="100" workbookViewId="0">
      <selection activeCell="C108" sqref="C108"/>
    </sheetView>
  </sheetViews>
  <sheetFormatPr defaultColWidth="11.42578125" defaultRowHeight="12.75"/>
  <cols>
    <col min="1" max="1" width="0.42578125" customWidth="1"/>
    <col min="2" max="2" width="31.7109375" bestFit="1" customWidth="1"/>
    <col min="3" max="4" width="32.140625" customWidth="1"/>
    <col min="5" max="5" width="33.42578125" customWidth="1"/>
    <col min="6" max="6" width="33.85546875" customWidth="1"/>
    <col min="7" max="7" width="14.7109375" customWidth="1"/>
    <col min="8" max="8" width="33.140625" customWidth="1"/>
    <col min="9" max="9" width="15.42578125" customWidth="1"/>
    <col min="10" max="10" width="10.7109375" customWidth="1"/>
    <col min="11" max="14" width="9.140625"/>
    <col min="15" max="16" width="15.7109375" customWidth="1"/>
    <col min="17" max="17" width="19.85546875" customWidth="1"/>
    <col min="18" max="18" width="13.28515625" customWidth="1"/>
    <col min="19" max="19" width="15.7109375" customWidth="1"/>
    <col min="21" max="21" width="12.7109375" bestFit="1" customWidth="1"/>
    <col min="22" max="22" width="12.5703125" customWidth="1"/>
    <col min="23" max="23" width="4" customWidth="1"/>
  </cols>
  <sheetData>
    <row r="1" spans="2:25" ht="26.25">
      <c r="B1" s="703" t="s">
        <v>230</v>
      </c>
      <c r="C1" s="703" t="s">
        <v>231</v>
      </c>
      <c r="D1" s="1177" t="s">
        <v>192</v>
      </c>
      <c r="E1" s="1177"/>
      <c r="F1" s="1177"/>
      <c r="G1" s="1177"/>
      <c r="H1" s="1177"/>
      <c r="K1" s="1178" t="s">
        <v>232</v>
      </c>
      <c r="L1" s="1179"/>
      <c r="M1" s="1179"/>
      <c r="N1" s="1179"/>
      <c r="O1" s="1179" t="s">
        <v>197</v>
      </c>
      <c r="P1" s="1179"/>
      <c r="Q1" s="1180" t="s">
        <v>233</v>
      </c>
      <c r="R1" s="1180"/>
      <c r="S1" s="1181"/>
      <c r="T1" s="1172" t="s">
        <v>234</v>
      </c>
      <c r="U1" s="1179"/>
      <c r="V1" s="1179"/>
      <c r="W1" s="1179"/>
      <c r="X1" s="1172" t="s">
        <v>235</v>
      </c>
      <c r="Y1" s="1173"/>
    </row>
    <row r="2" spans="2:25" ht="16.5" customHeight="1">
      <c r="B2" s="1136" t="e" vm="7">
        <v>#VALUE!</v>
      </c>
      <c r="C2" s="1174" t="e" vm="2">
        <v>#VALUE!</v>
      </c>
      <c r="D2" s="1141" t="s">
        <v>236</v>
      </c>
      <c r="E2" s="1142"/>
      <c r="F2" s="1142"/>
      <c r="G2" s="1142"/>
      <c r="H2" s="1143"/>
      <c r="K2" s="1150" t="e" vm="7">
        <v>#VALUE!</v>
      </c>
      <c r="L2" s="1150"/>
      <c r="M2" s="1150"/>
      <c r="N2" s="1150"/>
      <c r="O2" s="1151" t="s">
        <v>237</v>
      </c>
      <c r="P2" s="1134"/>
      <c r="Q2" s="704" t="s">
        <v>189</v>
      </c>
      <c r="R2" s="704"/>
      <c r="S2" s="1131"/>
      <c r="T2" s="1120" t="s">
        <v>238</v>
      </c>
      <c r="U2" s="1121"/>
      <c r="V2" s="1131"/>
      <c r="W2" s="1131"/>
      <c r="X2" s="1126" t="s">
        <v>239</v>
      </c>
      <c r="Y2" s="1122" t="s">
        <v>240</v>
      </c>
    </row>
    <row r="3" spans="2:25" ht="16.5" customHeight="1">
      <c r="B3" s="1137"/>
      <c r="C3" s="1175"/>
      <c r="D3" s="1144"/>
      <c r="E3" s="1145"/>
      <c r="F3" s="1145"/>
      <c r="G3" s="1145"/>
      <c r="H3" s="1146"/>
      <c r="K3" s="1150"/>
      <c r="L3" s="1150"/>
      <c r="M3" s="1150"/>
      <c r="N3" s="1150"/>
      <c r="O3" s="1151"/>
      <c r="P3" s="1134"/>
      <c r="Q3" s="704" t="s">
        <v>241</v>
      </c>
      <c r="R3" s="704"/>
      <c r="S3" s="1131"/>
      <c r="T3" s="1120" t="s">
        <v>242</v>
      </c>
      <c r="U3" s="1121"/>
      <c r="V3" s="1131"/>
      <c r="W3" s="1131"/>
      <c r="X3" s="1127"/>
      <c r="Y3" s="1123"/>
    </row>
    <row r="4" spans="2:25" ht="16.5" customHeight="1">
      <c r="B4" s="1137"/>
      <c r="C4" s="1175"/>
      <c r="D4" s="1144"/>
      <c r="E4" s="1145"/>
      <c r="F4" s="1145"/>
      <c r="G4" s="1145"/>
      <c r="H4" s="1146"/>
      <c r="K4" s="1150"/>
      <c r="L4" s="1150"/>
      <c r="M4" s="1150"/>
      <c r="N4" s="1150"/>
      <c r="O4" s="1151"/>
      <c r="P4" s="1134"/>
      <c r="Q4" s="704"/>
      <c r="R4" s="704"/>
      <c r="S4" s="1131"/>
      <c r="T4" s="704" t="s">
        <v>243</v>
      </c>
      <c r="U4" s="704"/>
      <c r="V4" s="1131"/>
      <c r="W4" s="1131"/>
      <c r="X4" s="1127"/>
      <c r="Y4" s="1123"/>
    </row>
    <row r="5" spans="2:25" ht="16.5" customHeight="1">
      <c r="B5" s="1137"/>
      <c r="C5" s="1175"/>
      <c r="D5" s="1144"/>
      <c r="E5" s="1145"/>
      <c r="F5" s="1145"/>
      <c r="G5" s="1145"/>
      <c r="H5" s="1146"/>
      <c r="K5" s="1150"/>
      <c r="L5" s="1150"/>
      <c r="M5" s="1150"/>
      <c r="N5" s="1150"/>
      <c r="O5" s="1151"/>
      <c r="P5" s="1134"/>
      <c r="Q5" s="704"/>
      <c r="R5" s="704"/>
      <c r="S5" s="1131"/>
      <c r="T5" s="704"/>
      <c r="U5" s="704"/>
      <c r="V5" s="1131"/>
      <c r="W5" s="1131"/>
      <c r="X5" s="1127"/>
      <c r="Y5" s="1123"/>
    </row>
    <row r="6" spans="2:25" ht="16.5" customHeight="1">
      <c r="B6" s="1138"/>
      <c r="C6" s="1176"/>
      <c r="D6" s="1147"/>
      <c r="E6" s="1148"/>
      <c r="F6" s="1148"/>
      <c r="G6" s="1148"/>
      <c r="H6" s="1149"/>
      <c r="K6" s="1150"/>
      <c r="L6" s="1150"/>
      <c r="M6" s="1150"/>
      <c r="N6" s="1150"/>
      <c r="O6" s="1151"/>
      <c r="P6" s="1135"/>
      <c r="Q6" s="704"/>
      <c r="R6" s="704"/>
      <c r="S6" s="1131"/>
      <c r="T6" s="704"/>
      <c r="U6" s="704"/>
      <c r="V6" s="1131"/>
      <c r="W6" s="1131"/>
      <c r="X6" s="1128"/>
      <c r="Y6" s="1124"/>
    </row>
    <row r="7" spans="2:25" ht="16.5" customHeight="1">
      <c r="B7" s="1136" t="e" vm="8">
        <v>#VALUE!</v>
      </c>
      <c r="C7" s="1158" t="e" vm="3">
        <v>#VALUE!</v>
      </c>
      <c r="D7" s="1141" t="s">
        <v>244</v>
      </c>
      <c r="E7" s="1142"/>
      <c r="F7" s="1142"/>
      <c r="G7" s="1142"/>
      <c r="H7" s="1143"/>
      <c r="K7" s="1150" t="e" vm="8">
        <v>#VALUE!</v>
      </c>
      <c r="L7" s="1150"/>
      <c r="M7" s="1150"/>
      <c r="N7" s="1150"/>
      <c r="O7" s="1151" t="s">
        <v>237</v>
      </c>
      <c r="P7" s="1133"/>
      <c r="Q7" s="704" t="s">
        <v>189</v>
      </c>
      <c r="R7" s="704"/>
      <c r="S7" s="1131"/>
      <c r="T7" s="1120" t="s">
        <v>245</v>
      </c>
      <c r="U7" s="1121"/>
      <c r="V7" s="1131"/>
      <c r="W7" s="1131"/>
      <c r="X7" s="1126" t="s">
        <v>246</v>
      </c>
      <c r="Y7" s="1122" t="s">
        <v>247</v>
      </c>
    </row>
    <row r="8" spans="2:25" ht="16.5" customHeight="1">
      <c r="B8" s="1137"/>
      <c r="C8" s="1159"/>
      <c r="D8" s="1144"/>
      <c r="E8" s="1145"/>
      <c r="F8" s="1145"/>
      <c r="G8" s="1145"/>
      <c r="H8" s="1146"/>
      <c r="K8" s="1150"/>
      <c r="L8" s="1150"/>
      <c r="M8" s="1150"/>
      <c r="N8" s="1150"/>
      <c r="O8" s="1151"/>
      <c r="P8" s="1134"/>
      <c r="Q8" s="704" t="s">
        <v>241</v>
      </c>
      <c r="R8" s="704"/>
      <c r="S8" s="1131"/>
      <c r="T8" s="704" t="s">
        <v>248</v>
      </c>
      <c r="U8" s="704"/>
      <c r="V8" s="1131"/>
      <c r="W8" s="1131"/>
      <c r="X8" s="1127"/>
      <c r="Y8" s="1123"/>
    </row>
    <row r="9" spans="2:25" ht="16.5" customHeight="1">
      <c r="B9" s="1137"/>
      <c r="C9" s="1159"/>
      <c r="D9" s="1144"/>
      <c r="E9" s="1145"/>
      <c r="F9" s="1145"/>
      <c r="G9" s="1145"/>
      <c r="H9" s="1146"/>
      <c r="K9" s="1150"/>
      <c r="L9" s="1150"/>
      <c r="M9" s="1150"/>
      <c r="N9" s="1150"/>
      <c r="O9" s="1151"/>
      <c r="P9" s="1134"/>
      <c r="Q9" s="704"/>
      <c r="R9" s="704"/>
      <c r="S9" s="1131"/>
      <c r="T9" s="704" t="s">
        <v>249</v>
      </c>
      <c r="U9" s="704"/>
      <c r="V9" s="1131"/>
      <c r="W9" s="1131"/>
      <c r="X9" s="1127"/>
      <c r="Y9" s="1123"/>
    </row>
    <row r="10" spans="2:25" ht="16.5" customHeight="1">
      <c r="B10" s="1137"/>
      <c r="C10" s="1159"/>
      <c r="D10" s="1144"/>
      <c r="E10" s="1145"/>
      <c r="F10" s="1145"/>
      <c r="G10" s="1145"/>
      <c r="H10" s="1146"/>
      <c r="K10" s="1150"/>
      <c r="L10" s="1150"/>
      <c r="M10" s="1150"/>
      <c r="N10" s="1150"/>
      <c r="O10" s="1151"/>
      <c r="P10" s="1134"/>
      <c r="Q10" s="704"/>
      <c r="R10" s="704"/>
      <c r="S10" s="1131"/>
      <c r="T10" s="1120" t="s">
        <v>250</v>
      </c>
      <c r="U10" s="1121"/>
      <c r="V10" s="1131"/>
      <c r="W10" s="1131"/>
      <c r="X10" s="1127"/>
      <c r="Y10" s="1123"/>
    </row>
    <row r="11" spans="2:25" ht="16.5" customHeight="1">
      <c r="B11" s="1138"/>
      <c r="C11" s="1160"/>
      <c r="D11" s="1147"/>
      <c r="E11" s="1148"/>
      <c r="F11" s="1148"/>
      <c r="G11" s="1148"/>
      <c r="H11" s="1149"/>
      <c r="K11" s="1150"/>
      <c r="L11" s="1150"/>
      <c r="M11" s="1150"/>
      <c r="N11" s="1150"/>
      <c r="O11" s="1151"/>
      <c r="P11" s="1135"/>
      <c r="Q11" s="704"/>
      <c r="R11" s="704"/>
      <c r="S11" s="1131"/>
      <c r="T11" s="704"/>
      <c r="U11" s="704"/>
      <c r="V11" s="1131"/>
      <c r="W11" s="1131"/>
      <c r="X11" s="1128"/>
      <c r="Y11" s="1124"/>
    </row>
    <row r="12" spans="2:25" ht="16.5" customHeight="1">
      <c r="B12" s="1136" t="e" vm="9">
        <v>#VALUE!</v>
      </c>
      <c r="C12" s="1155" t="e" vm="4">
        <v>#VALUE!</v>
      </c>
      <c r="D12" s="1141" t="s">
        <v>251</v>
      </c>
      <c r="E12" s="1142"/>
      <c r="F12" s="1142"/>
      <c r="G12" s="1142"/>
      <c r="H12" s="1143"/>
      <c r="K12" s="1150" t="e" vm="9">
        <v>#VALUE!</v>
      </c>
      <c r="L12" s="1150"/>
      <c r="M12" s="1150"/>
      <c r="N12" s="1150"/>
      <c r="O12" s="1151" t="s">
        <v>237</v>
      </c>
      <c r="P12" s="1133"/>
      <c r="Q12" s="704" t="s">
        <v>189</v>
      </c>
      <c r="R12" s="704"/>
      <c r="S12" s="1131"/>
      <c r="T12" s="1120" t="s">
        <v>252</v>
      </c>
      <c r="U12" s="1121"/>
      <c r="V12" s="1131"/>
      <c r="W12" s="1131"/>
      <c r="X12" s="1126" t="s">
        <v>253</v>
      </c>
      <c r="Y12" s="1122" t="s">
        <v>254</v>
      </c>
    </row>
    <row r="13" spans="2:25" ht="16.5" customHeight="1">
      <c r="B13" s="1137"/>
      <c r="C13" s="1156"/>
      <c r="D13" s="1144"/>
      <c r="E13" s="1145"/>
      <c r="F13" s="1145"/>
      <c r="G13" s="1145"/>
      <c r="H13" s="1146"/>
      <c r="K13" s="1150"/>
      <c r="L13" s="1150"/>
      <c r="M13" s="1150"/>
      <c r="N13" s="1150"/>
      <c r="O13" s="1151"/>
      <c r="P13" s="1134"/>
      <c r="Q13" s="704" t="s">
        <v>255</v>
      </c>
      <c r="R13" s="704"/>
      <c r="S13" s="1131"/>
      <c r="T13" s="1120" t="s">
        <v>256</v>
      </c>
      <c r="U13" s="1121"/>
      <c r="V13" s="1131"/>
      <c r="W13" s="1131"/>
      <c r="X13" s="1127"/>
      <c r="Y13" s="1123"/>
    </row>
    <row r="14" spans="2:25" ht="16.5" customHeight="1">
      <c r="B14" s="1137"/>
      <c r="C14" s="1156"/>
      <c r="D14" s="1144"/>
      <c r="E14" s="1145"/>
      <c r="F14" s="1145"/>
      <c r="G14" s="1145"/>
      <c r="H14" s="1146"/>
      <c r="K14" s="1150"/>
      <c r="L14" s="1150"/>
      <c r="M14" s="1150"/>
      <c r="N14" s="1150"/>
      <c r="O14" s="1151"/>
      <c r="P14" s="1134"/>
      <c r="Q14" s="704" t="s">
        <v>188</v>
      </c>
      <c r="R14" s="704"/>
      <c r="S14" s="1131"/>
      <c r="T14" s="1120" t="s">
        <v>257</v>
      </c>
      <c r="U14" s="1121"/>
      <c r="V14" s="1131"/>
      <c r="W14" s="1131"/>
      <c r="X14" s="1127"/>
      <c r="Y14" s="1123"/>
    </row>
    <row r="15" spans="2:25" ht="16.5" customHeight="1">
      <c r="B15" s="1137"/>
      <c r="C15" s="1156"/>
      <c r="D15" s="1144"/>
      <c r="E15" s="1145"/>
      <c r="F15" s="1145"/>
      <c r="G15" s="1145"/>
      <c r="H15" s="1146"/>
      <c r="K15" s="1150"/>
      <c r="L15" s="1150"/>
      <c r="M15" s="1150"/>
      <c r="N15" s="1150"/>
      <c r="O15" s="1151"/>
      <c r="P15" s="1134"/>
      <c r="Q15" s="704"/>
      <c r="R15" s="704"/>
      <c r="S15" s="1131"/>
      <c r="T15" s="1120" t="s">
        <v>258</v>
      </c>
      <c r="U15" s="1121"/>
      <c r="V15" s="1131"/>
      <c r="W15" s="1131"/>
      <c r="X15" s="1127"/>
      <c r="Y15" s="1123"/>
    </row>
    <row r="16" spans="2:25" ht="16.5" customHeight="1">
      <c r="B16" s="1138"/>
      <c r="C16" s="1157"/>
      <c r="D16" s="1147"/>
      <c r="E16" s="1148"/>
      <c r="F16" s="1148"/>
      <c r="G16" s="1148"/>
      <c r="H16" s="1149"/>
      <c r="K16" s="1150"/>
      <c r="L16" s="1150"/>
      <c r="M16" s="1150"/>
      <c r="N16" s="1150"/>
      <c r="O16" s="1151"/>
      <c r="P16" s="1135"/>
      <c r="Q16" s="704"/>
      <c r="R16" s="704"/>
      <c r="S16" s="1131"/>
      <c r="T16" s="704"/>
      <c r="U16" s="704"/>
      <c r="V16" s="1131"/>
      <c r="W16" s="1131"/>
      <c r="X16" s="1128"/>
      <c r="Y16" s="1124"/>
    </row>
    <row r="17" spans="2:25" ht="16.5" customHeight="1">
      <c r="B17" s="1136" t="e" vm="10">
        <v>#VALUE!</v>
      </c>
      <c r="C17" s="1153" t="e" vm="5">
        <v>#VALUE!</v>
      </c>
      <c r="D17" s="1141" t="s">
        <v>259</v>
      </c>
      <c r="E17" s="1142"/>
      <c r="F17" s="1142"/>
      <c r="G17" s="1142"/>
      <c r="H17" s="1143"/>
      <c r="K17" s="1150" t="e" vm="10">
        <v>#VALUE!</v>
      </c>
      <c r="L17" s="1150"/>
      <c r="M17" s="1150"/>
      <c r="N17" s="1150"/>
      <c r="O17" s="1151" t="s">
        <v>260</v>
      </c>
      <c r="P17" s="1133"/>
      <c r="Q17" s="704" t="s">
        <v>188</v>
      </c>
      <c r="R17" s="704"/>
      <c r="S17" s="1131"/>
      <c r="T17" s="704" t="s">
        <v>261</v>
      </c>
      <c r="U17" s="704"/>
      <c r="V17" s="1131"/>
      <c r="W17" s="1131"/>
      <c r="X17" s="1126" t="s">
        <v>262</v>
      </c>
      <c r="Y17" s="1122" t="s">
        <v>254</v>
      </c>
    </row>
    <row r="18" spans="2:25" ht="16.5" customHeight="1">
      <c r="B18" s="1137"/>
      <c r="C18" s="1153"/>
      <c r="D18" s="1144"/>
      <c r="E18" s="1145"/>
      <c r="F18" s="1145"/>
      <c r="G18" s="1145"/>
      <c r="H18" s="1146"/>
      <c r="K18" s="1150"/>
      <c r="L18" s="1150"/>
      <c r="M18" s="1150"/>
      <c r="N18" s="1150"/>
      <c r="O18" s="1151"/>
      <c r="P18" s="1134"/>
      <c r="Q18" s="704"/>
      <c r="R18" s="704"/>
      <c r="S18" s="1131"/>
      <c r="T18" s="704" t="s">
        <v>248</v>
      </c>
      <c r="U18" s="704"/>
      <c r="V18" s="1131"/>
      <c r="W18" s="1131"/>
      <c r="X18" s="1127"/>
      <c r="Y18" s="1123"/>
    </row>
    <row r="19" spans="2:25" ht="16.5" customHeight="1">
      <c r="B19" s="1137"/>
      <c r="C19" s="1153"/>
      <c r="D19" s="1144"/>
      <c r="E19" s="1145"/>
      <c r="F19" s="1145"/>
      <c r="G19" s="1145"/>
      <c r="H19" s="1146"/>
      <c r="K19" s="1150"/>
      <c r="L19" s="1150"/>
      <c r="M19" s="1150"/>
      <c r="N19" s="1150"/>
      <c r="O19" s="1151"/>
      <c r="P19" s="1134"/>
      <c r="Q19" s="704"/>
      <c r="R19" s="704"/>
      <c r="S19" s="1131"/>
      <c r="T19" s="704" t="s">
        <v>263</v>
      </c>
      <c r="U19" s="704"/>
      <c r="V19" s="1131"/>
      <c r="W19" s="1131"/>
      <c r="X19" s="1127"/>
      <c r="Y19" s="1123"/>
    </row>
    <row r="20" spans="2:25" ht="16.5" customHeight="1">
      <c r="B20" s="1137"/>
      <c r="C20" s="1153"/>
      <c r="D20" s="1144"/>
      <c r="E20" s="1145"/>
      <c r="F20" s="1145"/>
      <c r="G20" s="1145"/>
      <c r="H20" s="1146"/>
      <c r="K20" s="1150"/>
      <c r="L20" s="1150"/>
      <c r="M20" s="1150"/>
      <c r="N20" s="1150"/>
      <c r="O20" s="1151"/>
      <c r="P20" s="1134"/>
      <c r="Q20" s="704"/>
      <c r="R20" s="704"/>
      <c r="S20" s="1131"/>
      <c r="T20" s="704"/>
      <c r="U20" s="704"/>
      <c r="V20" s="1131"/>
      <c r="W20" s="1131"/>
      <c r="X20" s="1127"/>
      <c r="Y20" s="1123"/>
    </row>
    <row r="21" spans="2:25" ht="16.5" customHeight="1">
      <c r="B21" s="1138"/>
      <c r="C21" s="1154"/>
      <c r="D21" s="1147"/>
      <c r="E21" s="1148"/>
      <c r="F21" s="1148"/>
      <c r="G21" s="1148"/>
      <c r="H21" s="1149"/>
      <c r="K21" s="1150"/>
      <c r="L21" s="1150"/>
      <c r="M21" s="1150"/>
      <c r="N21" s="1150"/>
      <c r="O21" s="1151"/>
      <c r="P21" s="1135"/>
      <c r="Q21" s="704"/>
      <c r="R21" s="704"/>
      <c r="S21" s="1131"/>
      <c r="T21" s="704"/>
      <c r="U21" s="704"/>
      <c r="V21" s="1131"/>
      <c r="W21" s="1131"/>
      <c r="X21" s="1128"/>
      <c r="Y21" s="1124"/>
    </row>
    <row r="22" spans="2:25" ht="16.5" customHeight="1">
      <c r="B22" s="1136" t="e" vm="11">
        <v>#VALUE!</v>
      </c>
      <c r="C22" s="1139" t="e" vm="6">
        <v>#VALUE!</v>
      </c>
      <c r="D22" s="1141" t="s">
        <v>264</v>
      </c>
      <c r="E22" s="1142"/>
      <c r="F22" s="1142"/>
      <c r="G22" s="1142"/>
      <c r="H22" s="1143"/>
      <c r="K22" s="1150" t="e" vm="11">
        <v>#VALUE!</v>
      </c>
      <c r="L22" s="1150"/>
      <c r="M22" s="1150"/>
      <c r="N22" s="1150"/>
      <c r="O22" s="1151"/>
      <c r="P22" s="1133"/>
      <c r="Q22" s="704"/>
      <c r="R22" s="704"/>
      <c r="S22" s="1131"/>
      <c r="T22" s="704" t="s">
        <v>249</v>
      </c>
      <c r="U22" s="704" t="s">
        <v>265</v>
      </c>
      <c r="V22" s="1131"/>
      <c r="W22" s="1131"/>
      <c r="X22" s="1129">
        <f ca="1">H30</f>
        <v>12342.22</v>
      </c>
      <c r="Y22" s="1122" t="s">
        <v>254</v>
      </c>
    </row>
    <row r="23" spans="2:25" ht="16.5" customHeight="1">
      <c r="B23" s="1137"/>
      <c r="C23" s="1139"/>
      <c r="D23" s="1144"/>
      <c r="E23" s="1145"/>
      <c r="F23" s="1145"/>
      <c r="G23" s="1145"/>
      <c r="H23" s="1146"/>
      <c r="K23" s="1150"/>
      <c r="L23" s="1150"/>
      <c r="M23" s="1150"/>
      <c r="N23" s="1150"/>
      <c r="O23" s="1151"/>
      <c r="P23" s="1134"/>
      <c r="Q23" s="704"/>
      <c r="R23" s="704"/>
      <c r="S23" s="1131"/>
      <c r="T23" s="704" t="s">
        <v>248</v>
      </c>
      <c r="U23" s="704" t="s">
        <v>266</v>
      </c>
      <c r="V23" s="1131"/>
      <c r="W23" s="1131"/>
      <c r="X23" s="1127"/>
      <c r="Y23" s="1123"/>
    </row>
    <row r="24" spans="2:25" ht="16.5" customHeight="1">
      <c r="B24" s="1137"/>
      <c r="C24" s="1139"/>
      <c r="D24" s="1144"/>
      <c r="E24" s="1145"/>
      <c r="F24" s="1145"/>
      <c r="G24" s="1145"/>
      <c r="H24" s="1146"/>
      <c r="K24" s="1150"/>
      <c r="L24" s="1150"/>
      <c r="M24" s="1150"/>
      <c r="N24" s="1150"/>
      <c r="O24" s="1151"/>
      <c r="P24" s="1134"/>
      <c r="Q24" s="704"/>
      <c r="R24" s="704"/>
      <c r="S24" s="1131"/>
      <c r="T24" s="704"/>
      <c r="U24" s="704"/>
      <c r="V24" s="1131"/>
      <c r="W24" s="1131"/>
      <c r="X24" s="1127"/>
      <c r="Y24" s="1123"/>
    </row>
    <row r="25" spans="2:25" ht="16.5" customHeight="1">
      <c r="B25" s="1137"/>
      <c r="C25" s="1139"/>
      <c r="D25" s="1144"/>
      <c r="E25" s="1145"/>
      <c r="F25" s="1145"/>
      <c r="G25" s="1145"/>
      <c r="H25" s="1146"/>
      <c r="K25" s="1150"/>
      <c r="L25" s="1150"/>
      <c r="M25" s="1150"/>
      <c r="N25" s="1150"/>
      <c r="O25" s="1151"/>
      <c r="P25" s="1134"/>
      <c r="Q25" s="704"/>
      <c r="R25" s="704"/>
      <c r="S25" s="1131"/>
      <c r="T25" s="704"/>
      <c r="U25" s="704"/>
      <c r="V25" s="1131"/>
      <c r="W25" s="1131"/>
      <c r="X25" s="1127"/>
      <c r="Y25" s="1123"/>
    </row>
    <row r="26" spans="2:25" ht="16.5" customHeight="1">
      <c r="B26" s="1138"/>
      <c r="C26" s="1140"/>
      <c r="D26" s="1147"/>
      <c r="E26" s="1148"/>
      <c r="F26" s="1148"/>
      <c r="G26" s="1148"/>
      <c r="H26" s="1149"/>
      <c r="K26" s="1150"/>
      <c r="L26" s="1150"/>
      <c r="M26" s="1150"/>
      <c r="N26" s="1150"/>
      <c r="O26" s="1151"/>
      <c r="P26" s="1152"/>
      <c r="Q26" s="706"/>
      <c r="R26" s="706"/>
      <c r="S26" s="1132"/>
      <c r="T26" s="706"/>
      <c r="U26" s="706"/>
      <c r="V26" s="1132"/>
      <c r="W26" s="1132"/>
      <c r="X26" s="1130"/>
      <c r="Y26" s="1125"/>
    </row>
    <row r="27" spans="2:25">
      <c r="B27" s="10"/>
    </row>
    <row r="28" spans="2:25" ht="36" customHeight="1">
      <c r="B28" s="186" t="s">
        <v>267</v>
      </c>
      <c r="C28" s="376" t="e" vm="1">
        <f>OP!E2</f>
        <v>#VALUE!</v>
      </c>
      <c r="D28" s="377" t="e" vm="2">
        <f>C2</f>
        <v>#VALUE!</v>
      </c>
      <c r="E28" s="378" t="e" vm="3">
        <f>C7</f>
        <v>#VALUE!</v>
      </c>
      <c r="F28" s="379" t="e" vm="4">
        <f>C12</f>
        <v>#VALUE!</v>
      </c>
      <c r="G28" s="665" t="e" vm="5">
        <f>C17</f>
        <v>#VALUE!</v>
      </c>
      <c r="H28" s="381" t="e" vm="6">
        <f>C22</f>
        <v>#VALUE!</v>
      </c>
      <c r="I28" s="705" t="s">
        <v>268</v>
      </c>
      <c r="J28" s="622" t="s">
        <v>269</v>
      </c>
    </row>
    <row r="29" spans="2:25" ht="16.5" customHeight="1">
      <c r="B29" s="181" t="s">
        <v>270</v>
      </c>
      <c r="C29" s="165"/>
      <c r="D29" s="166"/>
      <c r="E29" s="166"/>
      <c r="F29" s="166"/>
      <c r="G29" s="166"/>
      <c r="H29" s="167"/>
      <c r="I29" s="168" t="str">
        <f>IFERROR(AVERAGE(C29:H29),"")</f>
        <v/>
      </c>
      <c r="J29" s="597"/>
      <c r="L29" s="1167" t="s">
        <v>271</v>
      </c>
      <c r="M29" s="1168"/>
      <c r="N29" s="1169"/>
    </row>
    <row r="30" spans="2:25" ht="13.5" customHeight="1">
      <c r="B30" s="180" t="s">
        <v>235</v>
      </c>
      <c r="C30" s="163" cm="1">
        <f t="array" aca="1" ref="C30" ca="1">_FV(C28,"Market cap",TRUE)/1000000</f>
        <v>52401.279999999999</v>
      </c>
      <c r="D30" s="163">
        <v>132021</v>
      </c>
      <c r="E30" s="163" cm="1">
        <f t="array" aca="1" ref="E30" ca="1">_FV(E28,"Market cap",TRUE)/1000000</f>
        <v>41932.99</v>
      </c>
      <c r="F30" s="163" cm="1">
        <f t="array" aca="1" ref="F30" ca="1">_FV(F28,"Market cap",TRUE)/1000000</f>
        <v>43244.693526000003</v>
      </c>
      <c r="G30" s="163" cm="1">
        <f t="array" aca="1" ref="G30" ca="1">_FV(G28,"Market cap",TRUE)/1000000</f>
        <v>19215.73</v>
      </c>
      <c r="H30" s="163" cm="1">
        <f t="array" aca="1" ref="H30" ca="1">_FV(H28,"Market cap",TRUE)/1000000</f>
        <v>12342.22</v>
      </c>
      <c r="I30" s="554">
        <f ca="1">IFERROR(AVERAGE(C30:H30),"")</f>
        <v>50192.985587666655</v>
      </c>
      <c r="J30" s="598">
        <f ca="1">SQRT((C30-I30)^2)</f>
        <v>2208.2944123333436</v>
      </c>
      <c r="L30" s="1170"/>
      <c r="M30" s="1163" t="s">
        <v>272</v>
      </c>
      <c r="N30" s="1164"/>
    </row>
    <row r="31" spans="2:25">
      <c r="B31" s="524" t="s">
        <v>273</v>
      </c>
      <c r="C31" s="525">
        <f>C76</f>
        <v>17113</v>
      </c>
      <c r="D31" s="525">
        <f t="shared" ref="D31:H31" si="0">D76</f>
        <v>73585</v>
      </c>
      <c r="E31" s="525">
        <f t="shared" si="0"/>
        <v>30362</v>
      </c>
      <c r="F31" s="525">
        <f t="shared" si="0"/>
        <v>9453</v>
      </c>
      <c r="G31" s="525">
        <f t="shared" si="0"/>
        <v>4228</v>
      </c>
      <c r="H31" s="525">
        <f t="shared" si="0"/>
        <v>11702</v>
      </c>
      <c r="I31" s="555">
        <f t="shared" ref="I31:I60" si="1">IFERROR(AVERAGE(C31:H31),"")</f>
        <v>24407.166666666668</v>
      </c>
      <c r="J31" s="599">
        <f t="shared" ref="J31:J70" si="2">SQRT((C31-I31)^2)</f>
        <v>7294.1666666666679</v>
      </c>
      <c r="L31" s="1170"/>
      <c r="M31" s="1163"/>
      <c r="N31" s="1164"/>
    </row>
    <row r="32" spans="2:25" ht="16.5" customHeight="1">
      <c r="B32" s="181" t="s">
        <v>274</v>
      </c>
      <c r="C32" s="185"/>
      <c r="D32" s="185"/>
      <c r="E32" s="185"/>
      <c r="F32" s="185"/>
      <c r="G32" s="185"/>
      <c r="H32" s="185"/>
      <c r="I32" s="556" t="str">
        <f t="shared" si="1"/>
        <v/>
      </c>
      <c r="J32" s="600"/>
      <c r="L32" s="1171"/>
      <c r="M32" s="1163" t="s">
        <v>275</v>
      </c>
      <c r="N32" s="1164"/>
    </row>
    <row r="33" spans="2:14">
      <c r="B33" s="180" t="s">
        <v>276</v>
      </c>
      <c r="C33" s="534">
        <f>C76/C75-1</f>
        <v>0.10749417551126061</v>
      </c>
      <c r="D33" s="534">
        <f t="shared" ref="D33:H33" si="3">D76/D75-1</f>
        <v>4.7249697573471749E-2</v>
      </c>
      <c r="E33" s="534">
        <f>E76/E75-1</f>
        <v>5.7209512866046808E-2</v>
      </c>
      <c r="F33" s="534">
        <f>F76/F75-1</f>
        <v>7.1647205532252567E-2</v>
      </c>
      <c r="G33" s="534">
        <f t="shared" si="3"/>
        <v>7.5006356470887381E-2</v>
      </c>
      <c r="H33" s="534">
        <f t="shared" si="3"/>
        <v>9.3542659564526787E-2</v>
      </c>
      <c r="I33" s="557">
        <f t="shared" si="1"/>
        <v>7.5358267919740984E-2</v>
      </c>
      <c r="J33" s="601">
        <f t="shared" si="2"/>
        <v>3.213590759151963E-2</v>
      </c>
      <c r="L33" s="1171"/>
      <c r="M33" s="1163"/>
      <c r="N33" s="1164"/>
    </row>
    <row r="34" spans="2:14">
      <c r="B34" s="526" t="s">
        <v>277</v>
      </c>
      <c r="C34" s="860">
        <f>C76/C74-1</f>
        <v>0.45617767188563652</v>
      </c>
      <c r="D34" s="527">
        <f t="shared" ref="D34:H34" si="4">D76/D74-1</f>
        <v>0.2244371599247883</v>
      </c>
      <c r="E34" s="527">
        <f t="shared" si="4"/>
        <v>0.38380201449341422</v>
      </c>
      <c r="F34" s="527">
        <f t="shared" si="4"/>
        <v>9.7272199651770253E-2</v>
      </c>
      <c r="G34" s="527">
        <f>G76/G74-1</f>
        <v>0.22161225079456814</v>
      </c>
      <c r="H34" s="527">
        <f t="shared" si="4"/>
        <v>0.13832684824902719</v>
      </c>
      <c r="I34" s="558">
        <f t="shared" si="1"/>
        <v>0.25360469083320075</v>
      </c>
      <c r="J34" s="602">
        <f t="shared" si="2"/>
        <v>0.20257298105243576</v>
      </c>
      <c r="L34" s="1161"/>
      <c r="M34" s="1163" t="s">
        <v>278</v>
      </c>
      <c r="N34" s="1164"/>
    </row>
    <row r="35" spans="2:14">
      <c r="B35" s="535" t="s">
        <v>119</v>
      </c>
      <c r="C35" s="860">
        <f>C79/C76</f>
        <v>0.27067141938876876</v>
      </c>
      <c r="D35" s="536">
        <f t="shared" ref="D35:H35" si="5">D79/D76</f>
        <v>0.1450567371067473</v>
      </c>
      <c r="E35" s="536">
        <f t="shared" si="5"/>
        <v>0.1089519794479942</v>
      </c>
      <c r="F35" s="536">
        <f t="shared" si="5"/>
        <v>0.70178779223526921</v>
      </c>
      <c r="G35" s="536">
        <f t="shared" si="5"/>
        <v>0.26655629139072845</v>
      </c>
      <c r="H35" s="536">
        <f t="shared" si="5"/>
        <v>0.12288497692702102</v>
      </c>
      <c r="I35" s="558">
        <f>IFERROR(AVERAGE(C35:H35),"")</f>
        <v>0.2693181994160882</v>
      </c>
      <c r="J35" s="603">
        <f t="shared" si="2"/>
        <v>1.3532199726805638E-3</v>
      </c>
      <c r="L35" s="1162"/>
      <c r="M35" s="1165"/>
      <c r="N35" s="1166"/>
    </row>
    <row r="36" spans="2:14">
      <c r="B36" s="526" t="s">
        <v>279</v>
      </c>
      <c r="C36" s="860">
        <f>C82/C76</f>
        <v>0.22006661602290656</v>
      </c>
      <c r="D36" s="527">
        <f t="shared" ref="D36:H36" si="6">D82/D76</f>
        <v>0.10832370727729836</v>
      </c>
      <c r="E36" s="527">
        <f t="shared" si="6"/>
        <v>7.5884329095580003E-2</v>
      </c>
      <c r="F36" s="527">
        <f t="shared" si="6"/>
        <v>-4.1256743890828312E-3</v>
      </c>
      <c r="G36" s="527">
        <f t="shared" si="6"/>
        <v>0.18519394512771997</v>
      </c>
      <c r="H36" s="527">
        <f t="shared" si="6"/>
        <v>8.1695436677491032E-2</v>
      </c>
      <c r="I36" s="558">
        <f t="shared" si="1"/>
        <v>0.11117305996865218</v>
      </c>
      <c r="J36" s="602">
        <f t="shared" si="2"/>
        <v>0.10889355605425438</v>
      </c>
    </row>
    <row r="37" spans="2:14">
      <c r="B37" s="535" t="s">
        <v>280</v>
      </c>
      <c r="C37" s="860">
        <f>C82/C94</f>
        <v>0.59787267820288936</v>
      </c>
      <c r="D37" s="536">
        <f t="shared" ref="D37:H37" si="7">D82/D94</f>
        <v>0.34307480416630798</v>
      </c>
      <c r="E37" s="536">
        <f t="shared" si="7"/>
        <v>0.11487834064619067</v>
      </c>
      <c r="F37" s="536">
        <f t="shared" si="7"/>
        <v>-4.6351319229855003E-3</v>
      </c>
      <c r="G37" s="536">
        <f t="shared" si="7"/>
        <v>0.23959608323133416</v>
      </c>
      <c r="H37" s="536">
        <f t="shared" si="7"/>
        <v>7.2446195816914222E-2</v>
      </c>
      <c r="I37" s="558">
        <f t="shared" si="1"/>
        <v>0.22720549502344181</v>
      </c>
      <c r="J37" s="603">
        <f t="shared" si="2"/>
        <v>0.37066718317944758</v>
      </c>
    </row>
    <row r="38" spans="2:14">
      <c r="B38" s="524" t="s">
        <v>281</v>
      </c>
      <c r="C38" s="528">
        <f>(1+C81/(C79+C80))*C79/(C93+C94-C85)</f>
        <v>0.16570819049708621</v>
      </c>
      <c r="D38" s="528">
        <f t="shared" ref="D38:H38" si="8">(1+D81/(D79+D80))*D79/(D93+D94-D85)</f>
        <v>0.1852727482209223</v>
      </c>
      <c r="E38" s="528">
        <f t="shared" si="8"/>
        <v>8.7327415873748857E-2</v>
      </c>
      <c r="F38" s="528">
        <f t="shared" si="8"/>
        <v>0.29802283981337502</v>
      </c>
      <c r="G38" s="528">
        <f t="shared" si="8"/>
        <v>0.14759319700097243</v>
      </c>
      <c r="H38" s="528">
        <f t="shared" si="8"/>
        <v>9.6185481064910275E-2</v>
      </c>
      <c r="I38" s="559">
        <f t="shared" si="1"/>
        <v>0.16335164541183586</v>
      </c>
      <c r="J38" s="604">
        <f t="shared" si="2"/>
        <v>2.35654508525035E-3</v>
      </c>
    </row>
    <row r="39" spans="2:14" ht="15.75">
      <c r="B39" s="181" t="s">
        <v>282</v>
      </c>
      <c r="C39" s="185"/>
      <c r="D39" s="185"/>
      <c r="E39" s="185"/>
      <c r="F39" s="185"/>
      <c r="G39" s="185"/>
      <c r="H39" s="185"/>
      <c r="I39" s="560" t="str">
        <f t="shared" si="1"/>
        <v/>
      </c>
      <c r="J39" s="600"/>
    </row>
    <row r="40" spans="2:14">
      <c r="B40" s="180" t="s">
        <v>63</v>
      </c>
      <c r="C40" s="537">
        <f>C93/C90</f>
        <v>0.46323238041324655</v>
      </c>
      <c r="D40" s="537">
        <f t="shared" ref="D40:H40" si="9">D93/D90</f>
        <v>0.3496436587350556</v>
      </c>
      <c r="E40" s="537">
        <f t="shared" si="9"/>
        <v>0.33068010806302467</v>
      </c>
      <c r="F40" s="537">
        <f t="shared" si="9"/>
        <v>0.50527126753710161</v>
      </c>
      <c r="G40" s="537">
        <f t="shared" si="9"/>
        <v>0.37456602803137456</v>
      </c>
      <c r="H40" s="537">
        <f t="shared" si="9"/>
        <v>0.23598104265402844</v>
      </c>
      <c r="I40" s="561">
        <f>IFERROR(AVERAGE(C40:H40),"")</f>
        <v>0.37656241423897191</v>
      </c>
      <c r="J40" s="605">
        <f t="shared" si="2"/>
        <v>8.6669966174274637E-2</v>
      </c>
    </row>
    <row r="41" spans="2:14">
      <c r="B41" s="526" t="s">
        <v>283</v>
      </c>
      <c r="C41" s="859">
        <f>(C93-C85)/C78</f>
        <v>2.9878</v>
      </c>
      <c r="D41" s="529">
        <f t="shared" ref="D41:H41" si="10">(D93-D85)/D78</f>
        <v>1.9463738085370907</v>
      </c>
      <c r="E41" s="529">
        <f t="shared" si="10"/>
        <v>2.6387321606372387</v>
      </c>
      <c r="F41" s="529">
        <f t="shared" si="10"/>
        <v>4.2448347107438016</v>
      </c>
      <c r="G41" s="529">
        <f t="shared" si="10"/>
        <v>2.037720706260032</v>
      </c>
      <c r="H41" s="529">
        <f t="shared" si="10"/>
        <v>2.9816258351893095</v>
      </c>
      <c r="I41" s="561">
        <f t="shared" si="1"/>
        <v>2.8061812035612452</v>
      </c>
      <c r="J41" s="606">
        <f t="shared" si="2"/>
        <v>0.18161879643875478</v>
      </c>
    </row>
    <row r="42" spans="2:14">
      <c r="B42" s="538" t="s">
        <v>284</v>
      </c>
      <c r="C42" s="551">
        <f t="shared" ref="C42:H42" si="11">-C78/C80</f>
        <v>8.4175084175084169</v>
      </c>
      <c r="D42" s="551">
        <f t="shared" si="11"/>
        <v>14.295023696682465</v>
      </c>
      <c r="E42" s="551">
        <f t="shared" si="11"/>
        <v>6.5145945945945947</v>
      </c>
      <c r="F42" s="551">
        <f t="shared" si="11"/>
        <v>6.4533333333333331</v>
      </c>
      <c r="G42" s="551">
        <f t="shared" si="11"/>
        <v>8.3066666666666666</v>
      </c>
      <c r="H42" s="551">
        <f t="shared" si="11"/>
        <v>8.5933014354066994</v>
      </c>
      <c r="I42" s="562">
        <f t="shared" si="1"/>
        <v>8.763404690698696</v>
      </c>
      <c r="J42" s="607">
        <f t="shared" si="2"/>
        <v>0.34589627319027905</v>
      </c>
    </row>
    <row r="43" spans="2:14" ht="15.75">
      <c r="B43" s="181" t="s">
        <v>285</v>
      </c>
      <c r="C43" s="185"/>
      <c r="D43" s="185"/>
      <c r="E43" s="185"/>
      <c r="F43" s="185"/>
      <c r="G43" s="185"/>
      <c r="H43" s="185"/>
      <c r="I43" s="563"/>
      <c r="J43" s="600"/>
    </row>
    <row r="44" spans="2:14">
      <c r="B44" s="530" t="s">
        <v>286</v>
      </c>
      <c r="C44" s="857">
        <f>C88/C92</f>
        <v>1.6285260230433056</v>
      </c>
      <c r="D44" s="531">
        <f t="shared" ref="D44:H44" si="12">D88/D92</f>
        <v>0.63938174888841837</v>
      </c>
      <c r="E44" s="531">
        <f t="shared" si="12"/>
        <v>0.76890387858347387</v>
      </c>
      <c r="F44" s="531">
        <f t="shared" si="12"/>
        <v>1.1778975741239892</v>
      </c>
      <c r="G44" s="531">
        <f t="shared" si="12"/>
        <v>3.5064575645756459</v>
      </c>
      <c r="H44" s="531">
        <f t="shared" si="12"/>
        <v>0.69606645492303931</v>
      </c>
      <c r="I44" s="564">
        <f t="shared" si="1"/>
        <v>1.402872207356312</v>
      </c>
      <c r="J44" s="608">
        <f t="shared" si="2"/>
        <v>0.22565381568699361</v>
      </c>
    </row>
    <row r="45" spans="2:14">
      <c r="B45" s="538" t="s">
        <v>287</v>
      </c>
      <c r="C45" s="539">
        <f>(C85+C86)/C92</f>
        <v>0.546285260230433</v>
      </c>
      <c r="D45" s="539">
        <f t="shared" ref="D45:H45" si="13">(D85+D86)/D92</f>
        <v>0.49866610205377937</v>
      </c>
      <c r="E45" s="539">
        <f t="shared" si="13"/>
        <v>0.47352445193929171</v>
      </c>
      <c r="F45" s="539">
        <f t="shared" si="13"/>
        <v>0.4076819407008086</v>
      </c>
      <c r="G45" s="539">
        <f t="shared" si="13"/>
        <v>1.1337638376383763</v>
      </c>
      <c r="H45" s="539">
        <f t="shared" si="13"/>
        <v>0.4270706083557293</v>
      </c>
      <c r="I45" s="562">
        <f t="shared" si="1"/>
        <v>0.58116536681973641</v>
      </c>
      <c r="J45" s="609">
        <f t="shared" si="2"/>
        <v>3.4880106589303406E-2</v>
      </c>
    </row>
    <row r="46" spans="2:14" ht="15.75">
      <c r="B46" s="181" t="s">
        <v>288</v>
      </c>
      <c r="C46" s="185"/>
      <c r="D46" s="185"/>
      <c r="E46" s="185"/>
      <c r="F46" s="185"/>
      <c r="G46" s="185"/>
      <c r="H46" s="185"/>
      <c r="I46" s="563" t="str">
        <f t="shared" si="1"/>
        <v/>
      </c>
      <c r="J46" s="600"/>
    </row>
    <row r="47" spans="2:14">
      <c r="B47" s="530" t="s">
        <v>289</v>
      </c>
      <c r="C47" s="865">
        <f>C77/C87</f>
        <v>0.90800210581732033</v>
      </c>
      <c r="D47" s="531">
        <f t="shared" ref="D47:H47" si="14">D77/D87</f>
        <v>7.0130786439511272</v>
      </c>
      <c r="E47" s="531">
        <f>E77/E87</f>
        <v>4.4168234345606017</v>
      </c>
      <c r="F47" s="531">
        <f t="shared" si="14"/>
        <v>2.4660347551342814</v>
      </c>
      <c r="G47" s="531">
        <f t="shared" si="14"/>
        <v>0.75952693823915896</v>
      </c>
      <c r="H47" s="531">
        <f t="shared" si="14"/>
        <v>9.1433915211970067</v>
      </c>
      <c r="I47" s="564">
        <f t="shared" si="1"/>
        <v>4.117809566483249</v>
      </c>
      <c r="J47" s="608">
        <f t="shared" si="2"/>
        <v>3.2098074606659286</v>
      </c>
    </row>
    <row r="48" spans="2:14">
      <c r="B48" s="535" t="s">
        <v>290</v>
      </c>
      <c r="C48" s="539">
        <f>C76/C86</f>
        <v>6.3428465530022242</v>
      </c>
      <c r="D48" s="539">
        <f t="shared" ref="D48:H48" si="15">D76/D86</f>
        <v>9.274640786488531</v>
      </c>
      <c r="E48" s="539">
        <f>E76/E86</f>
        <v>6.4834507794149046</v>
      </c>
      <c r="F48" s="539">
        <f t="shared" si="15"/>
        <v>8.7853159851301115</v>
      </c>
      <c r="G48" s="539">
        <f>G76/G86</f>
        <v>4.9450292397660816</v>
      </c>
      <c r="H48" s="539">
        <f t="shared" si="15"/>
        <v>13.312855517633675</v>
      </c>
      <c r="I48" s="561">
        <f t="shared" si="1"/>
        <v>8.1906898102392542</v>
      </c>
      <c r="J48" s="609">
        <f t="shared" si="2"/>
        <v>1.84784325723703</v>
      </c>
    </row>
    <row r="49" spans="1:24">
      <c r="A49" s="10" t="s">
        <v>291</v>
      </c>
      <c r="B49" s="526" t="s">
        <v>292</v>
      </c>
      <c r="C49" s="532" t="s">
        <v>20</v>
      </c>
      <c r="D49" s="529">
        <f t="shared" ref="D49:H49" si="16">D77/D91</f>
        <v>1.8391172886863125</v>
      </c>
      <c r="E49" s="529">
        <f t="shared" si="16"/>
        <v>2.8657367044463817</v>
      </c>
      <c r="F49" s="529">
        <f t="shared" si="16"/>
        <v>4.9713375796178347</v>
      </c>
      <c r="G49" s="529">
        <f t="shared" si="16"/>
        <v>5.6298701298701301</v>
      </c>
      <c r="H49" s="529" t="e">
        <f t="shared" si="16"/>
        <v>#DIV/0!</v>
      </c>
      <c r="I49" s="561" t="str">
        <f t="shared" si="1"/>
        <v/>
      </c>
      <c r="J49" s="606" t="e">
        <f t="shared" si="2"/>
        <v>#VALUE!</v>
      </c>
    </row>
    <row r="50" spans="1:24">
      <c r="B50" s="535" t="s">
        <v>293</v>
      </c>
      <c r="C50" s="858">
        <f>C76/C89</f>
        <v>2.7398334934357989</v>
      </c>
      <c r="D50" s="539">
        <f t="shared" ref="D50:H50" si="17">D76/D89</f>
        <v>0.90141241899721924</v>
      </c>
      <c r="E50" s="539">
        <f t="shared" si="17"/>
        <v>0.69392512684554553</v>
      </c>
      <c r="F50" s="539">
        <f t="shared" si="17"/>
        <v>0.44661249173202305</v>
      </c>
      <c r="G50" s="539">
        <f t="shared" si="17"/>
        <v>1.0633802816901408</v>
      </c>
      <c r="H50" s="539">
        <f t="shared" si="17"/>
        <v>0.49740712403298476</v>
      </c>
      <c r="I50" s="561">
        <f t="shared" si="1"/>
        <v>1.0570951561222854</v>
      </c>
      <c r="J50" s="609">
        <f t="shared" si="2"/>
        <v>1.6827383373135134</v>
      </c>
    </row>
    <row r="51" spans="1:24" ht="13.5" thickBot="1">
      <c r="B51" s="524" t="s">
        <v>294</v>
      </c>
      <c r="C51" s="540">
        <f>C76/C90</f>
        <v>0.48437588451740732</v>
      </c>
      <c r="D51" s="540">
        <f t="shared" ref="D51:H51" si="18">D76/D90</f>
        <v>0.65800180629700178</v>
      </c>
      <c r="E51" s="540">
        <f>E76/E90</f>
        <v>0.55050495893242435</v>
      </c>
      <c r="F51" s="540">
        <f t="shared" si="18"/>
        <v>0.38330224637093502</v>
      </c>
      <c r="G51" s="540">
        <f t="shared" si="18"/>
        <v>0.54365436543654366</v>
      </c>
      <c r="H51" s="540">
        <f t="shared" si="18"/>
        <v>0.44367772511848341</v>
      </c>
      <c r="I51" s="561">
        <f t="shared" si="1"/>
        <v>0.5105861644454659</v>
      </c>
      <c r="J51" s="610">
        <f t="shared" si="2"/>
        <v>2.6210279928058577E-2</v>
      </c>
    </row>
    <row r="52" spans="1:24" ht="16.5" thickBot="1">
      <c r="B52" s="182" t="s">
        <v>104</v>
      </c>
      <c r="C52" s="185"/>
      <c r="D52" s="185"/>
      <c r="E52" s="185"/>
      <c r="F52" s="185"/>
      <c r="G52" s="185"/>
      <c r="H52" s="185"/>
      <c r="I52" s="565" t="str">
        <f t="shared" si="1"/>
        <v/>
      </c>
      <c r="J52" s="600"/>
      <c r="X52">
        <f>563/566.26</f>
        <v>0.99424292727722252</v>
      </c>
    </row>
    <row r="53" spans="1:24" ht="13.5" thickBot="1">
      <c r="B53" s="180" t="s">
        <v>295</v>
      </c>
      <c r="C53" s="549">
        <f ca="1">C30/C82</f>
        <v>13.914306956983536</v>
      </c>
      <c r="D53" s="550">
        <f>D30/D82</f>
        <v>16.56266465939029</v>
      </c>
      <c r="E53" s="550">
        <f ca="1">E30/E82</f>
        <v>18.200082465277777</v>
      </c>
      <c r="F53" s="550" t="s">
        <v>296</v>
      </c>
      <c r="G53" s="550">
        <f t="shared" ref="G53:H53" ca="1" si="19">G30/G82</f>
        <v>24.541162196679437</v>
      </c>
      <c r="H53" s="550">
        <f t="shared" ca="1" si="19"/>
        <v>12.910271966527196</v>
      </c>
      <c r="I53" s="564">
        <f t="shared" ca="1" si="1"/>
        <v>17.225697648971646</v>
      </c>
      <c r="J53" s="611">
        <f t="shared" ca="1" si="2"/>
        <v>3.3113906919881106</v>
      </c>
    </row>
    <row r="54" spans="1:24">
      <c r="B54" s="526" t="s">
        <v>291</v>
      </c>
      <c r="C54" s="533">
        <f ca="1">C30/C76</f>
        <v>3.0620744463273533</v>
      </c>
      <c r="D54" s="533">
        <f t="shared" ref="D54:H54" si="20">D30/D76</f>
        <v>1.7941292382958482</v>
      </c>
      <c r="E54" s="533">
        <f t="shared" ca="1" si="20"/>
        <v>1.3811010473618337</v>
      </c>
      <c r="F54" s="533">
        <f t="shared" ca="1" si="20"/>
        <v>4.5747057575372905</v>
      </c>
      <c r="G54" s="533">
        <f t="shared" ca="1" si="20"/>
        <v>4.5448746452223272</v>
      </c>
      <c r="H54" s="533">
        <f t="shared" ca="1" si="20"/>
        <v>1.05471030593061</v>
      </c>
      <c r="I54" s="561">
        <f t="shared" ca="1" si="1"/>
        <v>2.7352659067792104</v>
      </c>
      <c r="J54" s="612">
        <f t="shared" ca="1" si="2"/>
        <v>0.32680853954814282</v>
      </c>
    </row>
    <row r="55" spans="1:24">
      <c r="B55" s="535" t="s">
        <v>297</v>
      </c>
      <c r="C55" s="856">
        <f ca="1">C30/C94</f>
        <v>8.318983965708842</v>
      </c>
      <c r="D55" s="552">
        <f t="shared" ref="D55:H55" si="21">D30/D94</f>
        <v>5.6822329344925544</v>
      </c>
      <c r="E55" s="552">
        <f t="shared" ca="1" si="21"/>
        <v>2.0907952732349422</v>
      </c>
      <c r="F55" s="552">
        <f t="shared" ca="1" si="21"/>
        <v>5.1396117810791537</v>
      </c>
      <c r="G55" s="552">
        <f t="shared" ca="1" si="21"/>
        <v>5.8799663402692781</v>
      </c>
      <c r="H55" s="552">
        <f t="shared" ca="1" si="21"/>
        <v>0.93530009093664745</v>
      </c>
      <c r="I55" s="561">
        <f t="shared" ca="1" si="1"/>
        <v>4.6744817309535689</v>
      </c>
      <c r="J55" s="613">
        <f t="shared" ca="1" si="2"/>
        <v>3.6445022347552731</v>
      </c>
    </row>
    <row r="56" spans="1:24">
      <c r="B56" s="526" t="s">
        <v>298</v>
      </c>
      <c r="C56" s="533">
        <f ca="1">(C93+C30-C85)/C76</f>
        <v>3.9350365219423828</v>
      </c>
      <c r="D56" s="533">
        <f t="shared" ref="D56:G56" si="22">(D93+D30-D85)/D76</f>
        <v>2.1132567778759257</v>
      </c>
      <c r="E56" s="533">
        <f t="shared" ca="1" si="22"/>
        <v>1.9048149002042025</v>
      </c>
      <c r="F56" s="533">
        <f t="shared" ca="1" si="22"/>
        <v>5.8787362240558556</v>
      </c>
      <c r="G56" s="533">
        <f t="shared" ca="1" si="22"/>
        <v>5.1453949858088928</v>
      </c>
      <c r="H56" s="533">
        <f ca="1">(H93+H30-H85)/H76</f>
        <v>1.5123243889933347</v>
      </c>
      <c r="I56" s="561">
        <f t="shared" ca="1" si="1"/>
        <v>3.4149272998134319</v>
      </c>
      <c r="J56" s="612">
        <f t="shared" ca="1" si="2"/>
        <v>0.52010922212895094</v>
      </c>
    </row>
    <row r="57" spans="1:24">
      <c r="B57" s="538" t="s">
        <v>299</v>
      </c>
      <c r="C57" s="866">
        <f ca="1">(C93+C30-C85)/C78</f>
        <v>13.468055999999999</v>
      </c>
      <c r="D57" s="548">
        <f t="shared" ref="D57:H57" si="23">(D93+D30-D85)/D78</f>
        <v>12.888852051388314</v>
      </c>
      <c r="E57" s="548">
        <f t="shared" ca="1" si="23"/>
        <v>9.5974095585794892</v>
      </c>
      <c r="F57" s="548">
        <f t="shared" ca="1" si="23"/>
        <v>19.136258101239669</v>
      </c>
      <c r="G57" s="548">
        <f t="shared" ca="1" si="23"/>
        <v>17.45965489566613</v>
      </c>
      <c r="H57" s="548">
        <f t="shared" ca="1" si="23"/>
        <v>9.8536859688195992</v>
      </c>
      <c r="I57" s="562">
        <f t="shared" ca="1" si="1"/>
        <v>13.733986095948866</v>
      </c>
      <c r="J57" s="614">
        <f t="shared" ca="1" si="2"/>
        <v>0.26593009594886752</v>
      </c>
    </row>
    <row r="58" spans="1:24" ht="16.5" thickBot="1">
      <c r="B58" s="182" t="s">
        <v>300</v>
      </c>
      <c r="C58" s="185"/>
      <c r="D58" s="185"/>
      <c r="E58" s="185"/>
      <c r="F58" s="185"/>
      <c r="G58" s="185"/>
      <c r="H58" s="185"/>
      <c r="I58" s="566" t="str">
        <f t="shared" si="1"/>
        <v/>
      </c>
      <c r="J58" s="600"/>
    </row>
    <row r="59" spans="1:24" ht="13.5" thickBot="1">
      <c r="B59" s="180" t="s">
        <v>40</v>
      </c>
      <c r="C59" s="553">
        <f>OP!M20</f>
        <v>0.98672566371681425</v>
      </c>
      <c r="D59" s="553">
        <f>134.04/139.7</f>
        <v>0.95948460987831063</v>
      </c>
      <c r="E59" s="553">
        <f>563/566.26</f>
        <v>0.99424292727722252</v>
      </c>
      <c r="F59" s="553">
        <f>166.04/182.8</f>
        <v>0.90831509846827119</v>
      </c>
      <c r="G59" s="553">
        <f>346.63/476.02</f>
        <v>0.72818368976093439</v>
      </c>
      <c r="H59" s="553">
        <f>190.35/212.65</f>
        <v>0.89513284740183396</v>
      </c>
      <c r="I59" s="557">
        <f t="shared" si="1"/>
        <v>0.9120141394172312</v>
      </c>
      <c r="J59" s="615">
        <f t="shared" si="2"/>
        <v>7.4711524299583054E-2</v>
      </c>
    </row>
    <row r="60" spans="1:24" ht="13.5" thickBot="1">
      <c r="B60" s="541" t="s">
        <v>301</v>
      </c>
      <c r="C60" s="542">
        <f ca="1">OP!M22</f>
        <v>0.54510000000000003</v>
      </c>
      <c r="D60" s="542" t="s">
        <v>302</v>
      </c>
      <c r="E60" s="542" t="s">
        <v>303</v>
      </c>
      <c r="F60" s="542" t="s">
        <v>304</v>
      </c>
      <c r="G60" s="542" t="s">
        <v>305</v>
      </c>
      <c r="H60" s="542" t="s">
        <v>306</v>
      </c>
      <c r="I60" s="567">
        <f t="shared" ca="1" si="1"/>
        <v>0.54510000000000003</v>
      </c>
      <c r="J60" s="616">
        <f t="shared" ca="1" si="2"/>
        <v>0</v>
      </c>
    </row>
    <row r="61" spans="1:24">
      <c r="B61" s="538" t="s">
        <v>307</v>
      </c>
      <c r="C61" s="546">
        <f ca="1">OP!M32</f>
        <v>3.3756350405872367E-4</v>
      </c>
      <c r="D61" s="547">
        <v>2.93E-2</v>
      </c>
      <c r="E61" s="547">
        <v>2.4E-2</v>
      </c>
      <c r="F61" s="547">
        <v>1.32E-2</v>
      </c>
      <c r="G61" s="547">
        <v>1.7100000000000001E-2</v>
      </c>
      <c r="H61" s="547">
        <v>2.5899999999999999E-2</v>
      </c>
      <c r="I61" s="558">
        <f ca="1">IFERROR(AVERAGE(C61:H61),"")</f>
        <v>1.830626058400979E-2</v>
      </c>
      <c r="J61" s="617">
        <f t="shared" ca="1" si="2"/>
        <v>1.7968697079951065E-2</v>
      </c>
    </row>
    <row r="62" spans="1:24" ht="15.75">
      <c r="B62" s="182" t="s">
        <v>308</v>
      </c>
      <c r="C62" s="185"/>
      <c r="D62" s="185"/>
      <c r="E62" s="185"/>
      <c r="F62" s="185"/>
      <c r="G62" s="185"/>
      <c r="H62" s="185"/>
      <c r="I62" s="568"/>
      <c r="J62" s="600"/>
    </row>
    <row r="63" spans="1:24">
      <c r="B63" s="183" t="s">
        <v>309</v>
      </c>
      <c r="C63" s="861">
        <v>-0.16600000000000001</v>
      </c>
      <c r="D63" s="670"/>
      <c r="E63" s="670"/>
      <c r="F63" s="670"/>
      <c r="G63" s="670"/>
      <c r="H63" s="670"/>
      <c r="I63" s="557">
        <f>IFERROR(AVERAGE(C63:H63),"")</f>
        <v>-0.16600000000000001</v>
      </c>
      <c r="J63" s="591">
        <f t="shared" si="2"/>
        <v>0</v>
      </c>
    </row>
    <row r="64" spans="1:24">
      <c r="B64" s="526" t="s">
        <v>310</v>
      </c>
      <c r="C64" s="671">
        <v>-0.03</v>
      </c>
      <c r="D64" s="671"/>
      <c r="E64" s="671"/>
      <c r="F64" s="671"/>
      <c r="G64" s="671"/>
      <c r="H64" s="671"/>
      <c r="I64" s="557">
        <f t="shared" ref="I64:I67" si="24">IFERROR(AVERAGE(C64:H64),"")</f>
        <v>-0.03</v>
      </c>
      <c r="J64" s="618">
        <f t="shared" si="2"/>
        <v>0</v>
      </c>
    </row>
    <row r="65" spans="2:11">
      <c r="B65" s="184" t="s">
        <v>311</v>
      </c>
      <c r="C65" s="669" cm="1">
        <f t="array" aca="1" ref="C65" ca="1">_FV(C28,"Price")</f>
        <v>2344.5</v>
      </c>
      <c r="D65" s="669" t="e" cm="1" vm="12">
        <f t="array" ref="D65">_FV(D28,"Price")</f>
        <v>#VALUE!</v>
      </c>
      <c r="E65" s="669" cm="1">
        <f t="array" aca="1" ref="E65" ca="1">_FV(E28,"Price")</f>
        <v>71.959999999999994</v>
      </c>
      <c r="F65" s="669" cm="1">
        <f t="array" aca="1" ref="F65" ca="1">_FV(F28,"Price")</f>
        <v>238.215</v>
      </c>
      <c r="G65" s="669" cm="1">
        <f t="array" aca="1" ref="G65" ca="1">_FV(G28,"Price")</f>
        <v>40.6</v>
      </c>
      <c r="H65" s="669" cm="1">
        <f t="array" aca="1" ref="H65" ca="1">_FV(H28,"Price")</f>
        <v>61.01</v>
      </c>
      <c r="I65" s="557" t="str">
        <f t="shared" ca="1" si="24"/>
        <v/>
      </c>
      <c r="J65" s="619" t="e">
        <f t="shared" ca="1" si="2"/>
        <v>#VALUE!</v>
      </c>
    </row>
    <row r="66" spans="2:11">
      <c r="B66" s="526" t="s">
        <v>312</v>
      </c>
      <c r="C66" s="543"/>
      <c r="D66" s="543"/>
      <c r="E66" s="543"/>
      <c r="F66" s="543"/>
      <c r="G66" s="543"/>
      <c r="H66" s="543"/>
      <c r="I66" s="557" t="str">
        <f t="shared" si="24"/>
        <v/>
      </c>
      <c r="J66" s="620" t="e">
        <f t="shared" si="2"/>
        <v>#VALUE!</v>
      </c>
    </row>
    <row r="67" spans="2:11">
      <c r="B67" s="544" t="s">
        <v>313</v>
      </c>
      <c r="C67" s="545">
        <f ca="1">C66/C65-1</f>
        <v>-1</v>
      </c>
      <c r="D67" s="545" t="e" vm="13">
        <f t="shared" ref="D67:H67" si="25">D66/D65-1</f>
        <v>#VALUE!</v>
      </c>
      <c r="E67" s="545">
        <f t="shared" ca="1" si="25"/>
        <v>-1</v>
      </c>
      <c r="F67" s="545">
        <f t="shared" ca="1" si="25"/>
        <v>-1</v>
      </c>
      <c r="G67" s="545">
        <f t="shared" ca="1" si="25"/>
        <v>-1</v>
      </c>
      <c r="H67" s="545">
        <f t="shared" ca="1" si="25"/>
        <v>-1</v>
      </c>
      <c r="I67" s="569" t="str">
        <f t="shared" ca="1" si="24"/>
        <v/>
      </c>
      <c r="J67" s="621" t="e">
        <f t="shared" ca="1" si="2"/>
        <v>#VALUE!</v>
      </c>
    </row>
    <row r="68" spans="2:11" ht="15.75">
      <c r="B68" s="182" t="s">
        <v>314</v>
      </c>
      <c r="C68" s="182"/>
      <c r="D68" s="182"/>
      <c r="E68" s="182"/>
      <c r="F68" s="182"/>
      <c r="G68" s="182"/>
      <c r="H68" s="182"/>
      <c r="I68" s="182" t="str">
        <f>IFERROR(AVERAGE(C68:H68),"")</f>
        <v/>
      </c>
      <c r="J68" s="590"/>
      <c r="K68" s="595"/>
    </row>
    <row r="69" spans="2:11">
      <c r="B69" s="183" t="s">
        <v>315</v>
      </c>
      <c r="C69" s="623">
        <f>(Inputs!B59-Inputs!E59)/Inputs!E59</f>
        <v>0.30344827586206896</v>
      </c>
      <c r="D69" s="434"/>
      <c r="E69" s="434"/>
      <c r="F69" s="434"/>
      <c r="G69" s="434"/>
      <c r="H69" s="434"/>
      <c r="I69" s="569">
        <f>IFERROR(AVERAGE(C69:H69),"")</f>
        <v>0.30344827586206896</v>
      </c>
      <c r="J69" s="591">
        <f t="shared" si="2"/>
        <v>0</v>
      </c>
      <c r="K69" s="434"/>
    </row>
    <row r="70" spans="2:11">
      <c r="B70" s="592" t="s">
        <v>316</v>
      </c>
      <c r="C70" s="593">
        <f t="shared" ref="C70:H70" si="26">C83/C31</f>
        <v>3.0970607140770176E-3</v>
      </c>
      <c r="D70" s="593">
        <f t="shared" si="26"/>
        <v>0</v>
      </c>
      <c r="E70" s="593">
        <f t="shared" si="26"/>
        <v>3.5175548382846977E-2</v>
      </c>
      <c r="F70" s="593">
        <f t="shared" si="26"/>
        <v>0</v>
      </c>
      <c r="G70" s="593">
        <f t="shared" si="26"/>
        <v>0</v>
      </c>
      <c r="H70" s="593">
        <f t="shared" si="26"/>
        <v>0</v>
      </c>
      <c r="I70" s="569">
        <f>IFERROR(AVERAGE(C70:H70),"")</f>
        <v>6.3787681828206657E-3</v>
      </c>
      <c r="J70" s="594">
        <f t="shared" si="2"/>
        <v>3.2817074687436481E-3</v>
      </c>
      <c r="K70" s="596"/>
    </row>
    <row r="72" spans="2:11" ht="15.75">
      <c r="B72" s="518" t="s">
        <v>317</v>
      </c>
      <c r="C72" s="517" t="e" vm="1">
        <f>OP!E2</f>
        <v>#VALUE!</v>
      </c>
      <c r="D72" s="377" t="e" vm="2">
        <f>D28</f>
        <v>#VALUE!</v>
      </c>
      <c r="E72" s="378" t="e" vm="3">
        <f>E28</f>
        <v>#VALUE!</v>
      </c>
      <c r="F72" s="379" t="e" vm="4">
        <f>F28</f>
        <v>#VALUE!</v>
      </c>
      <c r="G72" s="380" t="e" vm="5">
        <f>G28</f>
        <v>#VALUE!</v>
      </c>
      <c r="H72" s="666" t="e" vm="6">
        <f>H28</f>
        <v>#VALUE!</v>
      </c>
    </row>
    <row r="73" spans="2:11" ht="13.5" thickBot="1">
      <c r="B73" s="174" t="s">
        <v>318</v>
      </c>
      <c r="C73" s="175"/>
      <c r="D73" s="175"/>
      <c r="E73" s="175"/>
      <c r="F73" s="175"/>
      <c r="G73" s="175"/>
      <c r="H73" s="176"/>
    </row>
    <row r="74" spans="2:11" ht="13.5" thickBot="1">
      <c r="B74" s="169" t="s">
        <v>319</v>
      </c>
      <c r="C74" s="187">
        <f>'Fin. Data'!E5</f>
        <v>11752</v>
      </c>
      <c r="D74" s="164">
        <v>60097</v>
      </c>
      <c r="E74" s="164">
        <v>21941</v>
      </c>
      <c r="F74" s="164">
        <v>8615</v>
      </c>
      <c r="G74" s="164" t="s">
        <v>320</v>
      </c>
      <c r="H74" s="172">
        <v>10280</v>
      </c>
    </row>
    <row r="75" spans="2:11" ht="13.5" thickBot="1">
      <c r="B75" s="169" t="s">
        <v>321</v>
      </c>
      <c r="C75" s="187">
        <f>'Fin. Data'!C5</f>
        <v>15452</v>
      </c>
      <c r="D75" s="164">
        <v>70265</v>
      </c>
      <c r="E75" s="164">
        <v>28719</v>
      </c>
      <c r="F75" s="164">
        <v>8821</v>
      </c>
      <c r="G75" s="164">
        <v>3933</v>
      </c>
      <c r="H75" s="172">
        <v>10701</v>
      </c>
    </row>
    <row r="76" spans="2:11" ht="13.5" thickBot="1">
      <c r="B76" s="169" t="s">
        <v>273</v>
      </c>
      <c r="C76" s="187">
        <f>'Fin. Data'!B5</f>
        <v>17113</v>
      </c>
      <c r="D76" s="164">
        <v>73585</v>
      </c>
      <c r="E76" s="164">
        <v>30362</v>
      </c>
      <c r="F76" s="164">
        <v>9453</v>
      </c>
      <c r="G76" s="164">
        <v>4228</v>
      </c>
      <c r="H76" s="172">
        <v>11702</v>
      </c>
    </row>
    <row r="77" spans="2:11" ht="13.5" thickBot="1">
      <c r="B77" s="169" t="s">
        <v>322</v>
      </c>
      <c r="C77" s="187">
        <f>'Fin. Data'!B5-'Fin. Data'!B7</f>
        <v>6899</v>
      </c>
      <c r="D77" s="164">
        <v>40753</v>
      </c>
      <c r="E77" s="164">
        <v>16435</v>
      </c>
      <c r="F77" s="164">
        <v>4683</v>
      </c>
      <c r="G77" s="164">
        <v>1734</v>
      </c>
      <c r="H77" s="172">
        <v>7333</v>
      </c>
    </row>
    <row r="78" spans="2:11" ht="13.5" thickBot="1">
      <c r="B78" s="169" t="s">
        <v>47</v>
      </c>
      <c r="C78" s="187">
        <f>'Fin. Data'!B19</f>
        <v>5000</v>
      </c>
      <c r="D78" s="164">
        <f>D76-D77-20767</f>
        <v>12065</v>
      </c>
      <c r="E78" s="164">
        <v>6026</v>
      </c>
      <c r="F78" s="164">
        <v>2904</v>
      </c>
      <c r="G78" s="164">
        <v>1246</v>
      </c>
      <c r="H78" s="172">
        <v>1796</v>
      </c>
    </row>
    <row r="79" spans="2:11" ht="13.5" thickBot="1">
      <c r="B79" s="169" t="s">
        <v>323</v>
      </c>
      <c r="C79" s="516">
        <f>'Fin. Data'!B11</f>
        <v>4632</v>
      </c>
      <c r="D79" s="164">
        <v>10674</v>
      </c>
      <c r="E79" s="164">
        <v>3308</v>
      </c>
      <c r="F79" s="164">
        <v>6634</v>
      </c>
      <c r="G79" s="164">
        <v>1127</v>
      </c>
      <c r="H79" s="172">
        <v>1438</v>
      </c>
    </row>
    <row r="80" spans="2:11" ht="13.5" thickBot="1">
      <c r="B80" s="169" t="s">
        <v>324</v>
      </c>
      <c r="C80" s="516">
        <f>'Fin. Data'!B14</f>
        <v>-594</v>
      </c>
      <c r="D80" s="164">
        <f>695-1539</f>
        <v>-844</v>
      </c>
      <c r="E80" s="164">
        <v>-925</v>
      </c>
      <c r="F80" s="375">
        <v>-450</v>
      </c>
      <c r="G80" s="164">
        <v>-150</v>
      </c>
      <c r="H80" s="172">
        <v>-209</v>
      </c>
    </row>
    <row r="81" spans="2:8" ht="13.5" thickBot="1">
      <c r="B81" s="169" t="s">
        <v>325</v>
      </c>
      <c r="C81" s="516">
        <f>'Fin. Data'!B21</f>
        <v>-970</v>
      </c>
      <c r="D81" s="164">
        <v>-1859</v>
      </c>
      <c r="E81" s="164">
        <v>-121</v>
      </c>
      <c r="F81" s="164">
        <v>-422</v>
      </c>
      <c r="G81" s="164">
        <v>-234</v>
      </c>
      <c r="H81" s="172">
        <v>296</v>
      </c>
    </row>
    <row r="82" spans="2:8" ht="13.5" thickBot="1">
      <c r="B82" s="169" t="s">
        <v>60</v>
      </c>
      <c r="C82" s="516">
        <f>'Fin. Data'!B23</f>
        <v>3766</v>
      </c>
      <c r="D82" s="164">
        <v>7971</v>
      </c>
      <c r="E82" s="164">
        <v>2304</v>
      </c>
      <c r="F82" s="164">
        <v>-39</v>
      </c>
      <c r="G82" s="164">
        <v>783</v>
      </c>
      <c r="H82" s="172">
        <v>956</v>
      </c>
    </row>
    <row r="83" spans="2:8" ht="13.5" thickBot="1">
      <c r="B83" s="169" t="s">
        <v>326</v>
      </c>
      <c r="C83" s="862">
        <v>53</v>
      </c>
      <c r="D83" s="863"/>
      <c r="E83" s="863">
        <v>1068</v>
      </c>
      <c r="F83" s="863"/>
      <c r="G83" s="863"/>
      <c r="H83" s="864"/>
    </row>
    <row r="84" spans="2:8" ht="13.5" thickBot="1">
      <c r="B84" s="177" t="s">
        <v>327</v>
      </c>
      <c r="C84" s="178"/>
      <c r="D84" s="178"/>
      <c r="E84" s="178"/>
      <c r="F84" s="178"/>
      <c r="G84" s="178"/>
      <c r="H84" s="179"/>
    </row>
    <row r="85" spans="2:8" ht="13.5" thickBot="1">
      <c r="B85" s="169" t="s">
        <v>328</v>
      </c>
      <c r="C85" s="187">
        <f>'Fin. Data'!B39</f>
        <v>1427</v>
      </c>
      <c r="D85" s="164">
        <v>15618</v>
      </c>
      <c r="E85" s="164">
        <v>2337</v>
      </c>
      <c r="F85" s="164">
        <v>134</v>
      </c>
      <c r="G85" s="164">
        <v>374</v>
      </c>
      <c r="H85" s="172">
        <v>869</v>
      </c>
    </row>
    <row r="86" spans="2:8" ht="13.5" thickBot="1">
      <c r="B86" s="169" t="s">
        <v>329</v>
      </c>
      <c r="C86" s="187">
        <f>'Fin. Data'!B40</f>
        <v>2698</v>
      </c>
      <c r="D86" s="164">
        <v>7934</v>
      </c>
      <c r="E86" s="164">
        <v>4683</v>
      </c>
      <c r="F86" s="164">
        <v>1076</v>
      </c>
      <c r="G86" s="164">
        <v>855</v>
      </c>
      <c r="H86" s="172">
        <v>879</v>
      </c>
    </row>
    <row r="87" spans="2:8" ht="13.5" thickBot="1">
      <c r="B87" s="169" t="s">
        <v>330</v>
      </c>
      <c r="C87" s="187">
        <f>'Fin. Data'!B41</f>
        <v>7598</v>
      </c>
      <c r="D87" s="164">
        <v>5811</v>
      </c>
      <c r="E87" s="164">
        <v>3721</v>
      </c>
      <c r="F87" s="164">
        <v>1899</v>
      </c>
      <c r="G87" s="164">
        <v>2283</v>
      </c>
      <c r="H87" s="172">
        <v>802</v>
      </c>
    </row>
    <row r="88" spans="2:8" ht="13.5" thickBot="1">
      <c r="B88" s="169" t="s">
        <v>331</v>
      </c>
      <c r="C88" s="187">
        <f>Inputs!B27</f>
        <v>12297</v>
      </c>
      <c r="D88" s="164">
        <v>30198</v>
      </c>
      <c r="E88" s="164">
        <v>11399</v>
      </c>
      <c r="F88" s="164">
        <v>3496</v>
      </c>
      <c r="G88" s="164">
        <v>3801</v>
      </c>
      <c r="H88" s="172">
        <v>2849</v>
      </c>
    </row>
    <row r="89" spans="2:8" ht="13.5" thickBot="1">
      <c r="B89" s="169" t="s">
        <v>332</v>
      </c>
      <c r="C89" s="187">
        <f>'Fin. Data'!B42</f>
        <v>6246</v>
      </c>
      <c r="D89" s="164">
        <v>81633</v>
      </c>
      <c r="E89" s="164">
        <v>43754</v>
      </c>
      <c r="F89" s="164">
        <v>21166</v>
      </c>
      <c r="G89" s="164">
        <v>3976</v>
      </c>
      <c r="H89" s="172">
        <v>23526</v>
      </c>
    </row>
    <row r="90" spans="2:8">
      <c r="B90" s="169" t="s">
        <v>36</v>
      </c>
      <c r="C90" s="187">
        <f>'Fin. Data'!B44</f>
        <v>35330</v>
      </c>
      <c r="D90" s="164">
        <f>D88+D89</f>
        <v>111831</v>
      </c>
      <c r="E90" s="164">
        <v>55153</v>
      </c>
      <c r="F90" s="164">
        <v>24662</v>
      </c>
      <c r="G90" s="164">
        <v>7777</v>
      </c>
      <c r="H90" s="172">
        <v>26375</v>
      </c>
    </row>
    <row r="91" spans="2:8">
      <c r="B91" s="169" t="s">
        <v>333</v>
      </c>
      <c r="C91" s="863">
        <v>3378</v>
      </c>
      <c r="D91" s="164">
        <v>22159</v>
      </c>
      <c r="E91" s="164">
        <v>5735</v>
      </c>
      <c r="F91" s="164">
        <v>942</v>
      </c>
      <c r="G91" s="164">
        <v>308</v>
      </c>
      <c r="H91" s="172">
        <v>0</v>
      </c>
    </row>
    <row r="92" spans="2:8">
      <c r="B92" s="169" t="s">
        <v>334</v>
      </c>
      <c r="C92" s="187">
        <f>Inputs!B42</f>
        <v>7551</v>
      </c>
      <c r="D92" s="164">
        <v>47230</v>
      </c>
      <c r="E92" s="164">
        <v>14825</v>
      </c>
      <c r="F92" s="164">
        <v>2968</v>
      </c>
      <c r="G92" s="164">
        <v>1084</v>
      </c>
      <c r="H92" s="172">
        <v>4093</v>
      </c>
    </row>
    <row r="93" spans="2:8" ht="13.5" thickBot="1">
      <c r="B93" s="169" t="s">
        <v>335</v>
      </c>
      <c r="C93" s="187">
        <f>'Fin. Data'!B58</f>
        <v>16366</v>
      </c>
      <c r="D93" s="164">
        <v>39101</v>
      </c>
      <c r="E93" s="164">
        <v>18238</v>
      </c>
      <c r="F93" s="164">
        <v>12461</v>
      </c>
      <c r="G93" s="164">
        <v>2913</v>
      </c>
      <c r="H93" s="172">
        <v>6224</v>
      </c>
    </row>
    <row r="94" spans="2:8" ht="13.5" thickBot="1">
      <c r="B94" s="170" t="s">
        <v>336</v>
      </c>
      <c r="C94" s="188">
        <f>'Fin. Data'!B64</f>
        <v>6299</v>
      </c>
      <c r="D94" s="171">
        <v>23234</v>
      </c>
      <c r="E94" s="171">
        <v>20056</v>
      </c>
      <c r="F94" s="171">
        <v>8414</v>
      </c>
      <c r="G94" s="171">
        <v>3268</v>
      </c>
      <c r="H94" s="173">
        <v>13196</v>
      </c>
    </row>
    <row r="95" spans="2:8" ht="13.5" hidden="1" thickBot="1">
      <c r="B95" s="177" t="s">
        <v>233</v>
      </c>
      <c r="C95" s="178"/>
      <c r="D95" s="178"/>
      <c r="E95" s="178"/>
      <c r="F95" s="178"/>
      <c r="G95" s="178"/>
      <c r="H95" s="179"/>
    </row>
    <row r="96" spans="2:8" hidden="1">
      <c r="B96" s="169"/>
      <c r="C96" s="187"/>
      <c r="D96" s="164"/>
      <c r="E96" s="164"/>
      <c r="F96" s="164"/>
      <c r="G96" s="164"/>
      <c r="H96" s="172"/>
    </row>
    <row r="97" spans="2:8" hidden="1">
      <c r="B97" s="169"/>
      <c r="C97" s="187"/>
      <c r="D97" s="164"/>
      <c r="E97" s="164"/>
      <c r="F97" s="164"/>
      <c r="G97" s="164"/>
      <c r="H97" s="172"/>
    </row>
    <row r="98" spans="2:8" hidden="1">
      <c r="B98" s="169"/>
      <c r="C98" s="187"/>
      <c r="D98" s="164"/>
      <c r="E98" s="164"/>
      <c r="F98" s="164"/>
      <c r="G98" s="164"/>
      <c r="H98" s="172"/>
    </row>
    <row r="99" spans="2:8" hidden="1">
      <c r="B99" s="169"/>
      <c r="C99" s="187"/>
      <c r="D99" s="164"/>
      <c r="E99" s="164"/>
      <c r="F99" s="164"/>
      <c r="G99" s="164"/>
      <c r="H99" s="172"/>
    </row>
    <row r="100" spans="2:8" hidden="1">
      <c r="B100" s="169"/>
      <c r="C100" s="187"/>
      <c r="D100" s="164"/>
      <c r="E100" s="164"/>
      <c r="F100" s="164"/>
      <c r="G100" s="164"/>
      <c r="H100" s="172"/>
    </row>
    <row r="101" spans="2:8" hidden="1">
      <c r="B101" s="177" t="s">
        <v>234</v>
      </c>
      <c r="C101" s="178"/>
      <c r="D101" s="178"/>
      <c r="E101" s="178"/>
      <c r="F101" s="178"/>
      <c r="G101" s="178"/>
      <c r="H101" s="179"/>
    </row>
    <row r="102" spans="2:8" hidden="1">
      <c r="B102" s="169"/>
      <c r="C102" s="187"/>
      <c r="D102" s="164"/>
      <c r="E102" s="164"/>
      <c r="F102" s="164"/>
      <c r="G102" s="164"/>
      <c r="H102" s="172"/>
    </row>
    <row r="103" spans="2:8" hidden="1">
      <c r="B103" s="169"/>
      <c r="C103" s="187"/>
      <c r="D103" s="164"/>
      <c r="E103" s="164"/>
      <c r="F103" s="164"/>
      <c r="G103" s="164"/>
      <c r="H103" s="172"/>
    </row>
    <row r="104" spans="2:8" hidden="1">
      <c r="B104" s="169"/>
      <c r="C104" s="187"/>
      <c r="D104" s="164"/>
      <c r="E104" s="164"/>
      <c r="F104" s="164"/>
      <c r="G104" s="164"/>
      <c r="H104" s="172"/>
    </row>
    <row r="105" spans="2:8" hidden="1">
      <c r="B105" s="169"/>
      <c r="C105" s="187"/>
      <c r="D105" s="164"/>
      <c r="E105" s="164"/>
      <c r="F105" s="164"/>
      <c r="G105" s="164"/>
      <c r="H105" s="172"/>
    </row>
    <row r="106" spans="2:8" hidden="1">
      <c r="B106" s="170"/>
      <c r="C106" s="188"/>
      <c r="D106" s="171"/>
      <c r="E106" s="171"/>
      <c r="F106" s="171"/>
      <c r="G106" s="171"/>
      <c r="H106" s="173"/>
    </row>
  </sheetData>
  <mergeCells count="71">
    <mergeCell ref="X1:Y1"/>
    <mergeCell ref="B2:B6"/>
    <mergeCell ref="C2:C6"/>
    <mergeCell ref="D2:H6"/>
    <mergeCell ref="K2:N6"/>
    <mergeCell ref="O2:O6"/>
    <mergeCell ref="P2:P6"/>
    <mergeCell ref="D1:H1"/>
    <mergeCell ref="K1:N1"/>
    <mergeCell ref="O1:P1"/>
    <mergeCell ref="Q1:S1"/>
    <mergeCell ref="T1:W1"/>
    <mergeCell ref="S2:S6"/>
    <mergeCell ref="V2:W6"/>
    <mergeCell ref="Y2:Y6"/>
    <mergeCell ref="T2:U2"/>
    <mergeCell ref="L34:L35"/>
    <mergeCell ref="M34:N35"/>
    <mergeCell ref="L29:N29"/>
    <mergeCell ref="L30:L31"/>
    <mergeCell ref="M30:N31"/>
    <mergeCell ref="L32:L33"/>
    <mergeCell ref="M32:N33"/>
    <mergeCell ref="P7:P11"/>
    <mergeCell ref="B12:B16"/>
    <mergeCell ref="C12:C16"/>
    <mergeCell ref="D12:H16"/>
    <mergeCell ref="K12:N16"/>
    <mergeCell ref="O12:O16"/>
    <mergeCell ref="P12:P16"/>
    <mergeCell ref="B7:B11"/>
    <mergeCell ref="C7:C11"/>
    <mergeCell ref="D7:H11"/>
    <mergeCell ref="K7:N11"/>
    <mergeCell ref="O7:O11"/>
    <mergeCell ref="P17:P21"/>
    <mergeCell ref="B22:B26"/>
    <mergeCell ref="C22:C26"/>
    <mergeCell ref="D22:H26"/>
    <mergeCell ref="K22:N26"/>
    <mergeCell ref="O22:O26"/>
    <mergeCell ref="P22:P26"/>
    <mergeCell ref="B17:B21"/>
    <mergeCell ref="C17:C21"/>
    <mergeCell ref="D17:H21"/>
    <mergeCell ref="K17:N21"/>
    <mergeCell ref="O17:O21"/>
    <mergeCell ref="S7:S11"/>
    <mergeCell ref="S12:S16"/>
    <mergeCell ref="S17:S21"/>
    <mergeCell ref="S22:S26"/>
    <mergeCell ref="V12:W16"/>
    <mergeCell ref="V7:W11"/>
    <mergeCell ref="V22:W26"/>
    <mergeCell ref="V17:W21"/>
    <mergeCell ref="T15:U15"/>
    <mergeCell ref="Y7:Y11"/>
    <mergeCell ref="Y12:Y16"/>
    <mergeCell ref="Y17:Y21"/>
    <mergeCell ref="Y22:Y26"/>
    <mergeCell ref="X2:X6"/>
    <mergeCell ref="X7:X11"/>
    <mergeCell ref="X17:X21"/>
    <mergeCell ref="X22:X26"/>
    <mergeCell ref="X12:X16"/>
    <mergeCell ref="T3:U3"/>
    <mergeCell ref="T7:U7"/>
    <mergeCell ref="T10:U10"/>
    <mergeCell ref="T14:U14"/>
    <mergeCell ref="T12:U12"/>
    <mergeCell ref="T13:U13"/>
  </mergeCells>
  <pageMargins left="0.7" right="0.7" top="0.75" bottom="0.75" header="0.3" footer="0.3"/>
  <pageSetup orientation="portrait"/>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zoomScale="65" zoomScaleNormal="60" workbookViewId="0">
      <selection activeCell="J8" sqref="J8"/>
    </sheetView>
  </sheetViews>
  <sheetFormatPr defaultColWidth="11.42578125" defaultRowHeight="12.75"/>
  <cols>
    <col min="1" max="1" width="1.140625" style="75" customWidth="1"/>
    <col min="2" max="2" width="59.42578125" style="75" customWidth="1"/>
    <col min="3" max="4" width="12.85546875" style="75" customWidth="1"/>
    <col min="5" max="5" width="11.42578125" style="75" bestFit="1" customWidth="1"/>
    <col min="6" max="6" width="11" style="75" customWidth="1"/>
    <col min="7" max="7" width="10.42578125" style="75" customWidth="1"/>
    <col min="8" max="8" width="20.28515625" style="505" customWidth="1"/>
    <col min="9" max="9" width="22.42578125" style="505" customWidth="1"/>
    <col min="10" max="10" width="64.140625" style="75" customWidth="1"/>
    <col min="11" max="11" width="34.7109375" style="75" bestFit="1" customWidth="1"/>
    <col min="12" max="12" width="21.28515625" style="75" customWidth="1"/>
    <col min="13" max="13" width="19.85546875" style="75" customWidth="1"/>
    <col min="14" max="14" width="20.85546875" style="75" bestFit="1" customWidth="1"/>
    <col min="15" max="15" width="19.85546875" style="75" bestFit="1" customWidth="1"/>
    <col min="16" max="16" width="19.85546875" style="75" customWidth="1"/>
    <col min="17" max="17" width="22.28515625" style="75" bestFit="1" customWidth="1"/>
    <col min="18" max="18" width="11.42578125" style="75" customWidth="1"/>
    <col min="19" max="19" width="10.42578125" style="75" customWidth="1"/>
    <col min="20" max="20" width="12.28515625" style="75" bestFit="1" customWidth="1"/>
    <col min="21" max="21" width="15.42578125" style="75" customWidth="1"/>
    <col min="22" max="22" width="18.140625" style="75" bestFit="1" customWidth="1"/>
    <col min="23" max="23" width="18.28515625" style="75" bestFit="1" customWidth="1"/>
    <col min="24" max="24" width="17.28515625" style="75" bestFit="1" customWidth="1"/>
    <col min="25" max="30" width="11.42578125" style="75"/>
    <col min="31" max="31" width="13" style="75" bestFit="1" customWidth="1"/>
    <col min="32" max="16384" width="11.42578125" style="75"/>
  </cols>
  <sheetData>
    <row r="1" spans="1:24">
      <c r="B1" s="204" t="s">
        <v>337</v>
      </c>
      <c r="C1" s="79"/>
      <c r="D1" s="79"/>
      <c r="E1" s="79"/>
      <c r="F1" s="79"/>
      <c r="G1" s="79"/>
      <c r="H1" s="499"/>
      <c r="I1" s="499"/>
      <c r="J1" s="79"/>
      <c r="T1" s="89" t="s">
        <v>10</v>
      </c>
    </row>
    <row r="2" spans="1:24" ht="13.5" thickBot="1">
      <c r="B2" s="85" t="s">
        <v>338</v>
      </c>
      <c r="C2" s="205" t="s">
        <v>339</v>
      </c>
      <c r="D2" s="79"/>
      <c r="E2" s="79"/>
      <c r="F2" s="79"/>
      <c r="G2" s="79"/>
      <c r="H2" s="499"/>
      <c r="I2" s="499"/>
      <c r="J2" s="79"/>
      <c r="T2" s="89" t="s">
        <v>19</v>
      </c>
    </row>
    <row r="3" spans="1:24" ht="20.25">
      <c r="B3" s="1183" t="s">
        <v>340</v>
      </c>
      <c r="C3" s="1183"/>
      <c r="D3" s="1183"/>
      <c r="E3" s="1183"/>
      <c r="F3" s="1183"/>
      <c r="G3" s="1183"/>
      <c r="H3" s="1183"/>
      <c r="I3" s="1183"/>
      <c r="J3" s="1183"/>
      <c r="K3" s="1184" t="s">
        <v>341</v>
      </c>
      <c r="L3" s="1184"/>
      <c r="M3" s="1184"/>
      <c r="N3" s="1184"/>
      <c r="O3" s="1184"/>
      <c r="P3" s="1184"/>
      <c r="Q3" s="1184"/>
    </row>
    <row r="4" spans="1:24" ht="93" customHeight="1">
      <c r="B4" s="195" t="s">
        <v>342</v>
      </c>
      <c r="C4" s="227" t="s">
        <v>343</v>
      </c>
      <c r="D4" s="227" t="s">
        <v>344</v>
      </c>
      <c r="E4" s="227" t="s">
        <v>345</v>
      </c>
      <c r="F4" s="227" t="s">
        <v>346</v>
      </c>
      <c r="G4" s="227" t="s">
        <v>347</v>
      </c>
      <c r="H4" s="196" t="s">
        <v>348</v>
      </c>
      <c r="I4" s="196" t="s">
        <v>349</v>
      </c>
      <c r="J4" s="197" t="s">
        <v>350</v>
      </c>
      <c r="K4" s="195" t="s">
        <v>342</v>
      </c>
      <c r="L4" s="734" t="s">
        <v>351</v>
      </c>
      <c r="M4" s="734" t="s">
        <v>352</v>
      </c>
      <c r="N4" s="734" t="s">
        <v>353</v>
      </c>
      <c r="O4" s="734" t="s">
        <v>354</v>
      </c>
      <c r="P4" s="734" t="s">
        <v>355</v>
      </c>
      <c r="Q4" s="734" t="s">
        <v>356</v>
      </c>
      <c r="R4" s="664" t="s">
        <v>268</v>
      </c>
    </row>
    <row r="5" spans="1:24" ht="15" customHeight="1">
      <c r="B5" s="206" t="s">
        <v>357</v>
      </c>
      <c r="C5" s="207"/>
      <c r="D5" s="208"/>
      <c r="E5" s="208"/>
      <c r="F5" s="208"/>
      <c r="G5" s="208"/>
      <c r="H5" s="500"/>
      <c r="I5" s="500"/>
      <c r="J5" s="209"/>
      <c r="K5" s="206" t="s">
        <v>358</v>
      </c>
      <c r="L5" s="208"/>
      <c r="M5" s="208"/>
      <c r="N5" s="208"/>
      <c r="O5" s="208"/>
      <c r="P5" s="209"/>
      <c r="Q5" s="209"/>
      <c r="R5" s="209"/>
    </row>
    <row r="6" spans="1:24" ht="18" customHeight="1">
      <c r="A6" s="75">
        <v>1</v>
      </c>
      <c r="B6" s="200" t="s">
        <v>359</v>
      </c>
      <c r="C6" s="198" t="str">
        <f>VLOOKUP($B$2,'Sector Impact'!$K$4:$AA$16,A6+1,FALSE)</f>
        <v>Low</v>
      </c>
      <c r="D6" s="198"/>
      <c r="E6" s="198"/>
      <c r="F6" s="210"/>
      <c r="G6" s="297"/>
      <c r="H6" s="199"/>
      <c r="I6" s="199"/>
      <c r="J6" s="199"/>
      <c r="K6" s="200" t="s">
        <v>360</v>
      </c>
      <c r="L6" s="473">
        <f t="shared" ref="L6:Q9" si="0">L12/L$11/100</f>
        <v>0.44359148770770573</v>
      </c>
      <c r="M6" s="473">
        <f t="shared" si="0"/>
        <v>0.34880297162012186</v>
      </c>
      <c r="N6" s="473">
        <f t="shared" si="0"/>
        <v>0</v>
      </c>
      <c r="O6" s="473">
        <f t="shared" si="0"/>
        <v>1.170443942814146</v>
      </c>
      <c r="P6" s="473">
        <f t="shared" si="0"/>
        <v>0.37020340586565753</v>
      </c>
      <c r="Q6" s="473">
        <f t="shared" si="0"/>
        <v>0</v>
      </c>
      <c r="R6" s="557">
        <f t="shared" ref="R6:R9" si="1">IFERROR(AVERAGE(L6:Q6),"")</f>
        <v>0.38884030133460518</v>
      </c>
    </row>
    <row r="7" spans="1:24" s="79" customFormat="1" ht="18" customHeight="1">
      <c r="A7" s="79">
        <v>2</v>
      </c>
      <c r="B7" s="867" t="s">
        <v>361</v>
      </c>
      <c r="C7" s="868" t="str">
        <f>VLOOKUP($B$2,'Sector Impact'!$K$4:$AA$16,A7+1,FALSE)</f>
        <v>Low</v>
      </c>
      <c r="D7" s="198"/>
      <c r="E7" s="198"/>
      <c r="F7" s="210"/>
      <c r="G7" s="297"/>
      <c r="H7" s="199"/>
      <c r="I7" s="199"/>
      <c r="J7" s="199"/>
      <c r="K7" s="200" t="s">
        <v>362</v>
      </c>
      <c r="L7" s="473">
        <f t="shared" si="0"/>
        <v>2.3238752307841803</v>
      </c>
      <c r="M7" s="473">
        <f t="shared" si="0"/>
        <v>9.9657991891463382</v>
      </c>
      <c r="N7" s="473">
        <f t="shared" si="0"/>
        <v>0</v>
      </c>
      <c r="O7" s="473">
        <f t="shared" si="0"/>
        <v>23.293330961625283</v>
      </c>
      <c r="P7" s="473">
        <f t="shared" si="0"/>
        <v>5.5192667928098391</v>
      </c>
      <c r="Q7" s="473">
        <f t="shared" si="0"/>
        <v>26.17094017094017</v>
      </c>
      <c r="R7" s="558">
        <f t="shared" si="1"/>
        <v>11.212202057550968</v>
      </c>
    </row>
    <row r="8" spans="1:24" ht="120">
      <c r="A8" s="75">
        <v>3</v>
      </c>
      <c r="B8" s="200" t="s">
        <v>363</v>
      </c>
      <c r="C8" s="198" t="str">
        <f>VLOOKUP($B$2,'Sector Impact'!$K$4:$AA$16,A8+1,FALSE)</f>
        <v>Medium</v>
      </c>
      <c r="D8" s="198" t="s">
        <v>10</v>
      </c>
      <c r="E8" s="198" t="s">
        <v>364</v>
      </c>
      <c r="F8" s="210" t="s">
        <v>10</v>
      </c>
      <c r="G8" s="298"/>
      <c r="H8" s="199"/>
      <c r="I8" s="199"/>
      <c r="J8" s="715" t="s">
        <v>365</v>
      </c>
      <c r="K8" s="200" t="s">
        <v>366</v>
      </c>
      <c r="L8" s="473">
        <f t="shared" si="0"/>
        <v>5.1554756583422412</v>
      </c>
      <c r="M8" s="473">
        <f t="shared" si="0"/>
        <v>7.3221444587891549</v>
      </c>
      <c r="N8" s="473">
        <f t="shared" si="0"/>
        <v>7.6584640119020468</v>
      </c>
      <c r="O8" s="473">
        <f t="shared" si="0"/>
        <v>20.908205417607224</v>
      </c>
      <c r="P8" s="473">
        <f t="shared" si="0"/>
        <v>7.0905416272469255</v>
      </c>
      <c r="Q8" s="473">
        <f t="shared" si="0"/>
        <v>11.634351282051282</v>
      </c>
      <c r="R8" s="558">
        <f>IFERROR(AVERAGE(L8:Q8),"")</f>
        <v>9.9615304093231476</v>
      </c>
    </row>
    <row r="9" spans="1:24" ht="90">
      <c r="A9" s="75">
        <v>4</v>
      </c>
      <c r="B9" s="200" t="s">
        <v>367</v>
      </c>
      <c r="C9" s="198" t="str">
        <f>VLOOKUP($B$2,'Sector Impact'!$K$4:$AA$16,A9+1,FALSE)</f>
        <v>Medium</v>
      </c>
      <c r="D9" s="198" t="s">
        <v>10</v>
      </c>
      <c r="E9" s="198" t="s">
        <v>368</v>
      </c>
      <c r="F9" s="210" t="s">
        <v>10</v>
      </c>
      <c r="G9" s="294"/>
      <c r="H9" s="199"/>
      <c r="I9" s="199"/>
      <c r="J9" s="716" t="s">
        <v>369</v>
      </c>
      <c r="K9" s="200" t="s">
        <v>370</v>
      </c>
      <c r="L9" s="473">
        <f t="shared" si="0"/>
        <v>0.55566125740938688</v>
      </c>
      <c r="M9" s="473">
        <f t="shared" si="0"/>
        <v>0.24416208013408527</v>
      </c>
      <c r="N9" s="473">
        <f t="shared" si="0"/>
        <v>0</v>
      </c>
      <c r="O9" s="473">
        <f t="shared" si="0"/>
        <v>1.0267118133935289</v>
      </c>
      <c r="P9" s="473">
        <f t="shared" si="0"/>
        <v>0</v>
      </c>
      <c r="Q9" s="473">
        <f t="shared" si="0"/>
        <v>0</v>
      </c>
      <c r="R9" s="558">
        <f t="shared" si="1"/>
        <v>0.3044225251561668</v>
      </c>
    </row>
    <row r="10" spans="1:24" ht="105">
      <c r="A10" s="75">
        <v>5</v>
      </c>
      <c r="B10" s="200" t="s">
        <v>371</v>
      </c>
      <c r="C10" s="198" t="str">
        <f>VLOOKUP($B$2,'Sector Impact'!$K$4:$AA$16,A10+1,FALSE)</f>
        <v>Low</v>
      </c>
      <c r="D10" s="198"/>
      <c r="E10" s="198"/>
      <c r="F10" s="210"/>
      <c r="G10" s="294"/>
      <c r="H10" s="199"/>
      <c r="I10" s="199"/>
      <c r="J10" s="715" t="s">
        <v>372</v>
      </c>
      <c r="K10" s="206" t="s">
        <v>373</v>
      </c>
      <c r="L10" s="208"/>
      <c r="M10" s="208"/>
      <c r="N10" s="208"/>
      <c r="O10" s="208"/>
      <c r="P10" s="208"/>
      <c r="Q10" s="209"/>
      <c r="S10"/>
      <c r="V10" s="79"/>
      <c r="W10" s="79"/>
      <c r="X10" s="79"/>
    </row>
    <row r="11" spans="1:24" ht="15">
      <c r="B11" s="206" t="s">
        <v>374</v>
      </c>
      <c r="C11" s="203"/>
      <c r="D11" s="203"/>
      <c r="E11" s="212"/>
      <c r="F11" s="212"/>
      <c r="G11" s="213"/>
      <c r="H11" s="501"/>
      <c r="I11" s="501"/>
      <c r="J11" s="214"/>
      <c r="K11" s="200" t="s">
        <v>375</v>
      </c>
      <c r="L11" s="474">
        <v>20582</v>
      </c>
      <c r="M11" s="474">
        <f>73585*0.15</f>
        <v>11037.75</v>
      </c>
      <c r="N11" s="474">
        <f>30308*1.1</f>
        <v>33338.800000000003</v>
      </c>
      <c r="O11" s="474">
        <v>2658</v>
      </c>
      <c r="P11" s="474">
        <v>4228</v>
      </c>
      <c r="Q11" s="474">
        <v>11700</v>
      </c>
      <c r="S11"/>
    </row>
    <row r="12" spans="1:24" ht="122.25" customHeight="1">
      <c r="A12" s="75">
        <v>6</v>
      </c>
      <c r="B12" s="200" t="s">
        <v>376</v>
      </c>
      <c r="C12" s="198" t="str">
        <f>VLOOKUP($B$2,'Sector Impact'!$K$4:$AA$16,A12+1,FALSE)</f>
        <v>Medium</v>
      </c>
      <c r="D12" s="198" t="s">
        <v>10</v>
      </c>
      <c r="E12" s="198" t="s">
        <v>377</v>
      </c>
      <c r="F12" s="210" t="s">
        <v>19</v>
      </c>
      <c r="G12" s="732"/>
      <c r="H12" s="199"/>
      <c r="I12" s="199"/>
      <c r="J12" s="215" t="s">
        <v>378</v>
      </c>
      <c r="K12" s="200" t="s">
        <v>379</v>
      </c>
      <c r="L12" s="229">
        <v>913000</v>
      </c>
      <c r="M12" s="229">
        <f>308000+77000</f>
        <v>385000</v>
      </c>
      <c r="N12" s="229">
        <v>0</v>
      </c>
      <c r="O12" s="229">
        <v>311104</v>
      </c>
      <c r="P12" s="229">
        <f>103699+52823</f>
        <v>156522</v>
      </c>
      <c r="Q12" s="229">
        <v>0</v>
      </c>
      <c r="S12"/>
    </row>
    <row r="13" spans="1:24" ht="25.5">
      <c r="A13" s="75">
        <v>7</v>
      </c>
      <c r="B13" s="200" t="s">
        <v>380</v>
      </c>
      <c r="C13" s="198" t="str">
        <f>VLOOKUP($B$2,'Sector Impact'!$K$4:$AA$16,A13+1,FALSE)</f>
        <v>Medium</v>
      </c>
      <c r="D13" s="198" t="s">
        <v>10</v>
      </c>
      <c r="E13" s="198" t="s">
        <v>364</v>
      </c>
      <c r="F13" s="216" t="s">
        <v>19</v>
      </c>
      <c r="G13" s="299"/>
      <c r="H13" s="199"/>
      <c r="I13" s="199"/>
      <c r="J13" s="217" t="s">
        <v>381</v>
      </c>
      <c r="K13" s="200" t="s">
        <v>382</v>
      </c>
      <c r="L13" s="229">
        <v>4783000</v>
      </c>
      <c r="M13" s="229">
        <v>11000000</v>
      </c>
      <c r="N13" s="229">
        <v>0</v>
      </c>
      <c r="O13" s="229">
        <v>6191367.3695999999</v>
      </c>
      <c r="P13" s="229">
        <v>2333546</v>
      </c>
      <c r="Q13" s="229">
        <v>30620000</v>
      </c>
      <c r="S13"/>
    </row>
    <row r="14" spans="1:24">
      <c r="A14" s="75">
        <v>8</v>
      </c>
      <c r="B14" s="218" t="s">
        <v>383</v>
      </c>
      <c r="C14" s="198" t="str">
        <f>VLOOKUP($B$2,'Sector Impact'!$K$4:$AA$16,A14+1,FALSE)</f>
        <v>Low</v>
      </c>
      <c r="D14" s="198"/>
      <c r="E14" s="198"/>
      <c r="F14" s="210"/>
      <c r="G14" s="519"/>
      <c r="H14" s="199"/>
      <c r="I14" s="199"/>
      <c r="J14" s="217"/>
      <c r="K14" s="200" t="s">
        <v>384</v>
      </c>
      <c r="L14" s="229">
        <v>10611000</v>
      </c>
      <c r="M14" s="229">
        <v>8082000</v>
      </c>
      <c r="N14" s="229">
        <v>25532400</v>
      </c>
      <c r="O14" s="229">
        <v>5557401</v>
      </c>
      <c r="P14" s="229">
        <v>2997881</v>
      </c>
      <c r="Q14" s="229">
        <v>13612191</v>
      </c>
      <c r="S14"/>
    </row>
    <row r="15" spans="1:24">
      <c r="A15" s="75">
        <v>9</v>
      </c>
      <c r="B15" s="218" t="s">
        <v>385</v>
      </c>
      <c r="C15" s="198" t="str">
        <f>VLOOKUP($B$2,'Sector Impact'!$K$4:$AA$16,A15+1,FALSE)</f>
        <v>Low</v>
      </c>
      <c r="D15" s="198"/>
      <c r="E15" s="198"/>
      <c r="F15" s="210" t="s">
        <v>10</v>
      </c>
      <c r="G15" s="211"/>
      <c r="H15" s="502"/>
      <c r="I15" s="502"/>
      <c r="J15" s="217"/>
      <c r="K15" s="200" t="s">
        <v>386</v>
      </c>
      <c r="L15" s="229">
        <v>1143662</v>
      </c>
      <c r="M15" s="229">
        <v>269500</v>
      </c>
      <c r="N15" s="229">
        <v>0</v>
      </c>
      <c r="O15" s="229">
        <v>272900</v>
      </c>
      <c r="P15" s="229">
        <v>0</v>
      </c>
      <c r="Q15" s="229">
        <v>0</v>
      </c>
      <c r="S15"/>
    </row>
    <row r="16" spans="1:24" ht="114.75">
      <c r="A16" s="75">
        <v>10</v>
      </c>
      <c r="B16" s="200" t="s">
        <v>387</v>
      </c>
      <c r="C16" s="198" t="str">
        <f>VLOOKUP($B$2,'Sector Impact'!$K$4:$AA$16,A16+1,FALSE)</f>
        <v>Medium</v>
      </c>
      <c r="D16" s="198" t="s">
        <v>10</v>
      </c>
      <c r="E16" s="198" t="s">
        <v>368</v>
      </c>
      <c r="F16" s="210" t="s">
        <v>10</v>
      </c>
      <c r="G16" s="822"/>
      <c r="H16" s="199"/>
      <c r="I16" s="503" t="s">
        <v>388</v>
      </c>
      <c r="J16" s="217" t="s">
        <v>389</v>
      </c>
      <c r="K16" s="206" t="s">
        <v>390</v>
      </c>
      <c r="L16" s="208"/>
      <c r="M16" s="208"/>
      <c r="N16" s="208"/>
      <c r="O16" s="208"/>
      <c r="P16" s="209"/>
      <c r="Q16" s="209"/>
      <c r="S16"/>
    </row>
    <row r="17" spans="1:19" ht="93" customHeight="1">
      <c r="A17" s="75">
        <v>11</v>
      </c>
      <c r="B17" s="200" t="s">
        <v>391</v>
      </c>
      <c r="C17" s="198" t="str">
        <f>VLOOKUP($B$2,'Sector Impact'!$K$4:$AA$16,A17+1,FALSE)</f>
        <v>Medium</v>
      </c>
      <c r="D17" s="219" t="s">
        <v>10</v>
      </c>
      <c r="E17" s="219" t="s">
        <v>364</v>
      </c>
      <c r="F17" s="219" t="s">
        <v>10</v>
      </c>
      <c r="G17" s="298"/>
      <c r="H17" s="199"/>
      <c r="I17" s="503" t="s">
        <v>392</v>
      </c>
      <c r="J17" s="217" t="s">
        <v>393</v>
      </c>
      <c r="K17" s="200" t="s">
        <v>394</v>
      </c>
      <c r="L17" s="228" t="s">
        <v>395</v>
      </c>
      <c r="M17" s="228" t="s">
        <v>396</v>
      </c>
      <c r="N17" s="228" t="s">
        <v>397</v>
      </c>
      <c r="O17" s="228" t="s">
        <v>398</v>
      </c>
      <c r="P17" s="733" t="s">
        <v>399</v>
      </c>
      <c r="Q17" s="228" t="s">
        <v>400</v>
      </c>
      <c r="S17"/>
    </row>
    <row r="18" spans="1:19" ht="25.5">
      <c r="A18" s="75">
        <v>12</v>
      </c>
      <c r="B18" s="200" t="s">
        <v>401</v>
      </c>
      <c r="C18" s="198" t="str">
        <f>VLOOKUP($B$2,'Sector Impact'!$K$4:$AA$16,A18+1,FALSE)</f>
        <v>Medium</v>
      </c>
      <c r="D18" s="198" t="s">
        <v>19</v>
      </c>
      <c r="E18" s="198" t="s">
        <v>377</v>
      </c>
      <c r="F18" s="210" t="s">
        <v>19</v>
      </c>
      <c r="G18" s="294"/>
      <c r="H18" s="718"/>
      <c r="I18" s="717" t="s">
        <v>19</v>
      </c>
      <c r="J18" s="220" t="s">
        <v>402</v>
      </c>
      <c r="K18" s="200" t="s">
        <v>403</v>
      </c>
      <c r="L18" s="228" t="s">
        <v>404</v>
      </c>
      <c r="M18" s="228" t="s">
        <v>405</v>
      </c>
      <c r="N18" s="228" t="s">
        <v>406</v>
      </c>
      <c r="O18" s="228" t="s">
        <v>407</v>
      </c>
      <c r="P18" s="228" t="s">
        <v>408</v>
      </c>
      <c r="Q18" s="228" t="s">
        <v>409</v>
      </c>
    </row>
    <row r="19" spans="1:19" ht="162" customHeight="1">
      <c r="A19" s="75">
        <v>13</v>
      </c>
      <c r="B19" s="200" t="s">
        <v>410</v>
      </c>
      <c r="C19" s="198" t="str">
        <f>VLOOKUP($B$2,'Sector Impact'!$K$4:$AA$16,A19+1,FALSE)</f>
        <v>High</v>
      </c>
      <c r="D19" s="198" t="s">
        <v>10</v>
      </c>
      <c r="E19" s="198" t="s">
        <v>377</v>
      </c>
      <c r="F19" s="210" t="s">
        <v>10</v>
      </c>
      <c r="G19" s="294"/>
      <c r="H19" s="199"/>
      <c r="I19" s="503" t="s">
        <v>19</v>
      </c>
      <c r="J19" s="217" t="s">
        <v>411</v>
      </c>
      <c r="K19" s="200" t="s">
        <v>412</v>
      </c>
      <c r="L19" s="229" t="s">
        <v>413</v>
      </c>
      <c r="M19" s="229" t="s">
        <v>414</v>
      </c>
      <c r="N19" s="229" t="s">
        <v>413</v>
      </c>
      <c r="O19" s="229" t="s">
        <v>415</v>
      </c>
      <c r="P19" s="229" t="s">
        <v>416</v>
      </c>
      <c r="Q19" s="229" t="s">
        <v>414</v>
      </c>
    </row>
    <row r="20" spans="1:19" ht="13.5" thickBot="1">
      <c r="A20" s="75">
        <v>14</v>
      </c>
      <c r="B20" s="200" t="s">
        <v>417</v>
      </c>
      <c r="C20" s="198" t="str">
        <f>VLOOKUP($B$2,'Sector Impact'!$K$4:$AA$16,A20+1,FALSE)</f>
        <v>Low</v>
      </c>
      <c r="D20" s="198"/>
      <c r="E20" s="198"/>
      <c r="F20" s="210"/>
      <c r="G20" s="211"/>
      <c r="H20" s="502"/>
      <c r="I20" s="502"/>
      <c r="J20" s="217"/>
      <c r="K20" s="200" t="s">
        <v>418</v>
      </c>
      <c r="L20" s="228" t="s">
        <v>419</v>
      </c>
      <c r="M20" s="228" t="s">
        <v>420</v>
      </c>
      <c r="N20" s="228" t="s">
        <v>419</v>
      </c>
      <c r="O20" s="228" t="s">
        <v>421</v>
      </c>
      <c r="P20" s="228" t="s">
        <v>422</v>
      </c>
      <c r="Q20" s="228" t="s">
        <v>423</v>
      </c>
    </row>
    <row r="21" spans="1:19">
      <c r="A21" s="75">
        <v>15</v>
      </c>
      <c r="B21" s="200" t="s">
        <v>424</v>
      </c>
      <c r="C21" s="198" t="str">
        <f>VLOOKUP($B$2,'Sector Impact'!$K$4:$AA$16,A21+1,FALSE)</f>
        <v>High</v>
      </c>
      <c r="D21" s="198" t="s">
        <v>10</v>
      </c>
      <c r="E21" s="198" t="s">
        <v>364</v>
      </c>
      <c r="F21" s="210" t="s">
        <v>19</v>
      </c>
      <c r="G21" s="298"/>
      <c r="H21" s="199"/>
      <c r="I21" s="503" t="s">
        <v>19</v>
      </c>
      <c r="J21" s="217" t="s">
        <v>425</v>
      </c>
    </row>
    <row r="22" spans="1:19" ht="13.5" thickBot="1">
      <c r="A22" s="75">
        <v>16</v>
      </c>
      <c r="B22" s="200" t="s">
        <v>426</v>
      </c>
      <c r="C22" s="202" t="str">
        <f>VLOOKUP($B$2,'Sector Impact'!$K$4:$AA$16,A22+1,FALSE)</f>
        <v>Low</v>
      </c>
      <c r="D22" s="198" t="s">
        <v>10</v>
      </c>
      <c r="E22" s="198"/>
      <c r="F22" s="210"/>
      <c r="G22" s="211"/>
      <c r="H22" s="502"/>
      <c r="I22" s="502"/>
      <c r="J22" s="201"/>
    </row>
    <row r="23" spans="1:19" ht="15.75" thickBot="1">
      <c r="B23" s="206" t="s">
        <v>427</v>
      </c>
      <c r="C23" s="221"/>
      <c r="D23" s="203"/>
      <c r="E23" s="212"/>
      <c r="F23" s="212"/>
      <c r="G23" s="213"/>
      <c r="H23" s="501"/>
      <c r="I23" s="501"/>
      <c r="J23" s="214"/>
      <c r="K23" s="1186" t="s">
        <v>428</v>
      </c>
      <c r="L23" s="1187"/>
      <c r="M23" s="1188"/>
    </row>
    <row r="24" spans="1:19" ht="156.75" customHeight="1">
      <c r="A24" s="75">
        <v>17</v>
      </c>
      <c r="B24" s="200" t="s">
        <v>429</v>
      </c>
      <c r="C24" s="222"/>
      <c r="D24" s="223"/>
      <c r="E24" s="216" t="s">
        <v>364</v>
      </c>
      <c r="F24" s="216" t="s">
        <v>10</v>
      </c>
      <c r="G24" s="298"/>
      <c r="H24" s="199"/>
      <c r="I24" s="503" t="s">
        <v>430</v>
      </c>
      <c r="J24" s="224" t="s">
        <v>431</v>
      </c>
      <c r="K24" s="248" t="s">
        <v>432</v>
      </c>
      <c r="L24" s="76" t="s">
        <v>433</v>
      </c>
      <c r="M24" s="77" t="s">
        <v>434</v>
      </c>
      <c r="O24" s="624" t="s">
        <v>271</v>
      </c>
    </row>
    <row r="25" spans="1:19" ht="15.75" customHeight="1">
      <c r="A25" s="75">
        <v>18</v>
      </c>
      <c r="B25" s="200" t="s">
        <v>435</v>
      </c>
      <c r="C25" s="222"/>
      <c r="D25" s="223"/>
      <c r="E25" s="216" t="s">
        <v>377</v>
      </c>
      <c r="F25" s="216" t="s">
        <v>19</v>
      </c>
      <c r="G25" s="294"/>
      <c r="H25" s="199"/>
      <c r="I25" s="503" t="s">
        <v>19</v>
      </c>
      <c r="J25" s="217" t="s">
        <v>436</v>
      </c>
      <c r="K25" s="189" t="s">
        <v>437</v>
      </c>
      <c r="L25" s="190" t="s">
        <v>364</v>
      </c>
      <c r="M25" s="1189" t="s">
        <v>438</v>
      </c>
      <c r="O25" s="625"/>
    </row>
    <row r="26" spans="1:19" ht="25.5">
      <c r="A26" s="75">
        <v>19</v>
      </c>
      <c r="B26" s="200" t="s">
        <v>439</v>
      </c>
      <c r="C26" s="222"/>
      <c r="D26" s="223"/>
      <c r="E26" s="216" t="s">
        <v>364</v>
      </c>
      <c r="F26" s="216" t="s">
        <v>19</v>
      </c>
      <c r="G26" s="298"/>
      <c r="H26" s="199"/>
      <c r="I26" s="503" t="s">
        <v>19</v>
      </c>
      <c r="J26" s="224" t="s">
        <v>440</v>
      </c>
      <c r="K26" s="189" t="s">
        <v>377</v>
      </c>
      <c r="L26" s="190" t="s">
        <v>368</v>
      </c>
      <c r="M26" s="1190"/>
      <c r="O26" s="626"/>
    </row>
    <row r="27" spans="1:19" ht="25.5">
      <c r="A27" s="75">
        <v>20</v>
      </c>
      <c r="B27" s="200" t="s">
        <v>441</v>
      </c>
      <c r="C27" s="222"/>
      <c r="D27" s="223"/>
      <c r="E27" s="216" t="s">
        <v>368</v>
      </c>
      <c r="F27" s="216" t="s">
        <v>19</v>
      </c>
      <c r="G27" s="294"/>
      <c r="H27" s="199"/>
      <c r="I27" s="503" t="s">
        <v>19</v>
      </c>
      <c r="J27" s="224" t="s">
        <v>442</v>
      </c>
      <c r="K27" s="191" t="s">
        <v>443</v>
      </c>
      <c r="L27" s="192" t="s">
        <v>377</v>
      </c>
      <c r="M27" s="1190"/>
      <c r="O27" s="627"/>
    </row>
    <row r="28" spans="1:19">
      <c r="A28" s="75">
        <v>21</v>
      </c>
      <c r="B28" s="200" t="s">
        <v>444</v>
      </c>
      <c r="C28" s="222"/>
      <c r="D28" s="223"/>
      <c r="E28" s="216" t="s">
        <v>364</v>
      </c>
      <c r="F28" s="216" t="s">
        <v>19</v>
      </c>
      <c r="G28" s="298"/>
      <c r="H28" s="199"/>
      <c r="I28" s="503" t="s">
        <v>19</v>
      </c>
      <c r="J28" s="217" t="s">
        <v>445</v>
      </c>
      <c r="K28" s="193" t="s">
        <v>446</v>
      </c>
      <c r="L28" s="194" t="s">
        <v>447</v>
      </c>
      <c r="M28" s="1191"/>
    </row>
    <row r="29" spans="1:19">
      <c r="A29" s="75">
        <v>22</v>
      </c>
      <c r="B29" s="200" t="s">
        <v>448</v>
      </c>
      <c r="C29" s="222"/>
      <c r="D29" s="223"/>
      <c r="E29" s="216" t="s">
        <v>364</v>
      </c>
      <c r="F29" s="216" t="s">
        <v>19</v>
      </c>
      <c r="G29" s="298"/>
      <c r="H29" s="199"/>
      <c r="I29" s="503" t="s">
        <v>19</v>
      </c>
      <c r="J29" s="217" t="s">
        <v>449</v>
      </c>
    </row>
    <row r="30" spans="1:19" ht="26.1" customHeight="1">
      <c r="A30" s="75">
        <v>23</v>
      </c>
      <c r="B30" s="200" t="s">
        <v>450</v>
      </c>
      <c r="C30" s="222"/>
      <c r="D30" s="223"/>
      <c r="E30" s="216" t="s">
        <v>364</v>
      </c>
      <c r="F30" s="216" t="s">
        <v>19</v>
      </c>
      <c r="G30" s="298"/>
      <c r="H30" s="199"/>
      <c r="I30" s="503" t="s">
        <v>19</v>
      </c>
      <c r="J30" s="224" t="s">
        <v>451</v>
      </c>
    </row>
    <row r="31" spans="1:19" ht="25.5">
      <c r="A31" s="75">
        <v>24</v>
      </c>
      <c r="B31" s="225" t="s">
        <v>452</v>
      </c>
      <c r="C31" s="222"/>
      <c r="D31" s="223"/>
      <c r="E31" s="216" t="s">
        <v>377</v>
      </c>
      <c r="F31" s="216" t="s">
        <v>19</v>
      </c>
      <c r="G31" s="294"/>
      <c r="H31" s="199"/>
      <c r="I31" s="503" t="s">
        <v>19</v>
      </c>
      <c r="J31" s="215" t="s">
        <v>453</v>
      </c>
      <c r="L31" s="588"/>
    </row>
    <row r="32" spans="1:19" ht="13.5" customHeight="1">
      <c r="A32" s="75">
        <v>25</v>
      </c>
      <c r="B32" s="200" t="s">
        <v>454</v>
      </c>
      <c r="C32" s="222"/>
      <c r="D32" s="216" t="s">
        <v>10</v>
      </c>
      <c r="E32" s="216" t="s">
        <v>368</v>
      </c>
      <c r="F32" s="216" t="s">
        <v>19</v>
      </c>
      <c r="G32" s="294"/>
      <c r="H32" s="199"/>
      <c r="I32" s="503" t="s">
        <v>19</v>
      </c>
      <c r="J32" s="217" t="s">
        <v>455</v>
      </c>
      <c r="L32" s="589"/>
    </row>
    <row r="33" spans="1:27" ht="13.5" customHeight="1">
      <c r="A33" s="75">
        <v>26</v>
      </c>
      <c r="B33" s="200" t="s">
        <v>456</v>
      </c>
      <c r="C33" s="222"/>
      <c r="D33" s="216" t="s">
        <v>19</v>
      </c>
      <c r="E33" s="216" t="s">
        <v>377</v>
      </c>
      <c r="F33" s="216" t="s">
        <v>19</v>
      </c>
      <c r="G33" s="294"/>
      <c r="H33" s="199"/>
      <c r="I33" s="503" t="s">
        <v>19</v>
      </c>
      <c r="J33" s="217" t="s">
        <v>457</v>
      </c>
      <c r="L33" s="295"/>
      <c r="N33" s="295"/>
    </row>
    <row r="34" spans="1:27" ht="13.5" customHeight="1">
      <c r="A34" s="75">
        <v>27</v>
      </c>
      <c r="B34" s="200" t="s">
        <v>458</v>
      </c>
      <c r="C34" s="222"/>
      <c r="D34" s="226" t="s">
        <v>19</v>
      </c>
      <c r="E34" s="216" t="s">
        <v>368</v>
      </c>
      <c r="F34" s="216" t="s">
        <v>19</v>
      </c>
      <c r="G34" s="294"/>
      <c r="H34" s="199"/>
      <c r="I34" s="503" t="s">
        <v>19</v>
      </c>
      <c r="J34" s="217" t="s">
        <v>457</v>
      </c>
      <c r="L34" s="296"/>
      <c r="N34" s="296"/>
    </row>
    <row r="35" spans="1:27">
      <c r="B35" s="82"/>
      <c r="C35" s="82"/>
      <c r="D35" s="82"/>
      <c r="E35" s="82"/>
      <c r="F35" s="82"/>
      <c r="G35" s="82"/>
      <c r="H35" s="504"/>
      <c r="I35" s="504"/>
      <c r="J35" s="82"/>
      <c r="T35" s="83"/>
    </row>
    <row r="36" spans="1:27" ht="18">
      <c r="B36" s="84"/>
      <c r="T36" s="83"/>
    </row>
    <row r="37" spans="1:27">
      <c r="K37"/>
      <c r="T37" s="83"/>
    </row>
    <row r="38" spans="1:27">
      <c r="C38"/>
      <c r="D38"/>
      <c r="E38"/>
      <c r="F38"/>
      <c r="G38"/>
      <c r="H38" s="506"/>
      <c r="I38" s="506"/>
      <c r="J38"/>
      <c r="K38"/>
      <c r="L38"/>
      <c r="M38"/>
      <c r="N38"/>
      <c r="O38"/>
      <c r="P38"/>
      <c r="Q38"/>
      <c r="R38"/>
      <c r="S38"/>
      <c r="T38"/>
      <c r="U38"/>
      <c r="V38"/>
      <c r="W38"/>
      <c r="X38"/>
      <c r="Y38"/>
      <c r="Z38"/>
      <c r="AA38"/>
    </row>
    <row r="39" spans="1:27">
      <c r="C39"/>
      <c r="D39"/>
      <c r="E39"/>
      <c r="F39"/>
      <c r="G39"/>
      <c r="H39" s="506"/>
      <c r="I39" s="506"/>
      <c r="J39"/>
      <c r="M39"/>
      <c r="N39"/>
      <c r="O39"/>
      <c r="P39"/>
      <c r="Q39"/>
      <c r="R39"/>
      <c r="S39"/>
      <c r="T39"/>
      <c r="U39"/>
      <c r="V39"/>
      <c r="W39"/>
      <c r="X39"/>
      <c r="Y39"/>
      <c r="Z39"/>
      <c r="AA39"/>
    </row>
    <row r="54" spans="14:19">
      <c r="N54" s="1185"/>
      <c r="O54" s="1185"/>
      <c r="P54" s="1185"/>
      <c r="Q54" s="1185"/>
      <c r="R54" s="1185"/>
      <c r="S54" s="1185"/>
    </row>
    <row r="55" spans="14:19">
      <c r="O55" s="507"/>
      <c r="P55" s="507"/>
      <c r="Q55" s="507"/>
      <c r="R55" s="507"/>
      <c r="S55" s="507"/>
    </row>
    <row r="56" spans="14:19">
      <c r="N56" s="508"/>
      <c r="O56" s="508"/>
      <c r="P56" s="508"/>
      <c r="Q56" s="508"/>
      <c r="R56" s="508"/>
      <c r="S56" s="508"/>
    </row>
    <row r="57" spans="14:19">
      <c r="N57" s="508"/>
      <c r="O57" s="508"/>
      <c r="P57" s="508"/>
      <c r="Q57" s="508"/>
      <c r="R57" s="508"/>
      <c r="S57" s="508"/>
    </row>
    <row r="58" spans="14:19">
      <c r="N58" s="508"/>
      <c r="O58" s="508"/>
      <c r="P58" s="508"/>
      <c r="Q58" s="508"/>
      <c r="R58" s="508"/>
      <c r="S58" s="508"/>
    </row>
    <row r="59" spans="14:19">
      <c r="N59" s="508"/>
      <c r="O59" s="508"/>
      <c r="P59" s="508"/>
      <c r="Q59" s="508"/>
      <c r="R59" s="508"/>
      <c r="S59" s="508"/>
    </row>
    <row r="60" spans="14:19">
      <c r="N60" s="508"/>
      <c r="O60" s="508"/>
      <c r="P60" s="508"/>
      <c r="Q60" s="508"/>
      <c r="R60" s="508"/>
      <c r="S60" s="508"/>
    </row>
    <row r="61" spans="14:19">
      <c r="N61" s="508"/>
      <c r="O61" s="508"/>
      <c r="P61" s="508"/>
      <c r="Q61" s="508"/>
      <c r="R61" s="508"/>
      <c r="S61" s="508"/>
    </row>
    <row r="62" spans="14:19">
      <c r="N62" s="508"/>
      <c r="O62" s="508"/>
      <c r="P62" s="508"/>
      <c r="Q62" s="508"/>
      <c r="R62" s="508"/>
      <c r="S62" s="508"/>
    </row>
    <row r="63" spans="14:19">
      <c r="N63" s="508"/>
      <c r="O63" s="508"/>
      <c r="P63" s="508"/>
      <c r="Q63" s="508"/>
      <c r="R63" s="508"/>
      <c r="S63" s="508"/>
    </row>
    <row r="64" spans="14:19">
      <c r="N64" s="508"/>
      <c r="O64" s="508"/>
      <c r="P64" s="508"/>
      <c r="Q64" s="508"/>
      <c r="R64" s="508"/>
      <c r="S64" s="508"/>
    </row>
    <row r="65" spans="14:19">
      <c r="N65" s="508"/>
      <c r="O65" s="508"/>
      <c r="P65" s="508"/>
      <c r="Q65" s="508"/>
      <c r="R65" s="508"/>
      <c r="S65" s="508"/>
    </row>
    <row r="66" spans="14:19">
      <c r="N66" s="1182"/>
      <c r="O66" s="1182"/>
      <c r="P66" s="1182"/>
      <c r="Q66" s="1182"/>
      <c r="R66" s="1182"/>
      <c r="S66" s="1182"/>
    </row>
    <row r="67" spans="14:19">
      <c r="N67" s="508"/>
      <c r="O67" s="508"/>
      <c r="P67" s="508"/>
      <c r="Q67" s="508"/>
      <c r="R67" s="508"/>
      <c r="S67" s="508"/>
    </row>
    <row r="68" spans="14:19">
      <c r="N68" s="508"/>
      <c r="O68" s="508"/>
      <c r="P68" s="508"/>
      <c r="Q68" s="508"/>
      <c r="R68" s="508"/>
      <c r="S68" s="508"/>
    </row>
    <row r="69" spans="14:19">
      <c r="N69" s="508"/>
      <c r="O69" s="508"/>
      <c r="P69" s="508"/>
      <c r="Q69" s="508"/>
      <c r="R69" s="508"/>
      <c r="S69" s="508"/>
    </row>
    <row r="70" spans="14:19">
      <c r="N70" s="508"/>
      <c r="O70" s="508"/>
      <c r="P70" s="508"/>
      <c r="Q70" s="508"/>
      <c r="R70" s="508"/>
      <c r="S70" s="508"/>
    </row>
    <row r="71" spans="14:19">
      <c r="N71" s="508"/>
      <c r="O71" s="508"/>
      <c r="P71" s="508"/>
      <c r="Q71" s="508"/>
      <c r="R71" s="508"/>
      <c r="S71" s="508"/>
    </row>
    <row r="72" spans="14:19">
      <c r="N72" s="508"/>
      <c r="O72" s="508"/>
      <c r="P72" s="508"/>
      <c r="Q72" s="508"/>
      <c r="R72" s="508"/>
      <c r="S72" s="508"/>
    </row>
    <row r="73" spans="14:19">
      <c r="N73" s="508"/>
      <c r="O73" s="508"/>
      <c r="P73" s="508"/>
      <c r="Q73" s="508"/>
      <c r="R73" s="508"/>
      <c r="S73" s="508"/>
    </row>
    <row r="74" spans="14:19">
      <c r="N74" s="509"/>
      <c r="O74" s="508"/>
      <c r="P74" s="508"/>
      <c r="Q74" s="508"/>
      <c r="R74" s="508"/>
      <c r="S74" s="508"/>
    </row>
    <row r="75" spans="14:19">
      <c r="N75" s="509"/>
      <c r="O75" s="508"/>
      <c r="P75" s="508"/>
      <c r="Q75" s="508"/>
      <c r="R75" s="508"/>
      <c r="S75" s="508"/>
    </row>
    <row r="76" spans="14:19">
      <c r="N76" s="509"/>
      <c r="O76" s="508"/>
      <c r="P76" s="508"/>
      <c r="Q76" s="508"/>
      <c r="R76" s="508"/>
      <c r="S76" s="508"/>
    </row>
    <row r="77" spans="14:19">
      <c r="N77" s="508"/>
      <c r="O77" s="508"/>
      <c r="P77" s="508"/>
      <c r="Q77" s="508"/>
      <c r="R77" s="508"/>
      <c r="S77" s="508"/>
    </row>
    <row r="78" spans="14:19">
      <c r="N78" s="1182"/>
      <c r="O78" s="1182"/>
      <c r="P78" s="1182"/>
      <c r="Q78" s="1182"/>
      <c r="R78" s="1182"/>
      <c r="S78" s="1182"/>
    </row>
    <row r="79" spans="14:19">
      <c r="N79" s="508"/>
      <c r="O79" s="508"/>
      <c r="P79" s="508"/>
      <c r="Q79" s="508"/>
      <c r="R79" s="508"/>
      <c r="S79" s="508"/>
    </row>
    <row r="80" spans="14:19">
      <c r="N80" s="508"/>
      <c r="O80" s="508"/>
      <c r="P80" s="508"/>
      <c r="Q80" s="508"/>
      <c r="R80" s="508"/>
      <c r="S80" s="508"/>
    </row>
    <row r="81" spans="14:19">
      <c r="N81" s="508"/>
      <c r="O81" s="508"/>
      <c r="P81" s="508"/>
      <c r="Q81" s="508"/>
      <c r="R81" s="508"/>
      <c r="S81" s="508"/>
    </row>
    <row r="82" spans="14:19">
      <c r="N82" s="508"/>
      <c r="O82" s="508"/>
      <c r="P82" s="508"/>
      <c r="Q82" s="508"/>
      <c r="R82" s="508"/>
      <c r="S82" s="508"/>
    </row>
    <row r="83" spans="14:19">
      <c r="N83" s="508"/>
      <c r="O83" s="508"/>
      <c r="P83" s="508"/>
      <c r="Q83" s="508"/>
      <c r="R83" s="508"/>
      <c r="S83" s="508"/>
    </row>
    <row r="84" spans="14:19">
      <c r="N84" s="508"/>
      <c r="O84" s="508"/>
      <c r="P84" s="508"/>
      <c r="Q84" s="508"/>
      <c r="R84" s="508"/>
      <c r="S84" s="508"/>
    </row>
    <row r="85" spans="14:19">
      <c r="N85" s="508"/>
      <c r="O85" s="508"/>
      <c r="P85" s="508"/>
      <c r="Q85" s="508"/>
      <c r="R85" s="508"/>
      <c r="S85" s="508"/>
    </row>
    <row r="86" spans="14:19">
      <c r="N86" s="509"/>
      <c r="O86" s="508"/>
      <c r="P86" s="508"/>
      <c r="Q86" s="508"/>
      <c r="R86" s="508"/>
      <c r="S86" s="508"/>
    </row>
    <row r="87" spans="14:19">
      <c r="N87" s="509"/>
      <c r="O87" s="508"/>
      <c r="P87" s="508"/>
      <c r="Q87" s="508"/>
      <c r="R87" s="508"/>
      <c r="S87" s="508"/>
    </row>
    <row r="88" spans="14:19">
      <c r="N88" s="509"/>
      <c r="O88" s="508"/>
      <c r="P88" s="508"/>
      <c r="Q88" s="508"/>
      <c r="R88" s="508"/>
      <c r="S88" s="508"/>
    </row>
    <row r="89" spans="14:19">
      <c r="N89" s="508"/>
      <c r="O89" s="508"/>
      <c r="P89" s="508"/>
      <c r="Q89" s="508"/>
      <c r="R89" s="508"/>
      <c r="S89" s="508"/>
    </row>
    <row r="90" spans="14:19">
      <c r="N90" s="1182"/>
      <c r="O90" s="1182"/>
      <c r="P90" s="1182"/>
      <c r="Q90" s="1182"/>
      <c r="R90" s="1182"/>
      <c r="S90" s="1182"/>
    </row>
    <row r="91" spans="14:19">
      <c r="N91" s="508"/>
      <c r="O91" s="508"/>
      <c r="P91" s="508"/>
      <c r="Q91" s="508"/>
      <c r="R91" s="508"/>
      <c r="S91" s="508"/>
    </row>
    <row r="92" spans="14:19">
      <c r="N92" s="509"/>
      <c r="O92" s="508"/>
      <c r="P92" s="508"/>
      <c r="Q92" s="508"/>
      <c r="R92" s="508"/>
      <c r="S92" s="508"/>
    </row>
    <row r="93" spans="14:19">
      <c r="N93" s="509"/>
      <c r="O93" s="508"/>
      <c r="P93" s="508"/>
      <c r="Q93" s="508"/>
      <c r="R93" s="508"/>
      <c r="S93" s="508"/>
    </row>
    <row r="94" spans="14:19">
      <c r="N94" s="509"/>
      <c r="O94" s="508"/>
      <c r="P94" s="508"/>
      <c r="Q94" s="508"/>
      <c r="R94" s="508"/>
      <c r="S94" s="508"/>
    </row>
    <row r="95" spans="14:19">
      <c r="N95" s="509"/>
      <c r="O95" s="508"/>
      <c r="P95" s="508"/>
      <c r="Q95" s="508"/>
      <c r="R95" s="508"/>
      <c r="S95" s="508"/>
    </row>
    <row r="96" spans="14:19">
      <c r="N96" s="509"/>
      <c r="O96" s="508"/>
      <c r="P96" s="508"/>
      <c r="Q96" s="508"/>
      <c r="R96" s="508"/>
      <c r="S96" s="508"/>
    </row>
    <row r="97" spans="14:19">
      <c r="N97" s="509"/>
      <c r="O97" s="508"/>
      <c r="P97" s="508"/>
      <c r="Q97" s="508"/>
      <c r="R97" s="508"/>
      <c r="S97" s="508"/>
    </row>
    <row r="98" spans="14:19">
      <c r="N98" s="509"/>
      <c r="O98" s="508"/>
      <c r="P98" s="508"/>
      <c r="Q98" s="508"/>
      <c r="R98" s="508"/>
      <c r="S98" s="508"/>
    </row>
    <row r="99" spans="14:19">
      <c r="N99" s="509"/>
      <c r="O99" s="508"/>
      <c r="P99" s="508"/>
      <c r="Q99" s="508"/>
      <c r="R99" s="508"/>
      <c r="S99" s="508"/>
    </row>
    <row r="100" spans="14:19">
      <c r="N100" s="509"/>
      <c r="O100" s="508"/>
      <c r="P100" s="508"/>
      <c r="Q100" s="508"/>
      <c r="R100" s="508"/>
      <c r="S100" s="508"/>
    </row>
  </sheetData>
  <mergeCells count="8">
    <mergeCell ref="N90:S90"/>
    <mergeCell ref="B3:J3"/>
    <mergeCell ref="K3:Q3"/>
    <mergeCell ref="N54:S54"/>
    <mergeCell ref="N66:S66"/>
    <mergeCell ref="N78:S78"/>
    <mergeCell ref="K23:M23"/>
    <mergeCell ref="M25:M28"/>
  </mergeCells>
  <conditionalFormatting sqref="C10:G10">
    <cfRule type="expression" dxfId="29" priority="18">
      <formula>$C$10="Low"</formula>
    </cfRule>
  </conditionalFormatting>
  <conditionalFormatting sqref="D6:F6 H6:J6">
    <cfRule type="expression" dxfId="28" priority="35">
      <formula>$C$6="Low"</formula>
    </cfRule>
  </conditionalFormatting>
  <conditionalFormatting sqref="D7:G7 J7">
    <cfRule type="expression" dxfId="27" priority="34">
      <formula>$C$7="Low"</formula>
    </cfRule>
  </conditionalFormatting>
  <conditionalFormatting sqref="D8:G8">
    <cfRule type="expression" dxfId="26" priority="33">
      <formula>$C$8="Low"</formula>
    </cfRule>
  </conditionalFormatting>
  <conditionalFormatting sqref="D9:G9">
    <cfRule type="expression" dxfId="25" priority="32">
      <formula>$C$9="Low"</formula>
    </cfRule>
  </conditionalFormatting>
  <conditionalFormatting sqref="D12:G12 J12">
    <cfRule type="expression" dxfId="24" priority="30">
      <formula>$C$12="Low"</formula>
    </cfRule>
  </conditionalFormatting>
  <conditionalFormatting sqref="D13:G13 J13">
    <cfRule type="expression" dxfId="23" priority="29">
      <formula>$C$13="Low"</formula>
    </cfRule>
  </conditionalFormatting>
  <conditionalFormatting sqref="D14:G14 J14">
    <cfRule type="expression" dxfId="22" priority="28">
      <formula>$C$14="Low"</formula>
    </cfRule>
  </conditionalFormatting>
  <conditionalFormatting sqref="D16:G16 I16:J16">
    <cfRule type="expression" dxfId="21" priority="26">
      <formula>$C$16="Low"</formula>
    </cfRule>
  </conditionalFormatting>
  <conditionalFormatting sqref="D17:G17 J17">
    <cfRule type="expression" dxfId="20" priority="25">
      <formula>$C$17="Low"</formula>
    </cfRule>
  </conditionalFormatting>
  <conditionalFormatting sqref="D19:G19 J20">
    <cfRule type="expression" dxfId="19" priority="23">
      <formula>$C$19="Low"</formula>
    </cfRule>
  </conditionalFormatting>
  <conditionalFormatting sqref="D21:G21 J21">
    <cfRule type="expression" dxfId="18" priority="21">
      <formula>$C$21="Low"</formula>
    </cfRule>
  </conditionalFormatting>
  <conditionalFormatting sqref="D15:J15">
    <cfRule type="expression" dxfId="17" priority="27">
      <formula>$C$15="Low"</formula>
    </cfRule>
  </conditionalFormatting>
  <conditionalFormatting sqref="D18:J18">
    <cfRule type="expression" dxfId="16" priority="24">
      <formula>$C$18="Low"</formula>
    </cfRule>
  </conditionalFormatting>
  <conditionalFormatting sqref="D20:J20">
    <cfRule type="expression" dxfId="15" priority="22">
      <formula>$C$20="Low"</formula>
    </cfRule>
  </conditionalFormatting>
  <conditionalFormatting sqref="D22:J22">
    <cfRule type="expression" dxfId="14" priority="20">
      <formula>$C$22="Low"</formula>
    </cfRule>
  </conditionalFormatting>
  <conditionalFormatting sqref="G6">
    <cfRule type="expression" dxfId="13" priority="16">
      <formula>$C$7="Low"</formula>
    </cfRule>
  </conditionalFormatting>
  <conditionalFormatting sqref="H16:H17">
    <cfRule type="expression" dxfId="12" priority="5">
      <formula>$C$6="Low"</formula>
    </cfRule>
  </conditionalFormatting>
  <conditionalFormatting sqref="H19">
    <cfRule type="expression" dxfId="11" priority="4">
      <formula>$C$6="Low"</formula>
    </cfRule>
  </conditionalFormatting>
  <conditionalFormatting sqref="H21">
    <cfRule type="expression" dxfId="10" priority="3">
      <formula>$C$6="Low"</formula>
    </cfRule>
  </conditionalFormatting>
  <conditionalFormatting sqref="H24:H34">
    <cfRule type="expression" dxfId="9" priority="2">
      <formula>$C$6="Low"</formula>
    </cfRule>
  </conditionalFormatting>
  <conditionalFormatting sqref="H7:I10">
    <cfRule type="expression" dxfId="8" priority="13">
      <formula>$C$6="Low"</formula>
    </cfRule>
  </conditionalFormatting>
  <conditionalFormatting sqref="H12:I14">
    <cfRule type="expression" dxfId="7" priority="6">
      <formula>$C$6="Low"</formula>
    </cfRule>
  </conditionalFormatting>
  <conditionalFormatting sqref="I17">
    <cfRule type="expression" dxfId="6" priority="10">
      <formula>$C$16="Low"</formula>
    </cfRule>
  </conditionalFormatting>
  <conditionalFormatting sqref="I19">
    <cfRule type="expression" dxfId="5" priority="9">
      <formula>$C$16="Low"</formula>
    </cfRule>
  </conditionalFormatting>
  <conditionalFormatting sqref="I21">
    <cfRule type="expression" dxfId="4" priority="8">
      <formula>$C$16="Low"</formula>
    </cfRule>
  </conditionalFormatting>
  <conditionalFormatting sqref="I24:I34">
    <cfRule type="expression" dxfId="3" priority="7">
      <formula>$C$16="Low"</formula>
    </cfRule>
  </conditionalFormatting>
  <conditionalFormatting sqref="J19">
    <cfRule type="expression" dxfId="2" priority="1">
      <formula>$C$17="Low"</formula>
    </cfRule>
  </conditionalFormatting>
  <dataValidations count="3">
    <dataValidation type="list" allowBlank="1" showInputMessage="1" showErrorMessage="1" sqref="D6:D22 D32:D34 F24:F34 F6:F10 F12:F22 C11"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6:E10 E24:E34 E12:E22"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8"/>
  <sheetViews>
    <sheetView showGridLines="0" tabSelected="1" topLeftCell="A50" zoomScale="70" zoomScaleNormal="70" workbookViewId="0">
      <selection activeCell="E63" sqref="E63"/>
    </sheetView>
  </sheetViews>
  <sheetFormatPr defaultColWidth="11.42578125" defaultRowHeight="12.7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2.42578125" style="2" customWidth="1"/>
    <col min="9" max="9" width="11.140625" style="2" customWidth="1"/>
    <col min="10" max="10" width="25.140625" style="2" bestFit="1" customWidth="1"/>
    <col min="11" max="11" width="11.140625" style="2" customWidth="1"/>
    <col min="12" max="12" width="19" style="2" customWidth="1"/>
    <col min="13" max="14" width="24.28515625" style="2" bestFit="1" customWidth="1"/>
    <col min="15" max="15" width="23.140625" style="2" bestFit="1" customWidth="1"/>
    <col min="16" max="25" width="24.28515625" style="2" bestFit="1" customWidth="1"/>
    <col min="26" max="28" width="23.140625" style="2" bestFit="1" customWidth="1"/>
    <col min="29" max="30" width="24.28515625" style="2" bestFit="1" customWidth="1"/>
    <col min="31" max="32" width="23.140625" style="2" bestFit="1" customWidth="1"/>
    <col min="33" max="33" width="14.42578125" customWidth="1"/>
  </cols>
  <sheetData>
    <row r="1" spans="1:40" ht="21" customHeight="1">
      <c r="A1" s="1197" t="s">
        <v>459</v>
      </c>
      <c r="B1" s="1197"/>
      <c r="C1" s="1197"/>
      <c r="D1" s="1197"/>
      <c r="E1" s="1197"/>
      <c r="F1" s="1197"/>
      <c r="G1" s="1197"/>
      <c r="H1" s="1197"/>
      <c r="I1" s="1197"/>
      <c r="J1" s="1197"/>
      <c r="K1" s="1197"/>
      <c r="L1" s="1197"/>
      <c r="M1" s="1197"/>
      <c r="N1" s="1197"/>
      <c r="O1" s="1197"/>
      <c r="P1" s="1197"/>
      <c r="Q1" s="1197"/>
      <c r="R1" s="1197"/>
      <c r="S1" s="1197"/>
      <c r="T1" s="1197"/>
      <c r="U1" s="1197"/>
      <c r="V1" s="1197"/>
      <c r="W1" s="1197"/>
      <c r="X1" s="1197"/>
      <c r="Y1" s="1197"/>
      <c r="Z1" s="1197"/>
      <c r="AA1" s="1197"/>
      <c r="AB1" s="1197"/>
      <c r="AC1" s="1197"/>
      <c r="AD1" s="1197"/>
      <c r="AE1" s="1197"/>
      <c r="AF1" s="1197"/>
      <c r="AG1" s="10"/>
      <c r="AH1" s="10"/>
      <c r="AI1" s="10"/>
      <c r="AJ1" s="10"/>
      <c r="AK1" s="10"/>
      <c r="AL1" s="10"/>
      <c r="AM1" s="10"/>
      <c r="AN1" s="10"/>
    </row>
    <row r="2" spans="1:40" ht="3.75" customHeight="1" thickBot="1">
      <c r="A2" s="1198"/>
      <c r="B2" s="1198"/>
      <c r="C2" s="1198"/>
      <c r="D2" s="1198"/>
      <c r="E2" s="1198"/>
      <c r="F2" s="1198"/>
      <c r="G2" s="1198"/>
      <c r="H2" s="1198"/>
      <c r="I2" s="1198"/>
      <c r="J2" s="1198"/>
      <c r="K2" s="1198"/>
      <c r="L2" s="1198"/>
      <c r="M2" s="1198"/>
      <c r="N2" s="1198"/>
      <c r="O2" s="1198"/>
      <c r="P2" s="1198"/>
      <c r="Q2" s="1198"/>
      <c r="R2" s="1198"/>
      <c r="S2" s="1198"/>
      <c r="T2" s="1198"/>
      <c r="U2" s="1198"/>
      <c r="V2" s="1198"/>
      <c r="W2" s="1198"/>
      <c r="X2" s="1198"/>
      <c r="Y2" s="1198"/>
      <c r="Z2" s="1198"/>
      <c r="AA2" s="1198"/>
      <c r="AB2" s="1198"/>
      <c r="AC2" s="1198"/>
      <c r="AD2" s="1198"/>
      <c r="AE2" s="1198"/>
      <c r="AF2" s="1198"/>
      <c r="AG2" s="510"/>
      <c r="AH2" s="10"/>
      <c r="AI2" s="10"/>
      <c r="AJ2" s="10"/>
      <c r="AK2" s="10"/>
      <c r="AL2" s="10"/>
      <c r="AM2" s="10"/>
      <c r="AN2" s="10"/>
    </row>
    <row r="3" spans="1:40" ht="19.5" thickBot="1">
      <c r="A3" s="230"/>
      <c r="B3" s="230"/>
      <c r="C3" s="230"/>
      <c r="D3" s="230"/>
      <c r="E3" s="230"/>
      <c r="F3" s="230"/>
      <c r="G3" s="1205" t="s">
        <v>460</v>
      </c>
      <c r="H3" s="1206"/>
      <c r="I3" s="1206"/>
      <c r="J3" s="1206"/>
      <c r="K3" s="1207" t="s">
        <v>461</v>
      </c>
      <c r="L3" s="1208"/>
      <c r="M3" s="1208"/>
      <c r="N3" s="1208"/>
      <c r="O3" s="1208"/>
      <c r="P3" s="1208"/>
      <c r="Q3" s="1208"/>
      <c r="R3" s="1208"/>
      <c r="S3" s="1208"/>
      <c r="T3" s="1208"/>
      <c r="U3" s="1208"/>
      <c r="V3" s="1208"/>
      <c r="W3" s="1208"/>
      <c r="X3" s="1208"/>
      <c r="Y3" s="1208"/>
      <c r="Z3" s="1208"/>
      <c r="AA3" s="1208"/>
      <c r="AB3" s="1208"/>
      <c r="AC3" s="1208"/>
      <c r="AD3" s="1208"/>
      <c r="AE3" s="1208"/>
      <c r="AF3" s="1209"/>
      <c r="AG3" s="510"/>
      <c r="AH3" s="10"/>
      <c r="AI3" s="10"/>
      <c r="AJ3" s="10"/>
      <c r="AK3" s="10"/>
      <c r="AL3" s="10"/>
      <c r="AM3" s="10"/>
      <c r="AN3" s="10"/>
    </row>
    <row r="4" spans="1:40" ht="15.75" thickBot="1">
      <c r="A4" s="252" t="s">
        <v>462</v>
      </c>
      <c r="B4" s="255" t="s">
        <v>463</v>
      </c>
      <c r="C4" s="256" t="s">
        <v>464</v>
      </c>
      <c r="D4" s="265" t="s">
        <v>465</v>
      </c>
      <c r="E4" s="265" t="s">
        <v>466</v>
      </c>
      <c r="F4" s="266" t="s">
        <v>467</v>
      </c>
      <c r="G4" s="265">
        <v>2024</v>
      </c>
      <c r="H4" s="265">
        <f>G4+1</f>
        <v>2025</v>
      </c>
      <c r="I4" s="265">
        <f t="shared" ref="I4:AF4" si="0">H4+1</f>
        <v>2026</v>
      </c>
      <c r="J4" s="266">
        <f t="shared" si="0"/>
        <v>2027</v>
      </c>
      <c r="K4" s="267">
        <f t="shared" si="0"/>
        <v>2028</v>
      </c>
      <c r="L4" s="267">
        <f t="shared" si="0"/>
        <v>2029</v>
      </c>
      <c r="M4" s="267">
        <f t="shared" si="0"/>
        <v>2030</v>
      </c>
      <c r="N4" s="267">
        <f t="shared" si="0"/>
        <v>2031</v>
      </c>
      <c r="O4" s="267">
        <f t="shared" si="0"/>
        <v>2032</v>
      </c>
      <c r="P4" s="267">
        <f t="shared" si="0"/>
        <v>2033</v>
      </c>
      <c r="Q4" s="267">
        <f t="shared" si="0"/>
        <v>2034</v>
      </c>
      <c r="R4" s="267">
        <f t="shared" si="0"/>
        <v>2035</v>
      </c>
      <c r="S4" s="267">
        <f t="shared" si="0"/>
        <v>2036</v>
      </c>
      <c r="T4" s="267">
        <f t="shared" si="0"/>
        <v>2037</v>
      </c>
      <c r="U4" s="267">
        <f t="shared" si="0"/>
        <v>2038</v>
      </c>
      <c r="V4" s="267">
        <f t="shared" si="0"/>
        <v>2039</v>
      </c>
      <c r="W4" s="267">
        <f t="shared" si="0"/>
        <v>2040</v>
      </c>
      <c r="X4" s="267">
        <f t="shared" si="0"/>
        <v>2041</v>
      </c>
      <c r="Y4" s="267">
        <f t="shared" si="0"/>
        <v>2042</v>
      </c>
      <c r="Z4" s="267">
        <f t="shared" si="0"/>
        <v>2043</v>
      </c>
      <c r="AA4" s="267">
        <f t="shared" si="0"/>
        <v>2044</v>
      </c>
      <c r="AB4" s="267">
        <f t="shared" si="0"/>
        <v>2045</v>
      </c>
      <c r="AC4" s="267">
        <f t="shared" si="0"/>
        <v>2046</v>
      </c>
      <c r="AD4" s="267">
        <f t="shared" si="0"/>
        <v>2047</v>
      </c>
      <c r="AE4" s="267">
        <f t="shared" si="0"/>
        <v>2048</v>
      </c>
      <c r="AF4" s="268">
        <f t="shared" si="0"/>
        <v>2049</v>
      </c>
      <c r="AG4" s="510"/>
      <c r="AH4" s="10"/>
      <c r="AI4" s="10"/>
      <c r="AJ4" s="10"/>
      <c r="AK4" s="10"/>
      <c r="AL4" s="10"/>
      <c r="AM4" s="10"/>
      <c r="AN4" s="10"/>
    </row>
    <row r="5" spans="1:40">
      <c r="A5" s="1202" t="s">
        <v>468</v>
      </c>
      <c r="B5" s="257">
        <v>1</v>
      </c>
      <c r="C5" s="263" t="s">
        <v>469</v>
      </c>
      <c r="D5" s="273">
        <f>'Fin. Data'!D6</f>
        <v>8.3475153165418758E-2</v>
      </c>
      <c r="E5" s="276">
        <f>+E6/D6-1</f>
        <v>0.21353962145605898</v>
      </c>
      <c r="F5" s="317">
        <f t="shared" ref="F5:AF5" si="1">+F6/E6-1</f>
        <v>0.10749417551126061</v>
      </c>
      <c r="G5" s="333">
        <f>+G6/F6-1</f>
        <v>4.1819999999999968E-2</v>
      </c>
      <c r="H5" s="334">
        <f>+H6/G6-1</f>
        <v>4.182000000000019E-2</v>
      </c>
      <c r="I5" s="334">
        <f>+I6/H6-1</f>
        <v>4.182000000000019E-2</v>
      </c>
      <c r="J5" s="335">
        <f>+J6/I6-1</f>
        <v>4.1819999999999968E-2</v>
      </c>
      <c r="K5" s="333">
        <f t="shared" si="1"/>
        <v>4.1819999999999968E-2</v>
      </c>
      <c r="L5" s="334">
        <f t="shared" si="1"/>
        <v>4.1819999999999746E-2</v>
      </c>
      <c r="M5" s="334">
        <f t="shared" si="1"/>
        <v>4.0780000000000038E-2</v>
      </c>
      <c r="N5" s="334">
        <f>+N6/M6-1</f>
        <v>3.8280000000000092E-2</v>
      </c>
      <c r="O5" s="334">
        <f>+O6/N6-1</f>
        <v>3.5780000000000145E-2</v>
      </c>
      <c r="P5" s="334">
        <f t="shared" si="1"/>
        <v>3.3279999999999976E-2</v>
      </c>
      <c r="Q5" s="334">
        <f t="shared" si="1"/>
        <v>3.078000000000003E-2</v>
      </c>
      <c r="R5" s="334">
        <f t="shared" si="1"/>
        <v>2.8280000000000083E-2</v>
      </c>
      <c r="S5" s="334">
        <f t="shared" si="1"/>
        <v>2.5780000000000136E-2</v>
      </c>
      <c r="T5" s="334">
        <f t="shared" si="1"/>
        <v>2.3279999999999967E-2</v>
      </c>
      <c r="U5" s="334">
        <f t="shared" si="1"/>
        <v>2.0780000000000021E-2</v>
      </c>
      <c r="V5" s="334">
        <f t="shared" si="1"/>
        <v>2.079999999999993E-2</v>
      </c>
      <c r="W5" s="334">
        <f t="shared" si="1"/>
        <v>2.0000000000000018E-2</v>
      </c>
      <c r="X5" s="334">
        <f t="shared" si="1"/>
        <v>2.0000000000000018E-2</v>
      </c>
      <c r="Y5" s="334">
        <f t="shared" si="1"/>
        <v>2.0000000000000018E-2</v>
      </c>
      <c r="Z5" s="334">
        <f t="shared" si="1"/>
        <v>2.0000000000000018E-2</v>
      </c>
      <c r="AA5" s="334">
        <f t="shared" si="1"/>
        <v>2.0000000000000018E-2</v>
      </c>
      <c r="AB5" s="334">
        <f t="shared" si="1"/>
        <v>2.0000000000000018E-2</v>
      </c>
      <c r="AC5" s="334">
        <f t="shared" si="1"/>
        <v>2.0000000000000018E-2</v>
      </c>
      <c r="AD5" s="334">
        <f t="shared" si="1"/>
        <v>2.0000000000000018E-2</v>
      </c>
      <c r="AE5" s="334">
        <f t="shared" si="1"/>
        <v>2.0000000000000018E-2</v>
      </c>
      <c r="AF5" s="335">
        <f t="shared" si="1"/>
        <v>2.0000000000000018E-2</v>
      </c>
      <c r="AG5" s="393"/>
      <c r="AH5" s="10"/>
      <c r="AI5" s="10"/>
      <c r="AJ5" s="10"/>
      <c r="AK5" s="10"/>
      <c r="AL5" s="10"/>
      <c r="AM5" s="10"/>
      <c r="AN5" s="10"/>
    </row>
    <row r="6" spans="1:40" ht="15">
      <c r="A6" s="1202"/>
      <c r="B6" s="257">
        <v>2</v>
      </c>
      <c r="C6" s="251" t="s">
        <v>470</v>
      </c>
      <c r="D6" s="675">
        <f>Inputs!D6</f>
        <v>12733</v>
      </c>
      <c r="E6" s="807">
        <f>Inputs!C6</f>
        <v>15452</v>
      </c>
      <c r="F6" s="318">
        <f>Inputs!B6</f>
        <v>17113</v>
      </c>
      <c r="G6" s="326">
        <f>Assumptions!L48</f>
        <v>17828.665659999999</v>
      </c>
      <c r="H6" s="326">
        <f>Assumptions!M48</f>
        <v>18574.2604579012</v>
      </c>
      <c r="I6" s="326">
        <f>Assumptions!N48</f>
        <v>19351.036030250631</v>
      </c>
      <c r="J6" s="326">
        <f>Assumptions!O48</f>
        <v>20160.296357035713</v>
      </c>
      <c r="K6" s="326">
        <f>Assumptions!P48</f>
        <v>21003.399950686948</v>
      </c>
      <c r="L6" s="326">
        <f>Assumptions!Q48</f>
        <v>21881.762136624671</v>
      </c>
      <c r="M6" s="326">
        <f>Assumptions!R48</f>
        <v>22774.100396556227</v>
      </c>
      <c r="N6" s="326">
        <f>Assumptions!S48</f>
        <v>23645.8929597364</v>
      </c>
      <c r="O6" s="326">
        <f>Assumptions!T48</f>
        <v>24491.943009835773</v>
      </c>
      <c r="P6" s="326">
        <f>Assumptions!U48</f>
        <v>25307.034873203109</v>
      </c>
      <c r="Q6" s="326">
        <f>Assumptions!V48</f>
        <v>26085.985406600303</v>
      </c>
      <c r="R6" s="326">
        <f>Assumptions!W48</f>
        <v>26823.697073898962</v>
      </c>
      <c r="S6" s="326">
        <f>Assumptions!X48</f>
        <v>27515.21198446408</v>
      </c>
      <c r="T6" s="326">
        <f>Assumptions!Y48</f>
        <v>28155.766119462402</v>
      </c>
      <c r="U6" s="326">
        <f>Assumptions!Z48</f>
        <v>28740.842939424831</v>
      </c>
      <c r="V6" s="326">
        <f>Assumptions!AA48</f>
        <v>29338.652472564863</v>
      </c>
      <c r="W6" s="326">
        <f>Assumptions!AB48</f>
        <v>29925.425522016161</v>
      </c>
      <c r="X6" s="326">
        <f>Assumptions!AC48</f>
        <v>30523.934032456484</v>
      </c>
      <c r="Y6" s="326">
        <f>Assumptions!AD48</f>
        <v>31134.412713105616</v>
      </c>
      <c r="Z6" s="326">
        <f>Assumptions!AE48</f>
        <v>31757.100967367729</v>
      </c>
      <c r="AA6" s="326">
        <f>Assumptions!AF48</f>
        <v>32392.242986715086</v>
      </c>
      <c r="AB6" s="326">
        <f>Assumptions!AG48</f>
        <v>33040.087846449387</v>
      </c>
      <c r="AC6" s="326">
        <f>Assumptions!AH48</f>
        <v>33700.889603378375</v>
      </c>
      <c r="AD6" s="326">
        <f>Assumptions!AI48</f>
        <v>34374.907395445945</v>
      </c>
      <c r="AE6" s="326">
        <f>Assumptions!AJ48</f>
        <v>35062.405543354864</v>
      </c>
      <c r="AF6" s="326">
        <f>Assumptions!AK48</f>
        <v>35763.653654221962</v>
      </c>
      <c r="AG6" s="511"/>
      <c r="AH6" s="10"/>
      <c r="AI6" s="10"/>
      <c r="AJ6" s="10"/>
      <c r="AK6" s="10"/>
      <c r="AL6" s="10"/>
      <c r="AM6" s="10"/>
      <c r="AN6" s="10"/>
    </row>
    <row r="7" spans="1:40">
      <c r="A7" s="1202"/>
      <c r="B7" s="257">
        <v>3</v>
      </c>
      <c r="C7" s="90" t="s">
        <v>471</v>
      </c>
      <c r="D7" s="313">
        <f>D8/D6</f>
        <v>0.2930181418361737</v>
      </c>
      <c r="E7" s="310">
        <f t="shared" ref="E7:F7" si="2">E8/E6</f>
        <v>0.28533523168521874</v>
      </c>
      <c r="F7" s="319">
        <f t="shared" si="2"/>
        <v>0.27067141938876876</v>
      </c>
      <c r="G7" s="336">
        <f>Assumptions!K$11</f>
        <v>0.28300826430338705</v>
      </c>
      <c r="H7" s="336">
        <f>G7</f>
        <v>0.28300826430338705</v>
      </c>
      <c r="I7" s="336">
        <f>H7</f>
        <v>0.28300826430338705</v>
      </c>
      <c r="J7" s="337">
        <f>I7</f>
        <v>0.28300826430338705</v>
      </c>
      <c r="K7" s="336">
        <f>J7-0.004</f>
        <v>0.27900826430338704</v>
      </c>
      <c r="L7" s="336">
        <f t="shared" ref="L7:AC7" si="3">K7-0.004</f>
        <v>0.27500826430338704</v>
      </c>
      <c r="M7" s="336">
        <f t="shared" si="3"/>
        <v>0.27100826430338704</v>
      </c>
      <c r="N7" s="336">
        <f t="shared" si="3"/>
        <v>0.26700826430338703</v>
      </c>
      <c r="O7" s="336">
        <f t="shared" si="3"/>
        <v>0.26300826430338703</v>
      </c>
      <c r="P7" s="336">
        <f t="shared" si="3"/>
        <v>0.25900826430338703</v>
      </c>
      <c r="Q7" s="336">
        <f t="shared" si="3"/>
        <v>0.25500826430338702</v>
      </c>
      <c r="R7" s="336">
        <f t="shared" si="3"/>
        <v>0.25100826430338702</v>
      </c>
      <c r="S7" s="336">
        <f t="shared" si="3"/>
        <v>0.24700826430338702</v>
      </c>
      <c r="T7" s="336">
        <f t="shared" si="3"/>
        <v>0.24300826430338701</v>
      </c>
      <c r="U7" s="336">
        <f t="shared" si="3"/>
        <v>0.23900826430338701</v>
      </c>
      <c r="V7" s="336">
        <f t="shared" si="3"/>
        <v>0.235008264303387</v>
      </c>
      <c r="W7" s="336">
        <f t="shared" si="3"/>
        <v>0.231008264303387</v>
      </c>
      <c r="X7" s="336">
        <f t="shared" si="3"/>
        <v>0.227008264303387</v>
      </c>
      <c r="Y7" s="336">
        <f t="shared" si="3"/>
        <v>0.22300826430338699</v>
      </c>
      <c r="Z7" s="336">
        <f t="shared" si="3"/>
        <v>0.21900826430338699</v>
      </c>
      <c r="AA7" s="336">
        <f t="shared" si="3"/>
        <v>0.21500826430338699</v>
      </c>
      <c r="AB7" s="336">
        <f t="shared" si="3"/>
        <v>0.21100826430338698</v>
      </c>
      <c r="AC7" s="336">
        <f t="shared" si="3"/>
        <v>0.20700826430338698</v>
      </c>
      <c r="AD7" s="336">
        <f>Assumptions!L11</f>
        <v>0.21</v>
      </c>
      <c r="AE7" s="336">
        <f>AD7</f>
        <v>0.21</v>
      </c>
      <c r="AF7" s="336">
        <f>AD7</f>
        <v>0.21</v>
      </c>
      <c r="AG7" s="393"/>
      <c r="AH7" s="10"/>
      <c r="AI7" s="10"/>
      <c r="AJ7" s="10"/>
      <c r="AK7" s="10"/>
      <c r="AL7" s="10"/>
      <c r="AM7" s="10"/>
      <c r="AN7" s="10"/>
    </row>
    <row r="8" spans="1:40" ht="15">
      <c r="A8" s="1202"/>
      <c r="B8" s="257">
        <v>4</v>
      </c>
      <c r="C8" s="239" t="s">
        <v>56</v>
      </c>
      <c r="D8" s="314">
        <f>'Fin. Data'!D11</f>
        <v>3731</v>
      </c>
      <c r="E8" s="311">
        <f>'Fin. Data'!C11</f>
        <v>4409</v>
      </c>
      <c r="F8" s="320">
        <f>'Fin. Data'!B11</f>
        <v>4632</v>
      </c>
      <c r="G8" s="326">
        <f>G7*G6</f>
        <v>5045.6597232820004</v>
      </c>
      <c r="H8" s="324">
        <f t="shared" ref="H8:AF8" si="4">H7*H6</f>
        <v>5256.6692129096537</v>
      </c>
      <c r="I8" s="324">
        <f t="shared" si="4"/>
        <v>5476.5031193935365</v>
      </c>
      <c r="J8" s="327">
        <f t="shared" si="4"/>
        <v>5705.5304798465741</v>
      </c>
      <c r="K8" s="326">
        <f t="shared" si="4"/>
        <v>5860.1221647110106</v>
      </c>
      <c r="L8" s="324">
        <f t="shared" si="4"/>
        <v>6017.6654250927249</v>
      </c>
      <c r="M8" s="324">
        <f t="shared" si="4"/>
        <v>6171.9694195417815</v>
      </c>
      <c r="N8" s="324">
        <f>N7*N6</f>
        <v>6313.6488370828956</v>
      </c>
      <c r="O8" s="324">
        <f t="shared" si="4"/>
        <v>6441.5834204343791</v>
      </c>
      <c r="P8" s="324">
        <f t="shared" si="4"/>
        <v>6554.7311771736231</v>
      </c>
      <c r="Q8" s="324">
        <f t="shared" si="4"/>
        <v>6652.1418611806266</v>
      </c>
      <c r="R8" s="324">
        <f t="shared" si="4"/>
        <v>6732.96964471922</v>
      </c>
      <c r="S8" s="324">
        <f t="shared" si="4"/>
        <v>6796.4847542222251</v>
      </c>
      <c r="T8" s="324">
        <f t="shared" si="4"/>
        <v>6842.0838548226684</v>
      </c>
      <c r="U8" s="324">
        <f t="shared" si="4"/>
        <v>6869.2989855681844</v>
      </c>
      <c r="V8" s="324">
        <f t="shared" si="4"/>
        <v>6894.8257945777423</v>
      </c>
      <c r="W8" s="324">
        <f t="shared" si="4"/>
        <v>6913.0206083812327</v>
      </c>
      <c r="X8" s="324">
        <f t="shared" si="4"/>
        <v>6929.1852844190307</v>
      </c>
      <c r="Y8" s="324">
        <f t="shared" si="4"/>
        <v>6943.2313392549895</v>
      </c>
      <c r="Z8" s="324">
        <f t="shared" si="4"/>
        <v>6955.0675621706187</v>
      </c>
      <c r="AA8" s="324">
        <f t="shared" si="4"/>
        <v>6964.5999414671705</v>
      </c>
      <c r="AB8" s="324">
        <f t="shared" si="4"/>
        <v>6971.7315889107167</v>
      </c>
      <c r="AC8" s="324">
        <f t="shared" si="4"/>
        <v>6976.3626622754173</v>
      </c>
      <c r="AD8" s="324">
        <f t="shared" si="4"/>
        <v>7218.7305530436479</v>
      </c>
      <c r="AE8" s="324">
        <f t="shared" si="4"/>
        <v>7363.1051641045215</v>
      </c>
      <c r="AF8" s="327">
        <f t="shared" si="4"/>
        <v>7510.3672673866113</v>
      </c>
      <c r="AG8" s="496"/>
      <c r="AH8" s="6"/>
      <c r="AI8" s="6"/>
      <c r="AJ8" s="6"/>
      <c r="AK8" s="10"/>
      <c r="AL8" s="10"/>
      <c r="AM8" s="10"/>
      <c r="AN8" s="10"/>
    </row>
    <row r="9" spans="1:40" ht="15">
      <c r="A9" s="1202"/>
      <c r="B9" s="257" t="s">
        <v>472</v>
      </c>
      <c r="C9" s="251" t="s">
        <v>473</v>
      </c>
      <c r="D9" s="482">
        <v>-476</v>
      </c>
      <c r="E9" s="483">
        <v>-440</v>
      </c>
      <c r="F9" s="484">
        <v>-444</v>
      </c>
      <c r="G9" s="485">
        <f>$D$53*DCF!F40</f>
        <v>-531.28300000000002</v>
      </c>
      <c r="H9" s="486">
        <f>$D$53*DCF!G40</f>
        <v>-631.52467267334998</v>
      </c>
      <c r="I9" s="486">
        <f>$D$53*DCF!H40</f>
        <v>-735.95845209789945</v>
      </c>
      <c r="J9" s="487">
        <f>$D$53*DCF!I40</f>
        <v>-844.75965217798364</v>
      </c>
      <c r="K9" s="488">
        <f>$E$53*DCF!J40</f>
        <v>-719.96774218441738</v>
      </c>
      <c r="L9" s="489">
        <f>$E$53*DCF!K40</f>
        <v>-802.10607273584264</v>
      </c>
      <c r="M9" s="489">
        <f>$E$53*DCF!L40</f>
        <v>-887.67942827092838</v>
      </c>
      <c r="N9" s="489">
        <f>$E$53*DCF!M40</f>
        <v>-976.74246524473494</v>
      </c>
      <c r="O9" s="489">
        <f>$E$53*DCF!N40</f>
        <v>-1069.2148352738989</v>
      </c>
      <c r="P9" s="489">
        <f>$E$53*DCF!O40</f>
        <v>-1164.9958667027063</v>
      </c>
      <c r="Q9" s="489">
        <f>$E$53*DCF!P40</f>
        <v>-1263.9644908574644</v>
      </c>
      <c r="R9" s="489">
        <f>$E$53*DCF!Q40</f>
        <v>-1365.9793692637058</v>
      </c>
      <c r="S9" s="489">
        <f>$E$53*DCF!R40</f>
        <v>-1470.8792284312763</v>
      </c>
      <c r="T9" s="489">
        <f>$E$53*DCF!S40</f>
        <v>-1578.4834059681862</v>
      </c>
      <c r="U9" s="489">
        <f>$E$53*DCF!T40</f>
        <v>-1688.5926087581556</v>
      </c>
      <c r="V9" s="489">
        <f>$E$53*DCF!U40</f>
        <v>-1800.9898807821007</v>
      </c>
      <c r="W9" s="489">
        <f>$E$53*DCF!V40</f>
        <v>-1915.7250160641436</v>
      </c>
      <c r="X9" s="489">
        <f>$E$53*DCF!W40</f>
        <v>-2032.7548540518274</v>
      </c>
      <c r="Y9" s="489">
        <f>$E$53*DCF!X40</f>
        <v>-2152.1252887992646</v>
      </c>
      <c r="Z9" s="489">
        <f>$E$53*DCF!Y40</f>
        <v>-2273.8831322416509</v>
      </c>
      <c r="AA9" s="489">
        <f>$E$53*DCF!Z40</f>
        <v>-2398.0761325528852</v>
      </c>
      <c r="AB9" s="489">
        <f>$E$53*DCF!AA40</f>
        <v>-2524.7529928703439</v>
      </c>
      <c r="AC9" s="489">
        <f>$E$53*DCF!AB40</f>
        <v>-2653.9633903941522</v>
      </c>
      <c r="AD9" s="489">
        <f>$E$53*DCF!AC40</f>
        <v>-2785.757995868436</v>
      </c>
      <c r="AE9" s="489">
        <f>$E$53*DCF!AD40</f>
        <v>-2920.1884934522059</v>
      </c>
      <c r="AF9" s="490">
        <f>$E$53*DCF!AE40</f>
        <v>-3057.3076009876509</v>
      </c>
      <c r="AG9" s="497">
        <f>SUM(D9:AF9)</f>
        <v>-43607.656068705212</v>
      </c>
      <c r="AH9" s="6"/>
      <c r="AI9" s="6"/>
      <c r="AJ9" s="6"/>
      <c r="AK9" s="10"/>
      <c r="AL9" s="10"/>
      <c r="AM9" s="10"/>
      <c r="AN9" s="10"/>
    </row>
    <row r="10" spans="1:40" ht="15">
      <c r="A10" s="1202"/>
      <c r="B10" s="257" t="s">
        <v>474</v>
      </c>
      <c r="C10" s="251" t="s">
        <v>475</v>
      </c>
      <c r="D10" s="482">
        <v>-44</v>
      </c>
      <c r="E10" s="483">
        <v>-56</v>
      </c>
      <c r="F10" s="484">
        <v>-45</v>
      </c>
      <c r="G10" s="485">
        <f t="shared" ref="G10:J10" si="5">F38*$D$54</f>
        <v>-67.9208</v>
      </c>
      <c r="H10" s="491">
        <f t="shared" si="5"/>
        <v>-68.321532719999993</v>
      </c>
      <c r="I10" s="491">
        <f t="shared" si="5"/>
        <v>-68.724629763048</v>
      </c>
      <c r="J10" s="492">
        <f t="shared" si="5"/>
        <v>-69.130105078649976</v>
      </c>
      <c r="K10" s="488">
        <f t="shared" ref="K10:AF10" si="6">J38*$E$54</f>
        <v>-73.073801818882515</v>
      </c>
      <c r="L10" s="489">
        <f t="shared" si="6"/>
        <v>-73.526859390159586</v>
      </c>
      <c r="M10" s="489">
        <f t="shared" si="6"/>
        <v>-73.982725918378577</v>
      </c>
      <c r="N10" s="489">
        <f t="shared" si="6"/>
        <v>-74.441418819072524</v>
      </c>
      <c r="O10" s="489">
        <f t="shared" si="6"/>
        <v>-74.902955615750784</v>
      </c>
      <c r="P10" s="489">
        <f t="shared" si="6"/>
        <v>-75.367353940568435</v>
      </c>
      <c r="Q10" s="489">
        <f t="shared" si="6"/>
        <v>-75.834631534999957</v>
      </c>
      <c r="R10" s="489">
        <f t="shared" si="6"/>
        <v>-76.304806250516961</v>
      </c>
      <c r="S10" s="489">
        <f t="shared" si="6"/>
        <v>-76.777896049270154</v>
      </c>
      <c r="T10" s="489">
        <f t="shared" si="6"/>
        <v>-77.253919004775639</v>
      </c>
      <c r="U10" s="489">
        <f t="shared" si="6"/>
        <v>-77.732893302605248</v>
      </c>
      <c r="V10" s="489">
        <f t="shared" si="6"/>
        <v>-78.214837241081398</v>
      </c>
      <c r="W10" s="489">
        <f t="shared" si="6"/>
        <v>-78.699769231976106</v>
      </c>
      <c r="X10" s="489">
        <f t="shared" si="6"/>
        <v>-79.187707801214358</v>
      </c>
      <c r="Y10" s="489">
        <f t="shared" si="6"/>
        <v>-79.678671589581896</v>
      </c>
      <c r="Z10" s="489">
        <f t="shared" si="6"/>
        <v>-80.172679353437289</v>
      </c>
      <c r="AA10" s="489">
        <f t="shared" si="6"/>
        <v>-80.669749965428608</v>
      </c>
      <c r="AB10" s="489">
        <f t="shared" si="6"/>
        <v>-81.169902415214267</v>
      </c>
      <c r="AC10" s="489">
        <f t="shared" si="6"/>
        <v>-81.673155810188604</v>
      </c>
      <c r="AD10" s="489">
        <f t="shared" si="6"/>
        <v>-82.179529376211775</v>
      </c>
      <c r="AE10" s="489">
        <f t="shared" si="6"/>
        <v>-82.689042458344289</v>
      </c>
      <c r="AF10" s="490">
        <f t="shared" si="6"/>
        <v>-83.201714521586013</v>
      </c>
      <c r="AG10" s="496"/>
      <c r="AH10" s="6"/>
      <c r="AI10" s="6"/>
      <c r="AJ10" s="6"/>
      <c r="AK10" s="10"/>
      <c r="AL10" s="10"/>
      <c r="AM10" s="10"/>
      <c r="AN10" s="10"/>
    </row>
    <row r="11" spans="1:40" ht="15">
      <c r="A11" s="1202"/>
      <c r="B11" s="257" t="s">
        <v>476</v>
      </c>
      <c r="C11" s="251" t="s">
        <v>477</v>
      </c>
      <c r="D11" s="482">
        <v>-48</v>
      </c>
      <c r="E11" s="483">
        <v>-60</v>
      </c>
      <c r="F11" s="484">
        <v>-47</v>
      </c>
      <c r="G11" s="485">
        <f>G6*$D$55</f>
        <v>-53.485996979999996</v>
      </c>
      <c r="H11" s="491">
        <f t="shared" ref="H11:AF11" si="7">H6*$D$55</f>
        <v>-55.722781373703604</v>
      </c>
      <c r="I11" s="491">
        <f t="shared" si="7"/>
        <v>-58.053108090751891</v>
      </c>
      <c r="J11" s="492">
        <f t="shared" si="7"/>
        <v>-60.480889071107143</v>
      </c>
      <c r="K11" s="485">
        <f t="shared" si="7"/>
        <v>-63.010199852060843</v>
      </c>
      <c r="L11" s="491">
        <f t="shared" si="7"/>
        <v>-65.645286409874018</v>
      </c>
      <c r="M11" s="491">
        <f t="shared" si="7"/>
        <v>-68.322301189668678</v>
      </c>
      <c r="N11" s="491">
        <f>N6*$D$55</f>
        <v>-70.937678879209201</v>
      </c>
      <c r="O11" s="491">
        <f t="shared" si="7"/>
        <v>-73.475829029507324</v>
      </c>
      <c r="P11" s="491">
        <f t="shared" si="7"/>
        <v>-75.921104619609324</v>
      </c>
      <c r="Q11" s="491">
        <f t="shared" si="7"/>
        <v>-78.257956219800903</v>
      </c>
      <c r="R11" s="491">
        <f t="shared" si="7"/>
        <v>-80.471091221696895</v>
      </c>
      <c r="S11" s="491">
        <f t="shared" si="7"/>
        <v>-82.545635953392235</v>
      </c>
      <c r="T11" s="491">
        <f t="shared" si="7"/>
        <v>-84.467298358387211</v>
      </c>
      <c r="U11" s="491">
        <f t="shared" si="7"/>
        <v>-86.222528818274498</v>
      </c>
      <c r="V11" s="491">
        <f t="shared" si="7"/>
        <v>-88.015957417694594</v>
      </c>
      <c r="W11" s="491">
        <f t="shared" si="7"/>
        <v>-89.77627656604848</v>
      </c>
      <c r="X11" s="491">
        <f t="shared" si="7"/>
        <v>-91.571802097369456</v>
      </c>
      <c r="Y11" s="491">
        <f t="shared" si="7"/>
        <v>-93.403238139316855</v>
      </c>
      <c r="Z11" s="491">
        <f t="shared" si="7"/>
        <v>-95.271302902103187</v>
      </c>
      <c r="AA11" s="491">
        <f t="shared" si="7"/>
        <v>-97.176728960145255</v>
      </c>
      <c r="AB11" s="491">
        <f t="shared" si="7"/>
        <v>-99.120263539348159</v>
      </c>
      <c r="AC11" s="491">
        <f t="shared" si="7"/>
        <v>-101.10266881013513</v>
      </c>
      <c r="AD11" s="491">
        <f t="shared" si="7"/>
        <v>-103.12472218633783</v>
      </c>
      <c r="AE11" s="491">
        <f t="shared" si="7"/>
        <v>-105.1872166300646</v>
      </c>
      <c r="AF11" s="492">
        <f t="shared" si="7"/>
        <v>-107.29096096266589</v>
      </c>
      <c r="AG11" s="496"/>
      <c r="AH11" s="6"/>
      <c r="AI11" s="6"/>
      <c r="AJ11" s="6"/>
      <c r="AK11" s="10"/>
      <c r="AL11" s="10"/>
      <c r="AM11" s="10"/>
      <c r="AN11" s="10"/>
    </row>
    <row r="12" spans="1:40" ht="15">
      <c r="A12" s="1202"/>
      <c r="B12" s="257">
        <v>6</v>
      </c>
      <c r="C12" s="239" t="s">
        <v>47</v>
      </c>
      <c r="D12" s="314">
        <f>D8-D9-D10</f>
        <v>4251</v>
      </c>
      <c r="E12" s="283">
        <f t="shared" ref="E12:AF12" si="8">E8-E9-E10</f>
        <v>4905</v>
      </c>
      <c r="F12" s="321">
        <f t="shared" si="8"/>
        <v>5121</v>
      </c>
      <c r="G12" s="338">
        <f>G8-G9-G10</f>
        <v>5644.8635232820006</v>
      </c>
      <c r="H12" s="339">
        <f t="shared" si="8"/>
        <v>5956.5154183030036</v>
      </c>
      <c r="I12" s="339">
        <f t="shared" si="8"/>
        <v>6281.1862012544843</v>
      </c>
      <c r="J12" s="340">
        <f t="shared" si="8"/>
        <v>6619.420237103207</v>
      </c>
      <c r="K12" s="338">
        <f>K8-K9-K10</f>
        <v>6653.1637087143099</v>
      </c>
      <c r="L12" s="339">
        <f t="shared" si="8"/>
        <v>6893.2983572187268</v>
      </c>
      <c r="M12" s="339">
        <f t="shared" si="8"/>
        <v>7133.6315737310888</v>
      </c>
      <c r="N12" s="339">
        <f t="shared" si="8"/>
        <v>7364.8327211467031</v>
      </c>
      <c r="O12" s="339">
        <f t="shared" si="8"/>
        <v>7585.7012113240289</v>
      </c>
      <c r="P12" s="339">
        <f t="shared" si="8"/>
        <v>7795.094397816898</v>
      </c>
      <c r="Q12" s="339">
        <f t="shared" si="8"/>
        <v>7991.9409835730912</v>
      </c>
      <c r="R12" s="339">
        <f t="shared" si="8"/>
        <v>8175.2538202334426</v>
      </c>
      <c r="S12" s="339">
        <f t="shared" si="8"/>
        <v>8344.1418787027724</v>
      </c>
      <c r="T12" s="339">
        <f t="shared" si="8"/>
        <v>8497.8211797956301</v>
      </c>
      <c r="U12" s="339">
        <f t="shared" si="8"/>
        <v>8635.6244876289456</v>
      </c>
      <c r="V12" s="339">
        <f t="shared" si="8"/>
        <v>8774.0305126009243</v>
      </c>
      <c r="W12" s="339">
        <f t="shared" si="8"/>
        <v>8907.4453936773534</v>
      </c>
      <c r="X12" s="339">
        <f t="shared" si="8"/>
        <v>9041.1278462720729</v>
      </c>
      <c r="Y12" s="339">
        <f t="shared" si="8"/>
        <v>9175.035299643836</v>
      </c>
      <c r="Z12" s="339">
        <f t="shared" si="8"/>
        <v>9309.1233737657076</v>
      </c>
      <c r="AA12" s="339">
        <f t="shared" si="8"/>
        <v>9443.3458239854845</v>
      </c>
      <c r="AB12" s="339">
        <f t="shared" si="8"/>
        <v>9577.654484196275</v>
      </c>
      <c r="AC12" s="339">
        <f t="shared" si="8"/>
        <v>9711.9992084797595</v>
      </c>
      <c r="AD12" s="339">
        <f t="shared" si="8"/>
        <v>10086.668078288296</v>
      </c>
      <c r="AE12" s="339">
        <f t="shared" si="8"/>
        <v>10365.982700015071</v>
      </c>
      <c r="AF12" s="340">
        <f t="shared" si="8"/>
        <v>10650.876582895849</v>
      </c>
      <c r="AG12" s="305"/>
      <c r="AH12" s="6"/>
      <c r="AI12" s="6"/>
      <c r="AJ12" s="6"/>
      <c r="AK12" s="10"/>
      <c r="AL12" s="10"/>
      <c r="AM12" s="10"/>
      <c r="AN12" s="10"/>
    </row>
    <row r="13" spans="1:40" ht="15">
      <c r="A13" s="1202"/>
      <c r="B13" s="257">
        <v>7</v>
      </c>
      <c r="C13" s="251" t="s">
        <v>478</v>
      </c>
      <c r="D13" s="479">
        <f>'Fin. Data'!D14</f>
        <v>-373</v>
      </c>
      <c r="E13" s="480">
        <f>'Fin. Data'!C14</f>
        <v>-422</v>
      </c>
      <c r="F13" s="481">
        <f>'Fin. Data'!B14</f>
        <v>-594</v>
      </c>
      <c r="G13" s="488">
        <f>F43*$D$58-F44*$D$57</f>
        <v>-884.75559999999996</v>
      </c>
      <c r="H13" s="489">
        <f t="shared" ref="H13:J13" si="9">G43*$D$58-G44*$D$57</f>
        <v>-1051.4916450518556</v>
      </c>
      <c r="I13" s="489">
        <f t="shared" si="9"/>
        <v>-1169.2331575428373</v>
      </c>
      <c r="J13" s="490">
        <f t="shared" si="9"/>
        <v>-1288.6087555648946</v>
      </c>
      <c r="K13" s="488">
        <f>J43*$E$58-J44*$E$57</f>
        <v>-654.52030048945676</v>
      </c>
      <c r="L13" s="489">
        <f t="shared" ref="L13:AF13" si="10">K43*$E$58-K44*$E$57</f>
        <v>-648.59756449653855</v>
      </c>
      <c r="M13" s="489">
        <f t="shared" si="10"/>
        <v>-657.16935663299773</v>
      </c>
      <c r="N13" s="489">
        <f t="shared" si="10"/>
        <v>-665.36503226727677</v>
      </c>
      <c r="O13" s="489">
        <f t="shared" si="10"/>
        <v>-672.36178824766728</v>
      </c>
      <c r="P13" s="489">
        <f t="shared" si="10"/>
        <v>-678.34623841271844</v>
      </c>
      <c r="Q13" s="489">
        <f t="shared" si="10"/>
        <v>-683.16731084527032</v>
      </c>
      <c r="R13" s="489">
        <f t="shared" si="10"/>
        <v>-686.6333170590384</v>
      </c>
      <c r="S13" s="489">
        <f t="shared" si="10"/>
        <v>-688.68980951280446</v>
      </c>
      <c r="T13" s="489">
        <f t="shared" si="10"/>
        <v>-689.200810420268</v>
      </c>
      <c r="U13" s="489">
        <f t="shared" si="10"/>
        <v>-688.03702449241382</v>
      </c>
      <c r="V13" s="489">
        <f t="shared" si="10"/>
        <v>-685.09191270828308</v>
      </c>
      <c r="W13" s="489">
        <f t="shared" si="10"/>
        <v>-680.83537649561026</v>
      </c>
      <c r="X13" s="489">
        <f t="shared" si="10"/>
        <v>-675.04906217457756</v>
      </c>
      <c r="Y13" s="489">
        <f t="shared" si="10"/>
        <v>-667.87239365238293</v>
      </c>
      <c r="Z13" s="489">
        <f t="shared" si="10"/>
        <v>-659.27862264046416</v>
      </c>
      <c r="AA13" s="489">
        <f t="shared" si="10"/>
        <v>-649.24325507094181</v>
      </c>
      <c r="AB13" s="489">
        <f t="shared" si="10"/>
        <v>-637.74053126556419</v>
      </c>
      <c r="AC13" s="489">
        <f t="shared" si="10"/>
        <v>-624.74402571035898</v>
      </c>
      <c r="AD13" s="489">
        <f t="shared" si="10"/>
        <v>-610.22742075080623</v>
      </c>
      <c r="AE13" s="489">
        <f t="shared" si="10"/>
        <v>-598.25556989587994</v>
      </c>
      <c r="AF13" s="490">
        <f t="shared" si="10"/>
        <v>-582.42563446722988</v>
      </c>
      <c r="AG13" s="496"/>
      <c r="AH13" s="6"/>
      <c r="AI13" s="6"/>
      <c r="AJ13" s="6"/>
      <c r="AK13" s="10"/>
      <c r="AL13" s="10"/>
      <c r="AM13" s="10"/>
      <c r="AN13" s="10"/>
    </row>
    <row r="14" spans="1:40" ht="15">
      <c r="A14" s="1202"/>
      <c r="B14" s="257">
        <v>8</v>
      </c>
      <c r="C14" s="251" t="s">
        <v>479</v>
      </c>
      <c r="D14" s="315">
        <f>'Fin. Data'!D15</f>
        <v>348</v>
      </c>
      <c r="E14" s="312">
        <f>'Fin. Data'!C15</f>
        <v>400</v>
      </c>
      <c r="F14" s="322">
        <f>'Fin. Data'!B15</f>
        <v>698</v>
      </c>
      <c r="G14" s="326">
        <f>AVERAGE(D14:F14)*(1+G5)</f>
        <v>502.15724</v>
      </c>
      <c r="H14" s="324">
        <f t="shared" ref="H14:AF14" si="11">AVERAGE(E14:G14)*(1+H5)</f>
        <v>555.69193859226675</v>
      </c>
      <c r="I14" s="324">
        <f t="shared" si="11"/>
        <v>609.7595970803319</v>
      </c>
      <c r="J14" s="327">
        <f t="shared" si="11"/>
        <v>579.11605822374224</v>
      </c>
      <c r="K14" s="326">
        <f t="shared" si="11"/>
        <v>605.84180355769536</v>
      </c>
      <c r="L14" s="324">
        <f t="shared" si="11"/>
        <v>623.25751433045605</v>
      </c>
      <c r="M14" s="324">
        <f t="shared" si="11"/>
        <v>627.31813304991238</v>
      </c>
      <c r="N14" s="324">
        <f t="shared" si="11"/>
        <v>642.49370365332425</v>
      </c>
      <c r="O14" s="324">
        <f t="shared" si="11"/>
        <v>653.60112413789295</v>
      </c>
      <c r="P14" s="324">
        <f t="shared" si="11"/>
        <v>662.47471472597408</v>
      </c>
      <c r="Q14" s="324">
        <f t="shared" si="11"/>
        <v>672.95143767862351</v>
      </c>
      <c r="R14" s="324">
        <f t="shared" si="11"/>
        <v>681.75898930770416</v>
      </c>
      <c r="S14" s="324">
        <f t="shared" si="11"/>
        <v>689.7293915552151</v>
      </c>
      <c r="T14" s="324">
        <f t="shared" si="11"/>
        <v>697.34479250572986</v>
      </c>
      <c r="U14" s="324">
        <f t="shared" si="11"/>
        <v>703.94117557041659</v>
      </c>
      <c r="V14" s="324">
        <f t="shared" si="11"/>
        <v>711.50282637056443</v>
      </c>
      <c r="W14" s="324">
        <f t="shared" si="11"/>
        <v>718.34819011188176</v>
      </c>
      <c r="X14" s="324">
        <f t="shared" si="11"/>
        <v>725.48934529797339</v>
      </c>
      <c r="Y14" s="324">
        <f t="shared" si="11"/>
        <v>732.81572300534276</v>
      </c>
      <c r="Z14" s="324">
        <f t="shared" si="11"/>
        <v>740.06210786116742</v>
      </c>
      <c r="AA14" s="324">
        <f t="shared" si="11"/>
        <v>747.44483989592447</v>
      </c>
      <c r="AB14" s="324">
        <f t="shared" si="11"/>
        <v>754.90970805922768</v>
      </c>
      <c r="AC14" s="324">
        <f t="shared" si="11"/>
        <v>762.42166297754875</v>
      </c>
      <c r="AD14" s="324">
        <f t="shared" si="11"/>
        <v>770.02391171711827</v>
      </c>
      <c r="AE14" s="324">
        <f t="shared" si="11"/>
        <v>777.70079613632413</v>
      </c>
      <c r="AF14" s="327">
        <f t="shared" si="11"/>
        <v>785.44976608253694</v>
      </c>
      <c r="AG14" s="496"/>
      <c r="AH14" s="6"/>
      <c r="AI14" s="6"/>
      <c r="AJ14" s="6"/>
      <c r="AK14" s="10"/>
      <c r="AL14" s="10"/>
      <c r="AM14" s="10"/>
      <c r="AN14" s="10"/>
    </row>
    <row r="15" spans="1:40" ht="15">
      <c r="A15" s="1202"/>
      <c r="B15" s="257">
        <v>9</v>
      </c>
      <c r="C15" s="239" t="s">
        <v>480</v>
      </c>
      <c r="D15" s="282">
        <f t="shared" ref="D15:AF15" si="12">D8+D13+D14</f>
        <v>3706</v>
      </c>
      <c r="E15" s="283">
        <f t="shared" si="12"/>
        <v>4387</v>
      </c>
      <c r="F15" s="321">
        <f t="shared" si="12"/>
        <v>4736</v>
      </c>
      <c r="G15" s="338">
        <f t="shared" si="12"/>
        <v>4663.0613632820005</v>
      </c>
      <c r="H15" s="339">
        <f t="shared" si="12"/>
        <v>4760.8695064500644</v>
      </c>
      <c r="I15" s="339">
        <f t="shared" si="12"/>
        <v>4917.0295589310317</v>
      </c>
      <c r="J15" s="340">
        <f t="shared" si="12"/>
        <v>4996.037782505422</v>
      </c>
      <c r="K15" s="338">
        <f t="shared" si="12"/>
        <v>5811.4436677792492</v>
      </c>
      <c r="L15" s="339">
        <f t="shared" si="12"/>
        <v>5992.3253749266423</v>
      </c>
      <c r="M15" s="339">
        <f t="shared" si="12"/>
        <v>6142.1181959586957</v>
      </c>
      <c r="N15" s="339">
        <f t="shared" si="12"/>
        <v>6290.7775084689438</v>
      </c>
      <c r="O15" s="339">
        <f t="shared" si="12"/>
        <v>6422.8227563246046</v>
      </c>
      <c r="P15" s="339">
        <f t="shared" si="12"/>
        <v>6538.8596534868784</v>
      </c>
      <c r="Q15" s="339">
        <f t="shared" si="12"/>
        <v>6641.9259880139798</v>
      </c>
      <c r="R15" s="339">
        <f t="shared" si="12"/>
        <v>6728.0953169678851</v>
      </c>
      <c r="S15" s="339">
        <f t="shared" si="12"/>
        <v>6797.5243362646361</v>
      </c>
      <c r="T15" s="339">
        <f t="shared" si="12"/>
        <v>6850.2278369081305</v>
      </c>
      <c r="U15" s="339">
        <f t="shared" si="12"/>
        <v>6885.203136646187</v>
      </c>
      <c r="V15" s="339">
        <f t="shared" si="12"/>
        <v>6921.2367082400233</v>
      </c>
      <c r="W15" s="339">
        <f t="shared" si="12"/>
        <v>6950.5334219975048</v>
      </c>
      <c r="X15" s="339">
        <f t="shared" si="12"/>
        <v>6979.6255675424263</v>
      </c>
      <c r="Y15" s="339">
        <f t="shared" si="12"/>
        <v>7008.1746686079496</v>
      </c>
      <c r="Z15" s="339">
        <f t="shared" si="12"/>
        <v>7035.851047391322</v>
      </c>
      <c r="AA15" s="339">
        <f t="shared" si="12"/>
        <v>7062.8015262921535</v>
      </c>
      <c r="AB15" s="339">
        <f t="shared" si="12"/>
        <v>7088.9007657043803</v>
      </c>
      <c r="AC15" s="339">
        <f t="shared" si="12"/>
        <v>7114.0402995426066</v>
      </c>
      <c r="AD15" s="339">
        <f t="shared" si="12"/>
        <v>7378.5270440099603</v>
      </c>
      <c r="AE15" s="339">
        <f t="shared" si="12"/>
        <v>7542.5503903449653</v>
      </c>
      <c r="AF15" s="340">
        <f t="shared" si="12"/>
        <v>7713.3913990019182</v>
      </c>
      <c r="AG15" s="496"/>
      <c r="AH15" s="6"/>
      <c r="AI15" s="6"/>
      <c r="AJ15" s="6"/>
      <c r="AK15" s="10"/>
      <c r="AL15" s="10"/>
      <c r="AM15" s="10"/>
      <c r="AN15" s="10"/>
    </row>
    <row r="16" spans="1:40" ht="15">
      <c r="A16" s="1202"/>
      <c r="B16" s="257">
        <v>10</v>
      </c>
      <c r="C16" s="251" t="s">
        <v>481</v>
      </c>
      <c r="D16" s="476">
        <f>'Fin. Data'!D21</f>
        <v>-907</v>
      </c>
      <c r="E16" s="477">
        <f>'Fin. Data'!C21</f>
        <v>-1049</v>
      </c>
      <c r="F16" s="478">
        <f>'Fin. Data'!B21</f>
        <v>-970</v>
      </c>
      <c r="G16" s="452">
        <f>-$D$56*G15</f>
        <v>-1436.838657679046</v>
      </c>
      <c r="H16" s="412">
        <f>-$D$56*H15</f>
        <v>-1466.9764813513402</v>
      </c>
      <c r="I16" s="412">
        <f>-$D$56*I15</f>
        <v>-1515.0943984683304</v>
      </c>
      <c r="J16" s="413">
        <f>-$D$56*J15</f>
        <v>-1539.4393643742333</v>
      </c>
      <c r="K16" s="411">
        <f>-$E$56*K15</f>
        <v>-1743.4331003337747</v>
      </c>
      <c r="L16" s="412">
        <f>-$E$56*L15</f>
        <v>-1797.6976124779926</v>
      </c>
      <c r="M16" s="412">
        <f t="shared" ref="M16:AE16" si="13">-$E$56*M15</f>
        <v>-1842.6354587876085</v>
      </c>
      <c r="N16" s="412">
        <f t="shared" si="13"/>
        <v>-1887.233252540683</v>
      </c>
      <c r="O16" s="412">
        <f t="shared" si="13"/>
        <v>-1926.8468268973813</v>
      </c>
      <c r="P16" s="412">
        <f t="shared" si="13"/>
        <v>-1961.6578960460633</v>
      </c>
      <c r="Q16" s="412">
        <f t="shared" si="13"/>
        <v>-1992.5777964041938</v>
      </c>
      <c r="R16" s="412">
        <f t="shared" si="13"/>
        <v>-2018.4285950903654</v>
      </c>
      <c r="S16" s="412">
        <f t="shared" si="13"/>
        <v>-2039.2573008793906</v>
      </c>
      <c r="T16" s="412">
        <f t="shared" si="13"/>
        <v>-2055.0683510724389</v>
      </c>
      <c r="U16" s="412">
        <f t="shared" si="13"/>
        <v>-2065.5609409938561</v>
      </c>
      <c r="V16" s="412">
        <f t="shared" si="13"/>
        <v>-2076.3710124720069</v>
      </c>
      <c r="W16" s="412">
        <f t="shared" si="13"/>
        <v>-2085.1600265992515</v>
      </c>
      <c r="X16" s="412">
        <f t="shared" si="13"/>
        <v>-2093.8876702627276</v>
      </c>
      <c r="Y16" s="412">
        <f t="shared" si="13"/>
        <v>-2102.4524005823846</v>
      </c>
      <c r="Z16" s="412">
        <f t="shared" si="13"/>
        <v>-2110.7553142173965</v>
      </c>
      <c r="AA16" s="412">
        <f t="shared" si="13"/>
        <v>-2118.8404578876462</v>
      </c>
      <c r="AB16" s="412">
        <f t="shared" si="13"/>
        <v>-2126.6702297113138</v>
      </c>
      <c r="AC16" s="412">
        <f t="shared" si="13"/>
        <v>-2134.2120898627818</v>
      </c>
      <c r="AD16" s="412">
        <f t="shared" si="13"/>
        <v>-2213.5581132029879</v>
      </c>
      <c r="AE16" s="412">
        <f t="shared" si="13"/>
        <v>-2262.7651171034895</v>
      </c>
      <c r="AF16" s="413">
        <f>-$E$56*AF15</f>
        <v>-2314.0174197005754</v>
      </c>
      <c r="AG16" s="496"/>
      <c r="AH16" s="6"/>
      <c r="AI16" s="6"/>
      <c r="AJ16" s="6"/>
      <c r="AK16" s="10"/>
      <c r="AL16" s="10"/>
      <c r="AM16" s="10"/>
      <c r="AN16" s="10"/>
    </row>
    <row r="17" spans="1:40" ht="15.75" thickBot="1">
      <c r="A17" s="1202"/>
      <c r="B17" s="258">
        <v>11</v>
      </c>
      <c r="C17" s="264" t="s">
        <v>482</v>
      </c>
      <c r="D17" s="316">
        <f>'Fin. Data'!D23</f>
        <v>2799</v>
      </c>
      <c r="E17" s="667">
        <f>'Fin. Data'!C23</f>
        <v>3338</v>
      </c>
      <c r="F17" s="323">
        <f>'Fin. Data'!B23</f>
        <v>3766</v>
      </c>
      <c r="G17" s="330">
        <f t="shared" ref="G17:AF17" si="14">G16+G15</f>
        <v>3226.2227056029542</v>
      </c>
      <c r="H17" s="331">
        <f t="shared" si="14"/>
        <v>3293.8930250987241</v>
      </c>
      <c r="I17" s="331">
        <f t="shared" si="14"/>
        <v>3401.9351604627013</v>
      </c>
      <c r="J17" s="332">
        <f t="shared" si="14"/>
        <v>3456.5984181311887</v>
      </c>
      <c r="K17" s="330">
        <f t="shared" si="14"/>
        <v>4068.0105674454744</v>
      </c>
      <c r="L17" s="331">
        <f t="shared" si="14"/>
        <v>4194.6277624486502</v>
      </c>
      <c r="M17" s="331">
        <f t="shared" si="14"/>
        <v>4299.4827371710871</v>
      </c>
      <c r="N17" s="331">
        <f t="shared" si="14"/>
        <v>4403.544255928261</v>
      </c>
      <c r="O17" s="331">
        <f t="shared" si="14"/>
        <v>4495.9759294272235</v>
      </c>
      <c r="P17" s="331">
        <f t="shared" si="14"/>
        <v>4577.2017574408146</v>
      </c>
      <c r="Q17" s="331">
        <f t="shared" si="14"/>
        <v>4649.3481916097862</v>
      </c>
      <c r="R17" s="331">
        <f t="shared" si="14"/>
        <v>4709.6667218775201</v>
      </c>
      <c r="S17" s="331">
        <f t="shared" si="14"/>
        <v>4758.2670353852454</v>
      </c>
      <c r="T17" s="331">
        <f t="shared" si="14"/>
        <v>4795.1594858356912</v>
      </c>
      <c r="U17" s="331">
        <f t="shared" si="14"/>
        <v>4819.6421956523309</v>
      </c>
      <c r="V17" s="331">
        <f t="shared" si="14"/>
        <v>4844.8656957680159</v>
      </c>
      <c r="W17" s="331">
        <f t="shared" si="14"/>
        <v>4865.3733953982537</v>
      </c>
      <c r="X17" s="331">
        <f t="shared" si="14"/>
        <v>4885.7378972796987</v>
      </c>
      <c r="Y17" s="331">
        <f t="shared" si="14"/>
        <v>4905.7222680255654</v>
      </c>
      <c r="Z17" s="331">
        <f t="shared" si="14"/>
        <v>4925.0957331739255</v>
      </c>
      <c r="AA17" s="331">
        <f t="shared" si="14"/>
        <v>4943.9610684045074</v>
      </c>
      <c r="AB17" s="331">
        <f t="shared" si="14"/>
        <v>4962.230535993067</v>
      </c>
      <c r="AC17" s="331">
        <f t="shared" si="14"/>
        <v>4979.8282096798248</v>
      </c>
      <c r="AD17" s="331">
        <f t="shared" si="14"/>
        <v>5164.9689308069719</v>
      </c>
      <c r="AE17" s="331">
        <f t="shared" si="14"/>
        <v>5279.7852732414758</v>
      </c>
      <c r="AF17" s="332">
        <f t="shared" si="14"/>
        <v>5399.3739793013428</v>
      </c>
      <c r="AG17" s="496"/>
      <c r="AH17" s="6"/>
      <c r="AI17" s="6"/>
      <c r="AJ17" s="6"/>
      <c r="AK17" s="10"/>
      <c r="AL17" s="10"/>
      <c r="AM17" s="10"/>
      <c r="AN17" s="10"/>
    </row>
    <row r="18" spans="1:40" ht="15.75" thickBot="1">
      <c r="A18" s="243"/>
      <c r="B18" s="253"/>
      <c r="C18" s="254" t="s">
        <v>184</v>
      </c>
      <c r="D18" s="262" t="s">
        <v>184</v>
      </c>
      <c r="E18" s="262" t="s">
        <v>184</v>
      </c>
      <c r="F18" s="262" t="s">
        <v>184</v>
      </c>
      <c r="G18" s="259" t="s">
        <v>184</v>
      </c>
      <c r="H18" s="259" t="s">
        <v>184</v>
      </c>
      <c r="I18" s="259" t="s">
        <v>184</v>
      </c>
      <c r="J18" s="259" t="s">
        <v>184</v>
      </c>
      <c r="K18" s="259" t="s">
        <v>184</v>
      </c>
      <c r="L18" s="259" t="s">
        <v>184</v>
      </c>
      <c r="M18" s="259" t="s">
        <v>184</v>
      </c>
      <c r="N18" s="259" t="s">
        <v>184</v>
      </c>
      <c r="O18" s="259" t="s">
        <v>184</v>
      </c>
      <c r="P18" s="259" t="s">
        <v>184</v>
      </c>
      <c r="Q18" s="259" t="s">
        <v>184</v>
      </c>
      <c r="R18" s="259" t="s">
        <v>184</v>
      </c>
      <c r="S18" s="259" t="s">
        <v>184</v>
      </c>
      <c r="T18" s="259" t="s">
        <v>184</v>
      </c>
      <c r="U18" s="259" t="s">
        <v>184</v>
      </c>
      <c r="V18" s="259" t="s">
        <v>184</v>
      </c>
      <c r="W18" s="259" t="s">
        <v>184</v>
      </c>
      <c r="X18" s="259" t="s">
        <v>184</v>
      </c>
      <c r="Y18" s="259" t="s">
        <v>184</v>
      </c>
      <c r="Z18" s="259" t="s">
        <v>184</v>
      </c>
      <c r="AA18" s="259" t="s">
        <v>184</v>
      </c>
      <c r="AB18" s="259" t="s">
        <v>184</v>
      </c>
      <c r="AC18" s="259" t="s">
        <v>184</v>
      </c>
      <c r="AD18" s="259" t="s">
        <v>184</v>
      </c>
      <c r="AE18" s="259" t="s">
        <v>184</v>
      </c>
      <c r="AF18" s="269" t="s">
        <v>184</v>
      </c>
      <c r="AG18" s="496"/>
      <c r="AH18" s="6"/>
      <c r="AI18" s="6"/>
      <c r="AJ18" s="6"/>
      <c r="AK18" s="10"/>
      <c r="AL18" s="10"/>
      <c r="AM18" s="10"/>
      <c r="AN18" s="10"/>
    </row>
    <row r="19" spans="1:40" ht="15">
      <c r="A19" s="1203" t="s">
        <v>483</v>
      </c>
      <c r="B19" s="232">
        <v>12</v>
      </c>
      <c r="C19" s="423" t="s">
        <v>484</v>
      </c>
      <c r="D19" s="870">
        <f>'Fin. Data'!D70-D20-D21</f>
        <v>4236</v>
      </c>
      <c r="E19" s="870">
        <f>'Fin. Data'!C70-E20-E21</f>
        <v>5315</v>
      </c>
      <c r="F19" s="870">
        <f>+'Fin. Data'!B70-F20-F21</f>
        <v>5765</v>
      </c>
      <c r="G19" s="472">
        <f>G17-G10-G9-G11</f>
        <v>3878.9125025829539</v>
      </c>
      <c r="H19" s="493">
        <f t="shared" ref="H19:AF19" si="15">H17-H10-H9-H11</f>
        <v>4049.4620118657776</v>
      </c>
      <c r="I19" s="493">
        <f t="shared" si="15"/>
        <v>4264.6713504144009</v>
      </c>
      <c r="J19" s="494">
        <f t="shared" si="15"/>
        <v>4430.96906445893</v>
      </c>
      <c r="K19" s="472">
        <f t="shared" si="15"/>
        <v>4924.0623113008342</v>
      </c>
      <c r="L19" s="493">
        <f t="shared" si="15"/>
        <v>5135.9059809845257</v>
      </c>
      <c r="M19" s="493">
        <f t="shared" si="15"/>
        <v>5329.4671925500634</v>
      </c>
      <c r="N19" s="493">
        <f t="shared" si="15"/>
        <v>5525.6658188712772</v>
      </c>
      <c r="O19" s="493">
        <f t="shared" si="15"/>
        <v>5713.5695493463809</v>
      </c>
      <c r="P19" s="493">
        <f t="shared" si="15"/>
        <v>5893.4860827036982</v>
      </c>
      <c r="Q19" s="493">
        <f t="shared" si="15"/>
        <v>6067.4052702220515</v>
      </c>
      <c r="R19" s="493">
        <f t="shared" si="15"/>
        <v>6232.4219886134397</v>
      </c>
      <c r="S19" s="493">
        <f t="shared" si="15"/>
        <v>6388.4697958191837</v>
      </c>
      <c r="T19" s="493">
        <f t="shared" si="15"/>
        <v>6535.3641091670397</v>
      </c>
      <c r="U19" s="493">
        <f t="shared" si="15"/>
        <v>6672.1902265313665</v>
      </c>
      <c r="V19" s="493">
        <f t="shared" si="15"/>
        <v>6812.0863712088922</v>
      </c>
      <c r="W19" s="493">
        <f t="shared" si="15"/>
        <v>6949.5744572604217</v>
      </c>
      <c r="X19" s="493">
        <f t="shared" si="15"/>
        <v>7089.2522612301091</v>
      </c>
      <c r="Y19" s="493">
        <f t="shared" si="15"/>
        <v>7230.9294665537291</v>
      </c>
      <c r="Z19" s="493">
        <f t="shared" si="15"/>
        <v>7374.4228476711169</v>
      </c>
      <c r="AA19" s="493">
        <f t="shared" si="15"/>
        <v>7519.8836798829652</v>
      </c>
      <c r="AB19" s="493">
        <f t="shared" si="15"/>
        <v>7667.2736948179727</v>
      </c>
      <c r="AC19" s="493">
        <f t="shared" si="15"/>
        <v>7816.5674246942999</v>
      </c>
      <c r="AD19" s="493">
        <f t="shared" si="15"/>
        <v>8136.0311782379576</v>
      </c>
      <c r="AE19" s="493">
        <f t="shared" si="15"/>
        <v>8387.8500257820906</v>
      </c>
      <c r="AF19" s="495">
        <f t="shared" si="15"/>
        <v>8647.174255773245</v>
      </c>
      <c r="AG19" s="496"/>
      <c r="AH19" s="6"/>
      <c r="AI19" s="6"/>
      <c r="AJ19" s="6"/>
      <c r="AK19" s="10"/>
      <c r="AL19" s="10"/>
      <c r="AM19" s="10"/>
      <c r="AN19" s="10"/>
    </row>
    <row r="20" spans="1:40" ht="15">
      <c r="A20" s="1204"/>
      <c r="B20" s="232">
        <v>13</v>
      </c>
      <c r="C20" s="251" t="s">
        <v>485</v>
      </c>
      <c r="D20" s="277">
        <v>-58</v>
      </c>
      <c r="E20" s="278">
        <v>-78</v>
      </c>
      <c r="F20" s="574">
        <v>-67</v>
      </c>
      <c r="G20" s="472">
        <f>G11</f>
        <v>-53.485996979999996</v>
      </c>
      <c r="H20" s="493">
        <f t="shared" ref="H20:AF20" si="16">H11</f>
        <v>-55.722781373703604</v>
      </c>
      <c r="I20" s="493">
        <f t="shared" si="16"/>
        <v>-58.053108090751891</v>
      </c>
      <c r="J20" s="494">
        <f t="shared" si="16"/>
        <v>-60.480889071107143</v>
      </c>
      <c r="K20" s="472">
        <f t="shared" si="16"/>
        <v>-63.010199852060843</v>
      </c>
      <c r="L20" s="493">
        <f t="shared" si="16"/>
        <v>-65.645286409874018</v>
      </c>
      <c r="M20" s="493">
        <f t="shared" si="16"/>
        <v>-68.322301189668678</v>
      </c>
      <c r="N20" s="493">
        <f t="shared" si="16"/>
        <v>-70.937678879209201</v>
      </c>
      <c r="O20" s="493">
        <f t="shared" si="16"/>
        <v>-73.475829029507324</v>
      </c>
      <c r="P20" s="493">
        <f t="shared" si="16"/>
        <v>-75.921104619609324</v>
      </c>
      <c r="Q20" s="493">
        <f t="shared" si="16"/>
        <v>-78.257956219800903</v>
      </c>
      <c r="R20" s="493">
        <f t="shared" si="16"/>
        <v>-80.471091221696895</v>
      </c>
      <c r="S20" s="493">
        <f t="shared" si="16"/>
        <v>-82.545635953392235</v>
      </c>
      <c r="T20" s="493">
        <f t="shared" si="16"/>
        <v>-84.467298358387211</v>
      </c>
      <c r="U20" s="493">
        <f t="shared" si="16"/>
        <v>-86.222528818274498</v>
      </c>
      <c r="V20" s="493">
        <f t="shared" si="16"/>
        <v>-88.015957417694594</v>
      </c>
      <c r="W20" s="493">
        <f t="shared" si="16"/>
        <v>-89.77627656604848</v>
      </c>
      <c r="X20" s="493">
        <f t="shared" si="16"/>
        <v>-91.571802097369456</v>
      </c>
      <c r="Y20" s="493">
        <f t="shared" si="16"/>
        <v>-93.403238139316855</v>
      </c>
      <c r="Z20" s="493">
        <f t="shared" si="16"/>
        <v>-95.271302902103187</v>
      </c>
      <c r="AA20" s="493">
        <f t="shared" si="16"/>
        <v>-97.176728960145255</v>
      </c>
      <c r="AB20" s="493">
        <f t="shared" si="16"/>
        <v>-99.120263539348159</v>
      </c>
      <c r="AC20" s="493">
        <f t="shared" si="16"/>
        <v>-101.10266881013513</v>
      </c>
      <c r="AD20" s="493">
        <f t="shared" si="16"/>
        <v>-103.12472218633783</v>
      </c>
      <c r="AE20" s="493">
        <f t="shared" si="16"/>
        <v>-105.1872166300646</v>
      </c>
      <c r="AF20" s="495">
        <f t="shared" si="16"/>
        <v>-107.29096096266589</v>
      </c>
      <c r="AG20" s="496"/>
      <c r="AH20" s="6"/>
      <c r="AI20" s="6"/>
      <c r="AJ20" s="6"/>
      <c r="AK20" s="10"/>
      <c r="AL20" s="10"/>
      <c r="AM20" s="10"/>
      <c r="AN20" s="10"/>
    </row>
    <row r="21" spans="1:40" ht="15">
      <c r="A21" s="1204"/>
      <c r="B21" s="232">
        <v>14</v>
      </c>
      <c r="C21" s="251" t="s">
        <v>486</v>
      </c>
      <c r="D21" s="281">
        <f>Inputs!D62</f>
        <v>-524</v>
      </c>
      <c r="E21" s="280">
        <f>Inputs!C62</f>
        <v>-1302</v>
      </c>
      <c r="F21" s="575">
        <f>Inputs!B62</f>
        <v>-2674</v>
      </c>
      <c r="G21" s="364">
        <f>$D$60*(G6-F6)</f>
        <v>-93.061791767528192</v>
      </c>
      <c r="H21" s="443">
        <f t="shared" ref="H21:J21" si="17">$D$60*(H6-G6)</f>
        <v>-96.953635899246621</v>
      </c>
      <c r="I21" s="443">
        <f t="shared" si="17"/>
        <v>-101.00823695255313</v>
      </c>
      <c r="J21" s="444">
        <f t="shared" si="17"/>
        <v>-105.23240142190883</v>
      </c>
      <c r="K21" s="328">
        <f t="shared" ref="K21:AF21" si="18">$E$60*(K6-J6)</f>
        <v>-109.633220449373</v>
      </c>
      <c r="L21" s="325">
        <f t="shared" si="18"/>
        <v>-114.21808172856507</v>
      </c>
      <c r="M21" s="325">
        <f t="shared" si="18"/>
        <v>-116.03546456588265</v>
      </c>
      <c r="N21" s="325">
        <f>$E$60*(N6-M6)</f>
        <v>-113.36379892693625</v>
      </c>
      <c r="O21" s="325">
        <f>$E$60*(O6-N6)</f>
        <v>-110.01636376859942</v>
      </c>
      <c r="P21" s="325">
        <f t="shared" si="18"/>
        <v>-105.99070697355752</v>
      </c>
      <c r="Q21" s="325">
        <f t="shared" si="18"/>
        <v>-101.29105864352188</v>
      </c>
      <c r="R21" s="325">
        <f t="shared" si="18"/>
        <v>-95.928550723844992</v>
      </c>
      <c r="S21" s="325">
        <f t="shared" si="18"/>
        <v>-89.921342056781114</v>
      </c>
      <c r="T21" s="325">
        <f t="shared" si="18"/>
        <v>-83.2946428183281</v>
      </c>
      <c r="U21" s="325">
        <f t="shared" si="18"/>
        <v>-76.080634059417136</v>
      </c>
      <c r="V21" s="325">
        <f t="shared" si="18"/>
        <v>-77.736336112202267</v>
      </c>
      <c r="W21" s="325">
        <f t="shared" si="18"/>
        <v>-76.301203753208327</v>
      </c>
      <c r="X21" s="325">
        <f t="shared" si="18"/>
        <v>-77.827227828272299</v>
      </c>
      <c r="Y21" s="325">
        <f t="shared" si="18"/>
        <v>-79.383772384838153</v>
      </c>
      <c r="Z21" s="325">
        <f t="shared" si="18"/>
        <v>-80.971447832534736</v>
      </c>
      <c r="AA21" s="325">
        <f t="shared" si="18"/>
        <v>-82.5908767891856</v>
      </c>
      <c r="AB21" s="325">
        <f t="shared" si="18"/>
        <v>-84.242694324968951</v>
      </c>
      <c r="AC21" s="325">
        <f t="shared" si="18"/>
        <v>-85.927548211468391</v>
      </c>
      <c r="AD21" s="325">
        <f t="shared" si="18"/>
        <v>-87.646099175698154</v>
      </c>
      <c r="AE21" s="325">
        <f t="shared" si="18"/>
        <v>-89.399021159211657</v>
      </c>
      <c r="AF21" s="329">
        <f t="shared" si="18"/>
        <v>-91.187001582396078</v>
      </c>
      <c r="AG21" s="496"/>
      <c r="AH21" s="6"/>
      <c r="AI21" s="6"/>
      <c r="AJ21" s="6"/>
      <c r="AK21" s="10"/>
      <c r="AL21" s="10"/>
      <c r="AM21" s="10"/>
      <c r="AN21" s="10"/>
    </row>
    <row r="22" spans="1:40" ht="15">
      <c r="A22" s="1204"/>
      <c r="B22" s="232">
        <v>15</v>
      </c>
      <c r="C22" s="260" t="s">
        <v>487</v>
      </c>
      <c r="D22" s="342">
        <f>D19+D20+D21</f>
        <v>3654</v>
      </c>
      <c r="E22" s="279">
        <f t="shared" ref="E22:AF22" si="19">E19+E20+E21</f>
        <v>3935</v>
      </c>
      <c r="F22" s="576">
        <f t="shared" si="19"/>
        <v>3024</v>
      </c>
      <c r="G22" s="439">
        <f>G19+G20+G21</f>
        <v>3732.3647138354258</v>
      </c>
      <c r="H22" s="440">
        <f t="shared" si="19"/>
        <v>3896.7855945928272</v>
      </c>
      <c r="I22" s="440">
        <f>I19+I20+I21</f>
        <v>4105.6100053710952</v>
      </c>
      <c r="J22" s="441">
        <f t="shared" si="19"/>
        <v>4265.2557739659142</v>
      </c>
      <c r="K22" s="439">
        <f t="shared" si="19"/>
        <v>4751.4188909994009</v>
      </c>
      <c r="L22" s="440">
        <f t="shared" si="19"/>
        <v>4956.0426128460867</v>
      </c>
      <c r="M22" s="440">
        <f t="shared" si="19"/>
        <v>5145.1094267945118</v>
      </c>
      <c r="N22" s="440">
        <f t="shared" si="19"/>
        <v>5341.3643410651321</v>
      </c>
      <c r="O22" s="440">
        <f t="shared" si="19"/>
        <v>5530.0773565482741</v>
      </c>
      <c r="P22" s="440">
        <f t="shared" si="19"/>
        <v>5711.5742711105313</v>
      </c>
      <c r="Q22" s="440">
        <f t="shared" si="19"/>
        <v>5887.856255358729</v>
      </c>
      <c r="R22" s="440">
        <f t="shared" si="19"/>
        <v>6056.0223466678981</v>
      </c>
      <c r="S22" s="440">
        <f t="shared" si="19"/>
        <v>6216.0028178090106</v>
      </c>
      <c r="T22" s="440">
        <f t="shared" si="19"/>
        <v>6367.6021679903251</v>
      </c>
      <c r="U22" s="440">
        <f t="shared" si="19"/>
        <v>6509.8870636536749</v>
      </c>
      <c r="V22" s="440">
        <f t="shared" si="19"/>
        <v>6646.3340776789955</v>
      </c>
      <c r="W22" s="440">
        <f t="shared" si="19"/>
        <v>6783.4969769411655</v>
      </c>
      <c r="X22" s="440">
        <f t="shared" si="19"/>
        <v>6919.853231304468</v>
      </c>
      <c r="Y22" s="440">
        <f t="shared" si="19"/>
        <v>7058.1424560295736</v>
      </c>
      <c r="Z22" s="440">
        <f t="shared" si="19"/>
        <v>7198.1800969364785</v>
      </c>
      <c r="AA22" s="440">
        <f t="shared" si="19"/>
        <v>7340.1160741336344</v>
      </c>
      <c r="AB22" s="440">
        <f t="shared" si="19"/>
        <v>7483.910736953655</v>
      </c>
      <c r="AC22" s="440">
        <f t="shared" si="19"/>
        <v>7629.5372076726962</v>
      </c>
      <c r="AD22" s="440">
        <f t="shared" si="19"/>
        <v>7945.2603568759214</v>
      </c>
      <c r="AE22" s="440">
        <f t="shared" si="19"/>
        <v>8193.2637879928134</v>
      </c>
      <c r="AF22" s="442">
        <f t="shared" si="19"/>
        <v>8448.6962932281822</v>
      </c>
      <c r="AG22" s="496"/>
      <c r="AH22" s="6"/>
      <c r="AI22" s="6"/>
      <c r="AJ22" s="6"/>
      <c r="AK22" s="10"/>
      <c r="AL22" s="10"/>
      <c r="AM22" s="10"/>
      <c r="AN22" s="10"/>
    </row>
    <row r="23" spans="1:40" ht="15">
      <c r="A23" s="1204"/>
      <c r="B23" s="232">
        <v>16</v>
      </c>
      <c r="C23" s="251" t="s">
        <v>488</v>
      </c>
      <c r="D23" s="302">
        <f>'Fin. Data'!D32</f>
        <v>-626</v>
      </c>
      <c r="E23" s="301">
        <f>'Fin. Data'!C32</f>
        <v>-1097</v>
      </c>
      <c r="F23" s="577">
        <f>'Fin. Data'!B32</f>
        <v>-1180</v>
      </c>
      <c r="G23" s="328">
        <f>G6*$D$62</f>
        <v>-1158.8632679</v>
      </c>
      <c r="H23" s="325">
        <f t="shared" ref="H23:J23" si="20">H6*$D$62</f>
        <v>-1207.3269297635782</v>
      </c>
      <c r="I23" s="325">
        <f t="shared" si="20"/>
        <v>-1257.817341966291</v>
      </c>
      <c r="J23" s="422">
        <f t="shared" si="20"/>
        <v>-1310.4192632073214</v>
      </c>
      <c r="K23" s="328">
        <f t="shared" ref="K23:AF23" si="21">K6*$E$62</f>
        <v>-1263.6666238680803</v>
      </c>
      <c r="L23" s="325">
        <f t="shared" si="21"/>
        <v>-1316.5131620782431</v>
      </c>
      <c r="M23" s="325">
        <f t="shared" si="21"/>
        <v>-1370.2005688277941</v>
      </c>
      <c r="N23" s="325">
        <f t="shared" si="21"/>
        <v>-1422.651846602522</v>
      </c>
      <c r="O23" s="325">
        <f t="shared" si="21"/>
        <v>-1473.5543296739606</v>
      </c>
      <c r="P23" s="325">
        <f t="shared" si="21"/>
        <v>-1522.5942177655099</v>
      </c>
      <c r="Q23" s="325">
        <f t="shared" si="21"/>
        <v>-1569.4596677883326</v>
      </c>
      <c r="R23" s="325">
        <f t="shared" si="21"/>
        <v>-1613.8439871933867</v>
      </c>
      <c r="S23" s="325">
        <f t="shared" si="21"/>
        <v>-1655.4488851832325</v>
      </c>
      <c r="T23" s="325">
        <f t="shared" si="21"/>
        <v>-1693.9877352302981</v>
      </c>
      <c r="U23" s="325">
        <f t="shared" si="21"/>
        <v>-1729.1888003683837</v>
      </c>
      <c r="V23" s="325">
        <f t="shared" si="21"/>
        <v>-1765.1559274160456</v>
      </c>
      <c r="W23" s="325">
        <f t="shared" si="21"/>
        <v>-1800.4590459643666</v>
      </c>
      <c r="X23" s="325">
        <f t="shared" si="21"/>
        <v>-1836.4682268836541</v>
      </c>
      <c r="Y23" s="325">
        <f t="shared" si="21"/>
        <v>-1873.1975914213272</v>
      </c>
      <c r="Z23" s="325">
        <f t="shared" si="21"/>
        <v>-1910.6615432497538</v>
      </c>
      <c r="AA23" s="325">
        <f t="shared" si="21"/>
        <v>-1948.874774114749</v>
      </c>
      <c r="AB23" s="325">
        <f t="shared" si="21"/>
        <v>-1987.8522695970439</v>
      </c>
      <c r="AC23" s="325">
        <f t="shared" si="21"/>
        <v>-2027.6093149889848</v>
      </c>
      <c r="AD23" s="325">
        <f t="shared" si="21"/>
        <v>-2068.1615012887646</v>
      </c>
      <c r="AE23" s="325">
        <f t="shared" si="21"/>
        <v>-2109.5247313145401</v>
      </c>
      <c r="AF23" s="329">
        <f t="shared" si="21"/>
        <v>-2151.7152259408308</v>
      </c>
      <c r="AG23" s="497">
        <f>SUM(D23:AF23)</f>
        <v>-45948.216779596994</v>
      </c>
      <c r="AH23" s="6"/>
      <c r="AI23" s="6"/>
      <c r="AJ23" s="6"/>
      <c r="AK23" s="10"/>
      <c r="AL23" s="10"/>
      <c r="AM23" s="10"/>
      <c r="AN23" s="10"/>
    </row>
    <row r="24" spans="1:40" ht="15">
      <c r="A24" s="1204"/>
      <c r="B24" s="881">
        <v>17</v>
      </c>
      <c r="C24" s="251" t="s">
        <v>489</v>
      </c>
      <c r="D24" s="281">
        <f>Inputs!D66</f>
        <v>-492</v>
      </c>
      <c r="E24" s="280">
        <f>'Fin. Data'!C33</f>
        <v>-343</v>
      </c>
      <c r="F24" s="575">
        <f>'Fin. Data'!B33</f>
        <v>-492</v>
      </c>
      <c r="G24" s="328">
        <f>G6*$D$63</f>
        <v>-448.61178799418013</v>
      </c>
      <c r="H24" s="325">
        <f t="shared" ref="H24:I24" si="22">H6*$D$63</f>
        <v>-467.37273296809678</v>
      </c>
      <c r="I24" s="325">
        <f t="shared" si="22"/>
        <v>-486.91826066082263</v>
      </c>
      <c r="J24" s="422">
        <f>J6*$D$63</f>
        <v>-507.28118232165826</v>
      </c>
      <c r="K24" s="328">
        <f t="shared" ref="K24:AF24" si="23">K6*$E$63</f>
        <v>-528.49568136635003</v>
      </c>
      <c r="L24" s="325">
        <f t="shared" si="23"/>
        <v>-550.5973707610907</v>
      </c>
      <c r="M24" s="325">
        <f t="shared" si="23"/>
        <v>-573.05073154072807</v>
      </c>
      <c r="N24" s="325">
        <f>N6*$E$63</f>
        <v>-594.98711354410716</v>
      </c>
      <c r="O24" s="325">
        <f t="shared" si="23"/>
        <v>-616.2757524667154</v>
      </c>
      <c r="P24" s="325">
        <f t="shared" si="23"/>
        <v>-636.78540950880767</v>
      </c>
      <c r="Q24" s="325">
        <f t="shared" si="23"/>
        <v>-656.38566441348883</v>
      </c>
      <c r="R24" s="325">
        <f t="shared" si="23"/>
        <v>-674.94825100310243</v>
      </c>
      <c r="S24" s="325">
        <f t="shared" si="23"/>
        <v>-692.34841691396241</v>
      </c>
      <c r="T24" s="325">
        <f t="shared" si="23"/>
        <v>-708.46628805971943</v>
      </c>
      <c r="U24" s="325">
        <f t="shared" si="23"/>
        <v>-723.18821752560041</v>
      </c>
      <c r="V24" s="325">
        <f t="shared" si="23"/>
        <v>-738.23053245013284</v>
      </c>
      <c r="W24" s="325">
        <f t="shared" si="23"/>
        <v>-752.99514309913548</v>
      </c>
      <c r="X24" s="325">
        <f t="shared" si="23"/>
        <v>-768.05504596111814</v>
      </c>
      <c r="Y24" s="325">
        <f t="shared" si="23"/>
        <v>-783.41614688034053</v>
      </c>
      <c r="Z24" s="325">
        <f t="shared" si="23"/>
        <v>-799.08446981794737</v>
      </c>
      <c r="AA24" s="325">
        <f t="shared" si="23"/>
        <v>-815.06615921430648</v>
      </c>
      <c r="AB24" s="325">
        <f t="shared" si="23"/>
        <v>-831.36748239859253</v>
      </c>
      <c r="AC24" s="325">
        <f t="shared" si="23"/>
        <v>-847.9948320465644</v>
      </c>
      <c r="AD24" s="325">
        <f t="shared" si="23"/>
        <v>-864.95472868749573</v>
      </c>
      <c r="AE24" s="325">
        <f t="shared" si="23"/>
        <v>-882.25382326124566</v>
      </c>
      <c r="AF24" s="329">
        <f t="shared" si="23"/>
        <v>-899.89889972647063</v>
      </c>
      <c r="AG24" s="496"/>
      <c r="AH24" s="498">
        <f>AG9-AG23</f>
        <v>2340.5607108917829</v>
      </c>
      <c r="AI24" s="6"/>
      <c r="AJ24" s="6"/>
      <c r="AK24" s="10"/>
      <c r="AL24" s="10"/>
      <c r="AM24" s="10"/>
      <c r="AN24" s="10"/>
    </row>
    <row r="25" spans="1:40" ht="15">
      <c r="A25" s="1204"/>
      <c r="B25" s="232">
        <v>18</v>
      </c>
      <c r="C25" s="251" t="s">
        <v>490</v>
      </c>
      <c r="D25" s="281">
        <f>Inputs!D67</f>
        <v>27</v>
      </c>
      <c r="E25" s="280">
        <f>Inputs!C67</f>
        <v>99</v>
      </c>
      <c r="F25" s="575">
        <f>Inputs!B67</f>
        <v>475</v>
      </c>
      <c r="G25" s="328">
        <f>(1+G5)*AVERAGE(D25:F25)</f>
        <v>208.71127333333334</v>
      </c>
      <c r="H25" s="325">
        <f t="shared" ref="H25:AF25" si="24">(1+H5)*AVERAGE(E25:G25)</f>
        <v>271.81475292804453</v>
      </c>
      <c r="I25" s="325">
        <f t="shared" si="24"/>
        <v>331.82870822654291</v>
      </c>
      <c r="J25" s="422">
        <f t="shared" si="24"/>
        <v>282.1091364947352</v>
      </c>
      <c r="K25" s="328">
        <f t="shared" si="24"/>
        <v>307.59825709433903</v>
      </c>
      <c r="L25" s="325">
        <f t="shared" si="24"/>
        <v>320.02491386451538</v>
      </c>
      <c r="M25" s="325">
        <f t="shared" si="24"/>
        <v>315.61039698384894</v>
      </c>
      <c r="N25" s="325">
        <f t="shared" si="24"/>
        <v>326.44684964118335</v>
      </c>
      <c r="O25" s="325">
        <f t="shared" si="24"/>
        <v>332.16848673062128</v>
      </c>
      <c r="P25" s="325">
        <f t="shared" si="24"/>
        <v>335.54932192057657</v>
      </c>
      <c r="Q25" s="325">
        <f t="shared" si="24"/>
        <v>341.58834882487361</v>
      </c>
      <c r="R25" s="325">
        <f t="shared" si="24"/>
        <v>345.94977853649829</v>
      </c>
      <c r="S25" s="325">
        <f t="shared" si="24"/>
        <v>349.82088124147907</v>
      </c>
      <c r="T25" s="325">
        <f t="shared" si="24"/>
        <v>353.83624210770842</v>
      </c>
      <c r="U25" s="325">
        <f t="shared" si="24"/>
        <v>357.13924443562348</v>
      </c>
      <c r="V25" s="325">
        <f t="shared" si="24"/>
        <v>360.95364407824502</v>
      </c>
      <c r="W25" s="325">
        <f t="shared" si="24"/>
        <v>364.45590441133612</v>
      </c>
      <c r="X25" s="325">
        <f t="shared" si="24"/>
        <v>368.06658959456956</v>
      </c>
      <c r="Y25" s="325">
        <f t="shared" si="24"/>
        <v>371.7818869486112</v>
      </c>
      <c r="Z25" s="325">
        <f t="shared" si="24"/>
        <v>375.4634895245357</v>
      </c>
      <c r="AA25" s="325">
        <f t="shared" si="24"/>
        <v>379.20606846302366</v>
      </c>
      <c r="AB25" s="325">
        <f t="shared" si="24"/>
        <v>382.99349127829805</v>
      </c>
      <c r="AC25" s="325">
        <f t="shared" si="24"/>
        <v>386.80543675039155</v>
      </c>
      <c r="AD25" s="325">
        <f t="shared" si="24"/>
        <v>390.66169880718257</v>
      </c>
      <c r="AE25" s="325">
        <f t="shared" si="24"/>
        <v>394.55661312419653</v>
      </c>
      <c r="AF25" s="329">
        <f t="shared" si="24"/>
        <v>398.48807455180207</v>
      </c>
      <c r="AG25" s="305"/>
      <c r="AH25" s="6"/>
      <c r="AI25" s="6"/>
      <c r="AJ25" s="6"/>
      <c r="AK25" s="10"/>
      <c r="AL25" s="10"/>
      <c r="AM25" s="10"/>
      <c r="AN25" s="10"/>
    </row>
    <row r="26" spans="1:40" ht="15">
      <c r="A26" s="1204"/>
      <c r="B26" s="232">
        <v>19</v>
      </c>
      <c r="C26" s="260" t="s">
        <v>491</v>
      </c>
      <c r="D26" s="797">
        <f>D23+D24+D25</f>
        <v>-1091</v>
      </c>
      <c r="E26" s="279">
        <f t="shared" ref="E26:AF26" si="25">E23+E24+E25</f>
        <v>-1341</v>
      </c>
      <c r="F26" s="803">
        <f>F23+F24+F25</f>
        <v>-1197</v>
      </c>
      <c r="G26" s="342">
        <f>G23+G24+G25</f>
        <v>-1398.7637825608467</v>
      </c>
      <c r="H26" s="701">
        <f t="shared" si="25"/>
        <v>-1402.8849098036303</v>
      </c>
      <c r="I26" s="701">
        <f t="shared" si="25"/>
        <v>-1412.9068944005708</v>
      </c>
      <c r="J26" s="421">
        <f t="shared" si="25"/>
        <v>-1535.5913090342444</v>
      </c>
      <c r="K26" s="342">
        <f t="shared" si="25"/>
        <v>-1484.5640481400912</v>
      </c>
      <c r="L26" s="341">
        <f t="shared" si="25"/>
        <v>-1547.0856189748183</v>
      </c>
      <c r="M26" s="341">
        <f t="shared" si="25"/>
        <v>-1627.6409033846733</v>
      </c>
      <c r="N26" s="341">
        <f t="shared" si="25"/>
        <v>-1691.1921105054457</v>
      </c>
      <c r="O26" s="341">
        <f t="shared" si="25"/>
        <v>-1757.6615954100548</v>
      </c>
      <c r="P26" s="341">
        <f t="shared" si="25"/>
        <v>-1823.8303053537409</v>
      </c>
      <c r="Q26" s="341">
        <f t="shared" si="25"/>
        <v>-1884.2569833769476</v>
      </c>
      <c r="R26" s="341">
        <f t="shared" si="25"/>
        <v>-1942.8424596599907</v>
      </c>
      <c r="S26" s="341">
        <f t="shared" si="25"/>
        <v>-1997.9764208557158</v>
      </c>
      <c r="T26" s="341">
        <f t="shared" si="25"/>
        <v>-2048.617781182309</v>
      </c>
      <c r="U26" s="341">
        <f t="shared" si="25"/>
        <v>-2095.2377734583606</v>
      </c>
      <c r="V26" s="341">
        <f t="shared" si="25"/>
        <v>-2142.4328157879336</v>
      </c>
      <c r="W26" s="341">
        <f t="shared" si="25"/>
        <v>-2188.9982846521657</v>
      </c>
      <c r="X26" s="341">
        <f t="shared" si="25"/>
        <v>-2236.4566832502028</v>
      </c>
      <c r="Y26" s="341">
        <f t="shared" si="25"/>
        <v>-2284.8318513530562</v>
      </c>
      <c r="Z26" s="341">
        <f t="shared" si="25"/>
        <v>-2334.2825235431651</v>
      </c>
      <c r="AA26" s="341">
        <f t="shared" si="25"/>
        <v>-2384.7348648660318</v>
      </c>
      <c r="AB26" s="341">
        <f t="shared" si="25"/>
        <v>-2436.2262607173379</v>
      </c>
      <c r="AC26" s="341">
        <f t="shared" si="25"/>
        <v>-2488.798710285158</v>
      </c>
      <c r="AD26" s="341">
        <f t="shared" si="25"/>
        <v>-2542.4545311690781</v>
      </c>
      <c r="AE26" s="341">
        <f t="shared" si="25"/>
        <v>-2597.2219414515889</v>
      </c>
      <c r="AF26" s="300">
        <f t="shared" si="25"/>
        <v>-2653.1260511154992</v>
      </c>
      <c r="AG26" s="496"/>
      <c r="AH26" s="6"/>
      <c r="AI26" s="6"/>
      <c r="AJ26" s="6"/>
      <c r="AK26" s="10"/>
      <c r="AL26" s="10"/>
      <c r="AM26" s="10"/>
      <c r="AN26" s="10"/>
    </row>
    <row r="27" spans="1:40" ht="15">
      <c r="A27" s="1204"/>
      <c r="B27" s="232">
        <v>20</v>
      </c>
      <c r="C27" s="251" t="s">
        <v>492</v>
      </c>
      <c r="D27" s="281">
        <f>Inputs!D71+Inputs!D72</f>
        <v>0</v>
      </c>
      <c r="E27" s="280">
        <f>Inputs!C71+Inputs!C72</f>
        <v>0</v>
      </c>
      <c r="F27" s="577">
        <f>Inputs!B71+Inputs!B72</f>
        <v>0</v>
      </c>
      <c r="G27" s="699">
        <f>$D$66*G6</f>
        <v>0</v>
      </c>
      <c r="H27" s="702">
        <f t="shared" ref="H27:J27" si="26">$D$66*H6</f>
        <v>0</v>
      </c>
      <c r="I27" s="702">
        <f t="shared" si="26"/>
        <v>0</v>
      </c>
      <c r="J27" s="700">
        <f t="shared" si="26"/>
        <v>0</v>
      </c>
      <c r="K27" s="343">
        <f>$E$66*K6</f>
        <v>0</v>
      </c>
      <c r="L27" s="284">
        <f>$E$66*L6</f>
        <v>0</v>
      </c>
      <c r="M27" s="284">
        <f t="shared" ref="M27:AE27" si="27">$E$66*M6</f>
        <v>0</v>
      </c>
      <c r="N27" s="284">
        <f>$E$66*N6</f>
        <v>0</v>
      </c>
      <c r="O27" s="284">
        <f t="shared" si="27"/>
        <v>0</v>
      </c>
      <c r="P27" s="284">
        <f t="shared" si="27"/>
        <v>0</v>
      </c>
      <c r="Q27" s="284">
        <f t="shared" si="27"/>
        <v>0</v>
      </c>
      <c r="R27" s="284">
        <f t="shared" si="27"/>
        <v>0</v>
      </c>
      <c r="S27" s="284">
        <f t="shared" si="27"/>
        <v>0</v>
      </c>
      <c r="T27" s="284">
        <f t="shared" si="27"/>
        <v>0</v>
      </c>
      <c r="U27" s="284">
        <f t="shared" si="27"/>
        <v>0</v>
      </c>
      <c r="V27" s="284">
        <f t="shared" si="27"/>
        <v>0</v>
      </c>
      <c r="W27" s="284">
        <f t="shared" si="27"/>
        <v>0</v>
      </c>
      <c r="X27" s="284">
        <f t="shared" si="27"/>
        <v>0</v>
      </c>
      <c r="Y27" s="284">
        <f t="shared" si="27"/>
        <v>0</v>
      </c>
      <c r="Z27" s="284">
        <f t="shared" si="27"/>
        <v>0</v>
      </c>
      <c r="AA27" s="284">
        <f t="shared" si="27"/>
        <v>0</v>
      </c>
      <c r="AB27" s="284">
        <f t="shared" si="27"/>
        <v>0</v>
      </c>
      <c r="AC27" s="284">
        <f t="shared" si="27"/>
        <v>0</v>
      </c>
      <c r="AD27" s="284">
        <f t="shared" si="27"/>
        <v>0</v>
      </c>
      <c r="AE27" s="284">
        <f t="shared" si="27"/>
        <v>0</v>
      </c>
      <c r="AF27" s="285">
        <f>$E$66*AF6</f>
        <v>0</v>
      </c>
      <c r="AG27" s="496"/>
      <c r="AH27" s="6"/>
      <c r="AI27" s="6"/>
      <c r="AJ27" s="6"/>
      <c r="AK27" s="10"/>
      <c r="AL27" s="10"/>
      <c r="AM27" s="10"/>
      <c r="AN27" s="10"/>
    </row>
    <row r="28" spans="1:40" ht="15">
      <c r="A28" s="1204"/>
      <c r="B28" s="232">
        <v>21</v>
      </c>
      <c r="C28" s="251" t="s">
        <v>493</v>
      </c>
      <c r="D28" s="302">
        <f>+SUM(Inputs!D69:D70)</f>
        <v>-216</v>
      </c>
      <c r="E28" s="280">
        <f>+SUM(Inputs!C69:C70)</f>
        <v>742</v>
      </c>
      <c r="F28" s="575">
        <f>+SUM(Inputs!B69:B70)</f>
        <v>889</v>
      </c>
      <c r="G28" s="328">
        <f>G44-F44</f>
        <v>3490.8964925365908</v>
      </c>
      <c r="H28" s="470">
        <f t="shared" ref="H28:AF28" si="28">H44-G44</f>
        <v>1096.2956669565137</v>
      </c>
      <c r="I28" s="470">
        <f t="shared" si="28"/>
        <v>1142.0921169534377</v>
      </c>
      <c r="J28" s="422">
        <f t="shared" si="28"/>
        <v>1189.80347574392</v>
      </c>
      <c r="K28" s="871">
        <f>K44-J44</f>
        <v>-1662.3056988689568</v>
      </c>
      <c r="L28" s="325">
        <f t="shared" si="28"/>
        <v>780.43760763935643</v>
      </c>
      <c r="M28" s="325">
        <f t="shared" si="28"/>
        <v>781.08295366517632</v>
      </c>
      <c r="N28" s="325">
        <f t="shared" si="28"/>
        <v>751.40372910074802</v>
      </c>
      <c r="O28" s="325">
        <f t="shared" si="28"/>
        <v>717.82259307630738</v>
      </c>
      <c r="P28" s="325">
        <f t="shared" si="28"/>
        <v>680.527856101824</v>
      </c>
      <c r="Q28" s="325">
        <f t="shared" si="28"/>
        <v>639.75140370762892</v>
      </c>
      <c r="R28" s="325">
        <f t="shared" si="28"/>
        <v>595.76671914614053</v>
      </c>
      <c r="S28" s="325">
        <f t="shared" si="28"/>
        <v>548.88619002532141</v>
      </c>
      <c r="T28" s="325">
        <f t="shared" si="28"/>
        <v>499.45772855178802</v>
      </c>
      <c r="U28" s="325">
        <f t="shared" si="28"/>
        <v>447.86075045827602</v>
      </c>
      <c r="V28" s="325">
        <f t="shared" si="28"/>
        <v>449.81958115893212</v>
      </c>
      <c r="W28" s="325">
        <f t="shared" si="28"/>
        <v>433.59836349839316</v>
      </c>
      <c r="X28" s="325">
        <f t="shared" si="28"/>
        <v>434.46797093284113</v>
      </c>
      <c r="Y28" s="325">
        <f t="shared" si="28"/>
        <v>435.19922345822852</v>
      </c>
      <c r="Z28" s="325">
        <f t="shared" si="28"/>
        <v>435.78624089608275</v>
      </c>
      <c r="AA28" s="325">
        <f t="shared" si="28"/>
        <v>436.22296321427348</v>
      </c>
      <c r="AB28" s="325">
        <f t="shared" si="28"/>
        <v>436.50314568507019</v>
      </c>
      <c r="AC28" s="325">
        <f t="shared" si="28"/>
        <v>436.62035392132384</v>
      </c>
      <c r="AD28" s="325">
        <f t="shared" si="28"/>
        <v>1217.6738268777408</v>
      </c>
      <c r="AE28" s="325">
        <f t="shared" si="28"/>
        <v>907.77252061202307</v>
      </c>
      <c r="AF28" s="329">
        <f t="shared" si="28"/>
        <v>925.90511936252733</v>
      </c>
      <c r="AG28" s="496"/>
      <c r="AH28" s="6"/>
      <c r="AI28" s="6"/>
      <c r="AJ28" s="6"/>
      <c r="AK28" s="10"/>
      <c r="AL28" s="10"/>
      <c r="AM28" s="10"/>
      <c r="AN28" s="10"/>
    </row>
    <row r="29" spans="1:40" ht="15">
      <c r="A29" s="1204"/>
      <c r="B29" s="881">
        <v>22</v>
      </c>
      <c r="C29" s="251" t="s">
        <v>494</v>
      </c>
      <c r="D29" s="302">
        <f>'Fin. Data'!D28</f>
        <v>-109</v>
      </c>
      <c r="E29" s="280">
        <f>'Fin. Data'!C28</f>
        <v>-2299</v>
      </c>
      <c r="F29" s="577">
        <f>'Fin. Data'!B28</f>
        <v>-1381</v>
      </c>
      <c r="G29" s="328">
        <f>-G17*$D$65</f>
        <v>-2319.6877241373832</v>
      </c>
      <c r="H29" s="325">
        <f>-H17*$D$65</f>
        <v>-2368.3433885929635</v>
      </c>
      <c r="I29" s="325">
        <f>-I17*$D$65</f>
        <v>-2446.0268091014577</v>
      </c>
      <c r="J29" s="422">
        <f>-J17*$D$65</f>
        <v>-2485.3302606439488</v>
      </c>
      <c r="K29" s="328">
        <f>-K17*$E$65</f>
        <v>-813.6021134890949</v>
      </c>
      <c r="L29" s="325">
        <f t="shared" ref="L29:AF29" si="29">-L17*$E$65</f>
        <v>-838.92555248973008</v>
      </c>
      <c r="M29" s="325">
        <f t="shared" si="29"/>
        <v>-859.8965474342175</v>
      </c>
      <c r="N29" s="325">
        <f t="shared" si="29"/>
        <v>-880.70885118565229</v>
      </c>
      <c r="O29" s="325">
        <f t="shared" si="29"/>
        <v>-899.19518588544474</v>
      </c>
      <c r="P29" s="325">
        <f t="shared" si="29"/>
        <v>-915.44035148816295</v>
      </c>
      <c r="Q29" s="325">
        <f t="shared" si="29"/>
        <v>-929.86963832195727</v>
      </c>
      <c r="R29" s="325">
        <f t="shared" si="29"/>
        <v>-941.93334437550402</v>
      </c>
      <c r="S29" s="325">
        <f t="shared" si="29"/>
        <v>-951.65340707704911</v>
      </c>
      <c r="T29" s="325">
        <f t="shared" si="29"/>
        <v>-959.03189716713825</v>
      </c>
      <c r="U29" s="325">
        <f t="shared" si="29"/>
        <v>-963.92843913046624</v>
      </c>
      <c r="V29" s="325">
        <f t="shared" si="29"/>
        <v>-968.97313915360326</v>
      </c>
      <c r="W29" s="325">
        <f t="shared" si="29"/>
        <v>-973.07467907965076</v>
      </c>
      <c r="X29" s="325">
        <f t="shared" si="29"/>
        <v>-977.14757945593976</v>
      </c>
      <c r="Y29" s="325">
        <f t="shared" si="29"/>
        <v>-981.14445360511309</v>
      </c>
      <c r="Z29" s="325">
        <f t="shared" si="29"/>
        <v>-985.0191466347851</v>
      </c>
      <c r="AA29" s="325">
        <f t="shared" si="29"/>
        <v>-988.79221368090157</v>
      </c>
      <c r="AB29" s="325">
        <f t="shared" si="29"/>
        <v>-992.44610719861339</v>
      </c>
      <c r="AC29" s="325">
        <f t="shared" si="29"/>
        <v>-995.96564193596498</v>
      </c>
      <c r="AD29" s="325">
        <f t="shared" si="29"/>
        <v>-1032.9937861613944</v>
      </c>
      <c r="AE29" s="325">
        <f t="shared" si="29"/>
        <v>-1055.9570546482953</v>
      </c>
      <c r="AF29" s="329">
        <f t="shared" si="29"/>
        <v>-1079.8747958602687</v>
      </c>
      <c r="AG29" s="496"/>
      <c r="AH29" s="6"/>
      <c r="AI29" s="6"/>
      <c r="AJ29" s="6"/>
      <c r="AK29" s="10"/>
      <c r="AL29" s="10"/>
      <c r="AM29" s="10"/>
      <c r="AN29" s="10"/>
    </row>
    <row r="30" spans="1:40" s="6" customFormat="1" ht="15">
      <c r="A30" s="1204"/>
      <c r="B30" s="881">
        <v>23</v>
      </c>
      <c r="C30" s="251" t="s">
        <v>495</v>
      </c>
      <c r="D30" s="281">
        <f>'Fin. Data'!D27</f>
        <v>-1646</v>
      </c>
      <c r="E30" s="280">
        <f>'Fin. Data'!C27</f>
        <v>-1718</v>
      </c>
      <c r="F30" s="575">
        <f>'Fin. Data'!B27</f>
        <v>-1761</v>
      </c>
      <c r="G30" s="328">
        <f>-$D$64*G17</f>
        <v>-2399.5153423642355</v>
      </c>
      <c r="H30" s="325">
        <f t="shared" ref="H30:J30" si="30">-$D$64*H17</f>
        <v>-2449.8453984917287</v>
      </c>
      <c r="I30" s="325">
        <f t="shared" si="30"/>
        <v>-2530.2021454011788</v>
      </c>
      <c r="J30" s="422">
        <f t="shared" si="30"/>
        <v>-2570.8581500878208</v>
      </c>
      <c r="K30" s="328">
        <f t="shared" ref="K30:AF30" si="31">-$E$64*K17</f>
        <v>-2440.8063404672844</v>
      </c>
      <c r="L30" s="325">
        <f t="shared" si="31"/>
        <v>-2516.77665746919</v>
      </c>
      <c r="M30" s="325">
        <f t="shared" si="31"/>
        <v>-2579.6896423026524</v>
      </c>
      <c r="N30" s="325">
        <f t="shared" si="31"/>
        <v>-2642.1265535569564</v>
      </c>
      <c r="O30" s="325">
        <f t="shared" si="31"/>
        <v>-2697.585557656334</v>
      </c>
      <c r="P30" s="325">
        <f t="shared" si="31"/>
        <v>-2746.3210544644885</v>
      </c>
      <c r="Q30" s="325">
        <f t="shared" si="31"/>
        <v>-2789.6089149658715</v>
      </c>
      <c r="R30" s="325">
        <f t="shared" si="31"/>
        <v>-2825.8000331265121</v>
      </c>
      <c r="S30" s="325">
        <f t="shared" si="31"/>
        <v>-2854.960221231147</v>
      </c>
      <c r="T30" s="325">
        <f t="shared" si="31"/>
        <v>-2877.0956915014144</v>
      </c>
      <c r="U30" s="325">
        <f t="shared" si="31"/>
        <v>-2891.7853173913986</v>
      </c>
      <c r="V30" s="325">
        <f t="shared" si="31"/>
        <v>-2906.9194174608097</v>
      </c>
      <c r="W30" s="325">
        <f t="shared" si="31"/>
        <v>-2919.224037238952</v>
      </c>
      <c r="X30" s="325">
        <f t="shared" si="31"/>
        <v>-2931.4427383678189</v>
      </c>
      <c r="Y30" s="325">
        <f t="shared" si="31"/>
        <v>-2943.4333608153393</v>
      </c>
      <c r="Z30" s="325">
        <f t="shared" si="31"/>
        <v>-2955.0574399043553</v>
      </c>
      <c r="AA30" s="325">
        <f t="shared" si="31"/>
        <v>-2966.3766410427043</v>
      </c>
      <c r="AB30" s="325">
        <f t="shared" si="31"/>
        <v>-2977.3383215958402</v>
      </c>
      <c r="AC30" s="325">
        <f t="shared" si="31"/>
        <v>-2987.8969258078946</v>
      </c>
      <c r="AD30" s="325">
        <f t="shared" si="31"/>
        <v>-3098.9813584841831</v>
      </c>
      <c r="AE30" s="325">
        <f t="shared" si="31"/>
        <v>-3167.8711639448852</v>
      </c>
      <c r="AF30" s="329">
        <f t="shared" si="31"/>
        <v>-3239.6243875808054</v>
      </c>
      <c r="AG30" s="496"/>
      <c r="AK30" s="10"/>
      <c r="AL30" s="10"/>
      <c r="AM30" s="10"/>
      <c r="AN30" s="10"/>
    </row>
    <row r="31" spans="1:40" s="3" customFormat="1" ht="15">
      <c r="A31" s="1204"/>
      <c r="B31" s="232">
        <v>24</v>
      </c>
      <c r="C31" s="251" t="s">
        <v>496</v>
      </c>
      <c r="D31" s="366">
        <f>Inputs!D75</f>
        <v>-823</v>
      </c>
      <c r="E31" s="365">
        <f>Inputs!C75</f>
        <v>16</v>
      </c>
      <c r="F31" s="578">
        <f>Inputs!B75</f>
        <v>-155</v>
      </c>
      <c r="G31" s="328">
        <f>(1+G5)*AVERAGE(D31:F31)</f>
        <v>-334.07694666666669</v>
      </c>
      <c r="H31" s="325">
        <f t="shared" ref="H31:AF31" si="32">(1+H5)*AVERAGE(E31:G31)</f>
        <v>-164.2870081920889</v>
      </c>
      <c r="I31" s="325">
        <f t="shared" si="32"/>
        <v>-226.89587848364965</v>
      </c>
      <c r="J31" s="422">
        <f t="shared" si="32"/>
        <v>-251.86339985759489</v>
      </c>
      <c r="K31" s="469">
        <f t="shared" si="32"/>
        <v>-223.31282741205251</v>
      </c>
      <c r="L31" s="470">
        <f t="shared" si="32"/>
        <v>-243.81092040529992</v>
      </c>
      <c r="M31" s="470">
        <f t="shared" si="32"/>
        <v>-249.4358145190439</v>
      </c>
      <c r="N31" s="470">
        <f t="shared" si="32"/>
        <v>-247.99648746087789</v>
      </c>
      <c r="O31" s="470">
        <f t="shared" si="32"/>
        <v>-255.92163496072172</v>
      </c>
      <c r="P31" s="470">
        <f t="shared" si="32"/>
        <v>-259.47518532067602</v>
      </c>
      <c r="Q31" s="470">
        <f t="shared" si="32"/>
        <v>-262.29685125152764</v>
      </c>
      <c r="R31" s="470">
        <f t="shared" si="32"/>
        <v>-266.56228285462549</v>
      </c>
      <c r="S31" s="470">
        <f t="shared" si="32"/>
        <v>-269.55252606055097</v>
      </c>
      <c r="T31" s="470">
        <f t="shared" si="32"/>
        <v>-272.33289453846157</v>
      </c>
      <c r="U31" s="470">
        <f t="shared" si="32"/>
        <v>-275.08241557713484</v>
      </c>
      <c r="V31" s="470">
        <f t="shared" si="32"/>
        <v>-277.98692238953709</v>
      </c>
      <c r="W31" s="470">
        <f t="shared" si="32"/>
        <v>-280.6367590517454</v>
      </c>
      <c r="X31" s="470">
        <f t="shared" si="32"/>
        <v>-283.46007298626188</v>
      </c>
      <c r="Y31" s="470">
        <f t="shared" si="32"/>
        <v>-286.30847650536509</v>
      </c>
      <c r="Z31" s="470">
        <f t="shared" si="32"/>
        <v>-289.13780490474659</v>
      </c>
      <c r="AA31" s="470">
        <f t="shared" si="32"/>
        <v>-292.02816049476706</v>
      </c>
      <c r="AB31" s="470">
        <f t="shared" si="32"/>
        <v>-294.94131024765875</v>
      </c>
      <c r="AC31" s="470">
        <f t="shared" si="32"/>
        <v>-297.87647372003858</v>
      </c>
      <c r="AD31" s="470">
        <f t="shared" si="32"/>
        <v>-300.84762111723791</v>
      </c>
      <c r="AE31" s="470">
        <f t="shared" si="32"/>
        <v>-303.84623772887795</v>
      </c>
      <c r="AF31" s="471">
        <f t="shared" si="32"/>
        <v>-306.87391307249248</v>
      </c>
      <c r="AG31" s="496"/>
      <c r="AH31" s="514"/>
      <c r="AI31" s="514"/>
      <c r="AJ31" s="514"/>
      <c r="AK31" s="512"/>
      <c r="AL31" s="512"/>
      <c r="AM31" s="512"/>
      <c r="AN31" s="512"/>
    </row>
    <row r="32" spans="1:40" s="6" customFormat="1" ht="16.5" customHeight="1" thickBot="1">
      <c r="A32" s="1204"/>
      <c r="B32" s="233">
        <v>25</v>
      </c>
      <c r="C32" s="261" t="s">
        <v>497</v>
      </c>
      <c r="D32" s="416">
        <f t="shared" ref="D32:AF32" si="33">D27+D28+D29+D30+D31</f>
        <v>-2794</v>
      </c>
      <c r="E32" s="417">
        <f t="shared" si="33"/>
        <v>-3259</v>
      </c>
      <c r="F32" s="579">
        <f t="shared" si="33"/>
        <v>-2408</v>
      </c>
      <c r="G32" s="416">
        <f>G27+G28+G29+G30+G31</f>
        <v>-1562.3835206316944</v>
      </c>
      <c r="H32" s="417">
        <f t="shared" si="33"/>
        <v>-3886.1801283202672</v>
      </c>
      <c r="I32" s="417">
        <f t="shared" si="33"/>
        <v>-4061.0327160328484</v>
      </c>
      <c r="J32" s="418">
        <f t="shared" si="33"/>
        <v>-4118.2483348454443</v>
      </c>
      <c r="K32" s="416">
        <f t="shared" si="33"/>
        <v>-5140.0269802373887</v>
      </c>
      <c r="L32" s="417">
        <f t="shared" si="33"/>
        <v>-2819.0755227248637</v>
      </c>
      <c r="M32" s="417">
        <f t="shared" si="33"/>
        <v>-2907.9390505907377</v>
      </c>
      <c r="N32" s="417">
        <f t="shared" si="33"/>
        <v>-3019.4281631027384</v>
      </c>
      <c r="O32" s="417">
        <f t="shared" si="33"/>
        <v>-3134.8797854261934</v>
      </c>
      <c r="P32" s="417">
        <f t="shared" si="33"/>
        <v>-3240.7087351715036</v>
      </c>
      <c r="Q32" s="417">
        <f t="shared" si="33"/>
        <v>-3342.0240008317273</v>
      </c>
      <c r="R32" s="417">
        <f t="shared" si="33"/>
        <v>-3438.5289412105012</v>
      </c>
      <c r="S32" s="417">
        <f t="shared" si="33"/>
        <v>-3527.2799643434255</v>
      </c>
      <c r="T32" s="417">
        <f t="shared" si="33"/>
        <v>-3609.002754655226</v>
      </c>
      <c r="U32" s="417">
        <f t="shared" si="33"/>
        <v>-3682.9354216407237</v>
      </c>
      <c r="V32" s="417">
        <f t="shared" si="33"/>
        <v>-3704.059897845018</v>
      </c>
      <c r="W32" s="417">
        <f t="shared" si="33"/>
        <v>-3739.3371118719547</v>
      </c>
      <c r="X32" s="417">
        <f t="shared" si="33"/>
        <v>-3757.5824198771793</v>
      </c>
      <c r="Y32" s="417">
        <f t="shared" si="33"/>
        <v>-3775.6870674675888</v>
      </c>
      <c r="Z32" s="417">
        <f t="shared" si="33"/>
        <v>-3793.4281505478043</v>
      </c>
      <c r="AA32" s="417">
        <f t="shared" si="33"/>
        <v>-3810.9740520040996</v>
      </c>
      <c r="AB32" s="417">
        <f t="shared" si="33"/>
        <v>-3828.2225933570421</v>
      </c>
      <c r="AC32" s="417">
        <f t="shared" si="33"/>
        <v>-3845.1186875425742</v>
      </c>
      <c r="AD32" s="417">
        <f t="shared" si="33"/>
        <v>-3215.1489388850746</v>
      </c>
      <c r="AE32" s="417">
        <f t="shared" si="33"/>
        <v>-3619.9019357100351</v>
      </c>
      <c r="AF32" s="579">
        <f t="shared" si="33"/>
        <v>-3700.4679771510391</v>
      </c>
      <c r="AG32" s="496"/>
      <c r="AK32" s="10"/>
      <c r="AL32" s="10"/>
      <c r="AM32" s="10"/>
      <c r="AN32" s="10"/>
    </row>
    <row r="33" spans="1:40" ht="13.5" thickBot="1">
      <c r="A33" s="1192">
        <v>7</v>
      </c>
      <c r="B33" s="1193"/>
      <c r="C33" s="1193"/>
      <c r="D33" s="1193"/>
      <c r="E33" s="1193"/>
      <c r="F33" s="1193"/>
      <c r="G33" s="1193"/>
      <c r="H33" s="1193"/>
      <c r="I33" s="1193"/>
      <c r="J33" s="1193"/>
      <c r="K33" s="1193"/>
      <c r="L33" s="1193"/>
      <c r="M33" s="1193"/>
      <c r="N33" s="1193"/>
      <c r="O33" s="1193"/>
      <c r="P33" s="1193"/>
      <c r="Q33" s="1193"/>
      <c r="R33" s="1193"/>
      <c r="S33" s="1193"/>
      <c r="T33" s="1193"/>
      <c r="U33" s="1193"/>
      <c r="V33" s="1193"/>
      <c r="W33" s="1193"/>
      <c r="X33" s="1193"/>
      <c r="Y33" s="1193"/>
      <c r="Z33" s="1193"/>
      <c r="AA33" s="1193"/>
      <c r="AB33" s="1193"/>
      <c r="AC33" s="1193"/>
      <c r="AD33" s="1193"/>
      <c r="AE33" s="1193"/>
      <c r="AF33" s="1194"/>
      <c r="AG33" s="6"/>
      <c r="AH33" s="6"/>
      <c r="AI33" s="6"/>
      <c r="AJ33" s="6"/>
      <c r="AK33" s="10"/>
      <c r="AL33" s="10"/>
      <c r="AM33" s="10"/>
      <c r="AN33" s="10"/>
    </row>
    <row r="34" spans="1:40" ht="15">
      <c r="A34" s="1218" t="s">
        <v>498</v>
      </c>
      <c r="B34" s="232">
        <v>26</v>
      </c>
      <c r="C34" s="236" t="s">
        <v>499</v>
      </c>
      <c r="D34" s="796">
        <f>D22+D26+D27+D28+D31</f>
        <v>1524</v>
      </c>
      <c r="E34" s="800">
        <f>E22+E26+E27+E28+E31</f>
        <v>3352</v>
      </c>
      <c r="F34" s="802">
        <f>F22+F26+F27+F28+F31</f>
        <v>2561</v>
      </c>
      <c r="G34" s="580">
        <f t="shared" ref="G34:AF34" si="34">G22+G26+G27+G28+G31</f>
        <v>5490.4204771445029</v>
      </c>
      <c r="H34" s="414">
        <f t="shared" si="34"/>
        <v>3425.909343553622</v>
      </c>
      <c r="I34" s="414">
        <f t="shared" si="34"/>
        <v>3607.8993494403126</v>
      </c>
      <c r="J34" s="415">
        <f t="shared" si="34"/>
        <v>3667.6045408179948</v>
      </c>
      <c r="K34" s="449">
        <f t="shared" si="34"/>
        <v>1381.2363165783001</v>
      </c>
      <c r="L34" s="414">
        <f t="shared" si="34"/>
        <v>3945.583681105325</v>
      </c>
      <c r="M34" s="414">
        <f t="shared" si="34"/>
        <v>4049.1156625559711</v>
      </c>
      <c r="N34" s="414">
        <f t="shared" si="34"/>
        <v>4153.5794721995571</v>
      </c>
      <c r="O34" s="414">
        <f t="shared" si="34"/>
        <v>4234.3167192538058</v>
      </c>
      <c r="P34" s="414">
        <f t="shared" si="34"/>
        <v>4308.796636537938</v>
      </c>
      <c r="Q34" s="414">
        <f t="shared" si="34"/>
        <v>4381.0538244378822</v>
      </c>
      <c r="R34" s="414">
        <f t="shared" si="34"/>
        <v>4442.3843232994222</v>
      </c>
      <c r="S34" s="414">
        <f t="shared" si="34"/>
        <v>4497.3600609180658</v>
      </c>
      <c r="T34" s="414">
        <f t="shared" si="34"/>
        <v>4546.1092208213422</v>
      </c>
      <c r="U34" s="414">
        <f t="shared" si="34"/>
        <v>4587.4276250764551</v>
      </c>
      <c r="V34" s="414">
        <f t="shared" si="34"/>
        <v>4675.7339206604574</v>
      </c>
      <c r="W34" s="414">
        <f t="shared" si="34"/>
        <v>4747.4602967356477</v>
      </c>
      <c r="X34" s="414">
        <f t="shared" si="34"/>
        <v>4834.4044460008436</v>
      </c>
      <c r="Y34" s="414">
        <f t="shared" si="34"/>
        <v>4922.20135162938</v>
      </c>
      <c r="Z34" s="414">
        <f t="shared" si="34"/>
        <v>5010.5460093846496</v>
      </c>
      <c r="AA34" s="414">
        <f t="shared" si="34"/>
        <v>5099.5760119871093</v>
      </c>
      <c r="AB34" s="414">
        <f t="shared" si="34"/>
        <v>5189.246311673729</v>
      </c>
      <c r="AC34" s="414">
        <f t="shared" si="34"/>
        <v>5279.4823775888235</v>
      </c>
      <c r="AD34" s="414">
        <f t="shared" si="34"/>
        <v>6319.6320314673458</v>
      </c>
      <c r="AE34" s="414">
        <f t="shared" si="34"/>
        <v>6199.9681294243692</v>
      </c>
      <c r="AF34" s="415">
        <f t="shared" si="34"/>
        <v>6414.6014484027173</v>
      </c>
      <c r="AG34" s="496"/>
      <c r="AH34" s="6"/>
      <c r="AI34" s="6"/>
      <c r="AJ34" s="6"/>
      <c r="AK34" s="10"/>
      <c r="AL34" s="10"/>
      <c r="AM34" s="10"/>
      <c r="AN34" s="10"/>
    </row>
    <row r="35" spans="1:40" s="3" customFormat="1" ht="15">
      <c r="A35" s="1218"/>
      <c r="B35" s="232">
        <v>27</v>
      </c>
      <c r="C35" s="236" t="s">
        <v>500</v>
      </c>
      <c r="D35" s="347">
        <f>-1*(D29+D30)</f>
        <v>1755</v>
      </c>
      <c r="E35" s="344">
        <f>-1*(E29+E30)</f>
        <v>4017</v>
      </c>
      <c r="F35" s="349">
        <f>-1*(F29+F30)</f>
        <v>3142</v>
      </c>
      <c r="G35" s="357">
        <f t="shared" ref="G35:AF35" si="35">-1*(G29+G30)</f>
        <v>4719.2030665016191</v>
      </c>
      <c r="H35" s="303">
        <f t="shared" si="35"/>
        <v>4818.1887870846922</v>
      </c>
      <c r="I35" s="303">
        <f t="shared" si="35"/>
        <v>4976.228954502636</v>
      </c>
      <c r="J35" s="358">
        <f t="shared" si="35"/>
        <v>5056.1884107317692</v>
      </c>
      <c r="K35" s="303">
        <f t="shared" si="35"/>
        <v>3254.4084539563792</v>
      </c>
      <c r="L35" s="303">
        <f t="shared" si="35"/>
        <v>3355.7022099589203</v>
      </c>
      <c r="M35" s="303">
        <f t="shared" si="35"/>
        <v>3439.58618973687</v>
      </c>
      <c r="N35" s="303">
        <f t="shared" si="35"/>
        <v>3522.8354047426087</v>
      </c>
      <c r="O35" s="303">
        <f t="shared" si="35"/>
        <v>3596.780743541779</v>
      </c>
      <c r="P35" s="303">
        <f t="shared" si="35"/>
        <v>3661.7614059526513</v>
      </c>
      <c r="Q35" s="303">
        <f t="shared" si="35"/>
        <v>3719.4785532878286</v>
      </c>
      <c r="R35" s="303">
        <f t="shared" si="35"/>
        <v>3767.7333775020161</v>
      </c>
      <c r="S35" s="303">
        <f t="shared" si="35"/>
        <v>3806.613628308196</v>
      </c>
      <c r="T35" s="303">
        <f t="shared" si="35"/>
        <v>3836.1275886685526</v>
      </c>
      <c r="U35" s="303">
        <f t="shared" si="35"/>
        <v>3855.713756521865</v>
      </c>
      <c r="V35" s="303">
        <f t="shared" si="35"/>
        <v>3875.892556614413</v>
      </c>
      <c r="W35" s="303">
        <f t="shared" si="35"/>
        <v>3892.2987163186026</v>
      </c>
      <c r="X35" s="303">
        <f t="shared" si="35"/>
        <v>3908.5903178237586</v>
      </c>
      <c r="Y35" s="303">
        <f t="shared" si="35"/>
        <v>3924.5778144204523</v>
      </c>
      <c r="Z35" s="303">
        <f t="shared" si="35"/>
        <v>3940.0765865391404</v>
      </c>
      <c r="AA35" s="303">
        <f t="shared" si="35"/>
        <v>3955.1688547236058</v>
      </c>
      <c r="AB35" s="303">
        <f t="shared" si="35"/>
        <v>3969.7844287944536</v>
      </c>
      <c r="AC35" s="303">
        <f t="shared" si="35"/>
        <v>3983.8625677438595</v>
      </c>
      <c r="AD35" s="303">
        <f t="shared" si="35"/>
        <v>4131.9751446455775</v>
      </c>
      <c r="AE35" s="303">
        <f t="shared" si="35"/>
        <v>4223.8282185931803</v>
      </c>
      <c r="AF35" s="358">
        <f t="shared" si="35"/>
        <v>4319.4991834410739</v>
      </c>
      <c r="AG35" s="496"/>
      <c r="AH35" s="514"/>
      <c r="AI35" s="514"/>
      <c r="AJ35" s="514"/>
      <c r="AK35" s="512"/>
      <c r="AL35" s="512"/>
      <c r="AM35" s="512"/>
      <c r="AN35" s="512"/>
    </row>
    <row r="36" spans="1:40" s="6" customFormat="1" ht="15.75" thickBot="1">
      <c r="A36" s="1218"/>
      <c r="B36" s="233">
        <v>28</v>
      </c>
      <c r="C36" s="231" t="s">
        <v>501</v>
      </c>
      <c r="D36" s="398">
        <f>D34-D35</f>
        <v>-231</v>
      </c>
      <c r="E36" s="399">
        <f>E34-E35</f>
        <v>-665</v>
      </c>
      <c r="F36" s="350">
        <f>F34-F35</f>
        <v>-581</v>
      </c>
      <c r="G36" s="359">
        <f>G34-G35</f>
        <v>771.21741064288381</v>
      </c>
      <c r="H36" s="360">
        <f>H34-H35</f>
        <v>-1392.2794435310702</v>
      </c>
      <c r="I36" s="360">
        <f t="shared" ref="I36:AF36" si="36">I34-I35</f>
        <v>-1368.3296050623235</v>
      </c>
      <c r="J36" s="361">
        <f t="shared" si="36"/>
        <v>-1388.5838699137744</v>
      </c>
      <c r="K36" s="360">
        <f t="shared" si="36"/>
        <v>-1873.172137378079</v>
      </c>
      <c r="L36" s="360">
        <f t="shared" si="36"/>
        <v>589.88147114640469</v>
      </c>
      <c r="M36" s="360">
        <f t="shared" si="36"/>
        <v>609.5294728191011</v>
      </c>
      <c r="N36" s="360">
        <f t="shared" si="36"/>
        <v>630.74406745694841</v>
      </c>
      <c r="O36" s="360">
        <f t="shared" si="36"/>
        <v>637.53597571202681</v>
      </c>
      <c r="P36" s="360">
        <f t="shared" si="36"/>
        <v>647.03523058528663</v>
      </c>
      <c r="Q36" s="360">
        <f t="shared" si="36"/>
        <v>661.5752711500536</v>
      </c>
      <c r="R36" s="360">
        <f t="shared" si="36"/>
        <v>674.65094579740617</v>
      </c>
      <c r="S36" s="360">
        <f t="shared" si="36"/>
        <v>690.74643260986977</v>
      </c>
      <c r="T36" s="360">
        <f t="shared" si="36"/>
        <v>709.98163215278964</v>
      </c>
      <c r="U36" s="360">
        <f t="shared" si="36"/>
        <v>731.71386855459014</v>
      </c>
      <c r="V36" s="360">
        <f t="shared" si="36"/>
        <v>799.84136404604442</v>
      </c>
      <c r="W36" s="360">
        <f t="shared" si="36"/>
        <v>855.16158041704512</v>
      </c>
      <c r="X36" s="360">
        <f t="shared" si="36"/>
        <v>925.81412817708497</v>
      </c>
      <c r="Y36" s="360">
        <f t="shared" si="36"/>
        <v>997.6235372089277</v>
      </c>
      <c r="Z36" s="360">
        <f t="shared" si="36"/>
        <v>1070.4694228455091</v>
      </c>
      <c r="AA36" s="360">
        <f t="shared" si="36"/>
        <v>1144.4071572635034</v>
      </c>
      <c r="AB36" s="360">
        <f t="shared" si="36"/>
        <v>1219.4618828792754</v>
      </c>
      <c r="AC36" s="360">
        <f t="shared" si="36"/>
        <v>1295.619809844964</v>
      </c>
      <c r="AD36" s="360">
        <f t="shared" si="36"/>
        <v>2187.6568868217682</v>
      </c>
      <c r="AE36" s="360">
        <f t="shared" si="36"/>
        <v>1976.1399108311889</v>
      </c>
      <c r="AF36" s="361">
        <f t="shared" si="36"/>
        <v>2095.1022649616434</v>
      </c>
      <c r="AG36" s="496"/>
      <c r="AK36" s="10"/>
      <c r="AL36" s="10"/>
      <c r="AM36" s="10"/>
      <c r="AN36" s="10"/>
    </row>
    <row r="37" spans="1:40" ht="15.75" thickBot="1">
      <c r="A37" s="242"/>
      <c r="B37" s="240"/>
      <c r="C37" s="241"/>
      <c r="D37" s="419"/>
      <c r="E37" s="419"/>
      <c r="F37" s="419"/>
      <c r="G37" s="419"/>
      <c r="H37" s="419"/>
      <c r="I37" s="419"/>
      <c r="J37" s="419"/>
      <c r="K37" s="419"/>
      <c r="L37" s="419"/>
      <c r="M37" s="419"/>
      <c r="N37" s="419"/>
      <c r="O37" s="419"/>
      <c r="P37" s="419"/>
      <c r="Q37" s="419"/>
      <c r="R37" s="419"/>
      <c r="S37" s="419"/>
      <c r="T37" s="419"/>
      <c r="U37" s="419"/>
      <c r="V37" s="419"/>
      <c r="W37" s="419"/>
      <c r="X37" s="419"/>
      <c r="Y37" s="419"/>
      <c r="Z37" s="419"/>
      <c r="AA37" s="419"/>
      <c r="AB37" s="419"/>
      <c r="AC37" s="419"/>
      <c r="AD37" s="419"/>
      <c r="AE37" s="419"/>
      <c r="AF37" s="420"/>
      <c r="AG37" s="496"/>
      <c r="AH37" s="6"/>
      <c r="AI37" s="6"/>
      <c r="AJ37" s="6"/>
      <c r="AK37" s="10"/>
      <c r="AL37" s="10"/>
      <c r="AM37" s="10"/>
      <c r="AN37" s="10"/>
    </row>
    <row r="38" spans="1:40" ht="15">
      <c r="A38" s="1219" t="s">
        <v>502</v>
      </c>
      <c r="B38" s="234">
        <v>29</v>
      </c>
      <c r="C38" s="236" t="s">
        <v>503</v>
      </c>
      <c r="D38" s="345">
        <v>11346</v>
      </c>
      <c r="E38" s="346">
        <v>11902</v>
      </c>
      <c r="F38" s="348">
        <v>11512</v>
      </c>
      <c r="G38" s="352">
        <f>+F38+(-G10)</f>
        <v>11579.9208</v>
      </c>
      <c r="H38" s="353">
        <f t="shared" ref="H38:AF38" si="37">+G38+(-H10)</f>
        <v>11648.242332719999</v>
      </c>
      <c r="I38" s="353">
        <f t="shared" si="37"/>
        <v>11716.966962483048</v>
      </c>
      <c r="J38" s="354">
        <f t="shared" si="37"/>
        <v>11786.097067561697</v>
      </c>
      <c r="K38" s="450">
        <f t="shared" si="37"/>
        <v>11859.170869380579</v>
      </c>
      <c r="L38" s="353">
        <f t="shared" si="37"/>
        <v>11932.69772877074</v>
      </c>
      <c r="M38" s="353">
        <f t="shared" si="37"/>
        <v>12006.680454689118</v>
      </c>
      <c r="N38" s="353">
        <f t="shared" si="37"/>
        <v>12081.121873508191</v>
      </c>
      <c r="O38" s="353">
        <f t="shared" si="37"/>
        <v>12156.024829123942</v>
      </c>
      <c r="P38" s="353">
        <f t="shared" si="37"/>
        <v>12231.39218306451</v>
      </c>
      <c r="Q38" s="353">
        <f t="shared" si="37"/>
        <v>12307.226814599509</v>
      </c>
      <c r="R38" s="353">
        <f t="shared" si="37"/>
        <v>12383.531620850026</v>
      </c>
      <c r="S38" s="353">
        <f t="shared" si="37"/>
        <v>12460.309516899297</v>
      </c>
      <c r="T38" s="353">
        <f t="shared" si="37"/>
        <v>12537.563435904072</v>
      </c>
      <c r="U38" s="353">
        <f t="shared" si="37"/>
        <v>12615.296329206678</v>
      </c>
      <c r="V38" s="353">
        <f t="shared" si="37"/>
        <v>12693.511166447759</v>
      </c>
      <c r="W38" s="353">
        <f t="shared" si="37"/>
        <v>12772.210935679735</v>
      </c>
      <c r="X38" s="353">
        <f t="shared" si="37"/>
        <v>12851.39864348095</v>
      </c>
      <c r="Y38" s="353">
        <f t="shared" si="37"/>
        <v>12931.077315070532</v>
      </c>
      <c r="Z38" s="353">
        <f t="shared" si="37"/>
        <v>13011.24999442397</v>
      </c>
      <c r="AA38" s="353">
        <f t="shared" si="37"/>
        <v>13091.919744389399</v>
      </c>
      <c r="AB38" s="353">
        <f t="shared" si="37"/>
        <v>13173.089646804614</v>
      </c>
      <c r="AC38" s="353">
        <f t="shared" si="37"/>
        <v>13254.762802614803</v>
      </c>
      <c r="AD38" s="353">
        <f t="shared" si="37"/>
        <v>13336.942331991015</v>
      </c>
      <c r="AE38" s="353">
        <f t="shared" si="37"/>
        <v>13419.631374449358</v>
      </c>
      <c r="AF38" s="354">
        <f t="shared" si="37"/>
        <v>13502.833088970945</v>
      </c>
      <c r="AG38" s="497">
        <f>SUM(G38:AF38)</f>
        <v>325340.86986308452</v>
      </c>
      <c r="AH38" s="6"/>
      <c r="AI38" s="6"/>
      <c r="AJ38" s="6"/>
      <c r="AK38" s="10"/>
      <c r="AL38" s="10"/>
      <c r="AM38" s="10"/>
      <c r="AN38" s="10"/>
    </row>
    <row r="39" spans="1:40" ht="15">
      <c r="A39" s="1218"/>
      <c r="B39" s="234">
        <v>30</v>
      </c>
      <c r="C39" s="236" t="s">
        <v>504</v>
      </c>
      <c r="D39" s="347">
        <v>1731</v>
      </c>
      <c r="E39" s="344">
        <v>2464</v>
      </c>
      <c r="F39" s="349"/>
      <c r="G39" s="355">
        <f>F39-G10</f>
        <v>67.9208</v>
      </c>
      <c r="H39" s="351">
        <f t="shared" ref="H39:AF39" si="38">G39-H10</f>
        <v>136.24233271999998</v>
      </c>
      <c r="I39" s="351">
        <f t="shared" si="38"/>
        <v>204.96696248304798</v>
      </c>
      <c r="J39" s="356">
        <f t="shared" si="38"/>
        <v>274.09706756169794</v>
      </c>
      <c r="K39" s="451">
        <f t="shared" si="38"/>
        <v>347.17086938058048</v>
      </c>
      <c r="L39" s="351">
        <f t="shared" si="38"/>
        <v>420.69772877074007</v>
      </c>
      <c r="M39" s="351">
        <f t="shared" si="38"/>
        <v>494.68045468911862</v>
      </c>
      <c r="N39" s="351">
        <f t="shared" si="38"/>
        <v>569.12187350819113</v>
      </c>
      <c r="O39" s="351">
        <f t="shared" si="38"/>
        <v>644.02482912394191</v>
      </c>
      <c r="P39" s="351">
        <f t="shared" si="38"/>
        <v>719.39218306451039</v>
      </c>
      <c r="Q39" s="351">
        <f t="shared" si="38"/>
        <v>795.22681459951036</v>
      </c>
      <c r="R39" s="351">
        <f t="shared" si="38"/>
        <v>871.53162085002737</v>
      </c>
      <c r="S39" s="351">
        <f t="shared" si="38"/>
        <v>948.30951689929748</v>
      </c>
      <c r="T39" s="351">
        <f t="shared" si="38"/>
        <v>1025.5634359040732</v>
      </c>
      <c r="U39" s="351">
        <f t="shared" si="38"/>
        <v>1103.2963292066784</v>
      </c>
      <c r="V39" s="351">
        <f t="shared" si="38"/>
        <v>1181.5111664477597</v>
      </c>
      <c r="W39" s="351">
        <f t="shared" si="38"/>
        <v>1260.2109356797357</v>
      </c>
      <c r="X39" s="351">
        <f t="shared" si="38"/>
        <v>1339.3986434809501</v>
      </c>
      <c r="Y39" s="351">
        <f t="shared" si="38"/>
        <v>1419.077315070532</v>
      </c>
      <c r="Z39" s="351">
        <f t="shared" si="38"/>
        <v>1499.2499944239694</v>
      </c>
      <c r="AA39" s="351">
        <f t="shared" si="38"/>
        <v>1579.9197443893979</v>
      </c>
      <c r="AB39" s="351">
        <f t="shared" si="38"/>
        <v>1661.0896468046121</v>
      </c>
      <c r="AC39" s="351">
        <f t="shared" si="38"/>
        <v>1742.7628026148006</v>
      </c>
      <c r="AD39" s="351">
        <f t="shared" si="38"/>
        <v>1824.9423319910125</v>
      </c>
      <c r="AE39" s="351">
        <f t="shared" si="38"/>
        <v>1907.6313744493568</v>
      </c>
      <c r="AF39" s="356">
        <f t="shared" si="38"/>
        <v>1990.8330889709428</v>
      </c>
      <c r="AG39" s="497">
        <f>SUM(G39:AF39)</f>
        <v>26028.869863084485</v>
      </c>
      <c r="AH39" s="6"/>
      <c r="AI39" s="6"/>
      <c r="AJ39" s="6"/>
      <c r="AK39" s="10"/>
      <c r="AL39" s="10"/>
      <c r="AM39" s="10"/>
      <c r="AN39" s="10"/>
    </row>
    <row r="40" spans="1:40" ht="15">
      <c r="A40" s="1218"/>
      <c r="B40" s="234">
        <v>31</v>
      </c>
      <c r="C40" s="236" t="s">
        <v>505</v>
      </c>
      <c r="D40" s="347">
        <v>9544</v>
      </c>
      <c r="E40" s="344">
        <v>9725</v>
      </c>
      <c r="F40" s="349">
        <v>6142</v>
      </c>
      <c r="G40" s="355">
        <f>F40+(-G23)</f>
        <v>7300.8632679000002</v>
      </c>
      <c r="H40" s="351">
        <f t="shared" ref="H40:AF40" si="39">G40+(-H23)</f>
        <v>8508.1901976635781</v>
      </c>
      <c r="I40" s="351">
        <f t="shared" si="39"/>
        <v>9766.0075396298689</v>
      </c>
      <c r="J40" s="356">
        <f t="shared" si="39"/>
        <v>11076.42680283719</v>
      </c>
      <c r="K40" s="451">
        <f t="shared" si="39"/>
        <v>12340.093426705271</v>
      </c>
      <c r="L40" s="351">
        <f t="shared" si="39"/>
        <v>13656.606588783514</v>
      </c>
      <c r="M40" s="351">
        <f t="shared" si="39"/>
        <v>15026.807157611307</v>
      </c>
      <c r="N40" s="351">
        <f t="shared" si="39"/>
        <v>16449.45900421383</v>
      </c>
      <c r="O40" s="351">
        <f t="shared" si="39"/>
        <v>17923.013333887789</v>
      </c>
      <c r="P40" s="351">
        <f t="shared" si="39"/>
        <v>19445.607551653298</v>
      </c>
      <c r="Q40" s="351">
        <f t="shared" si="39"/>
        <v>21015.067219441629</v>
      </c>
      <c r="R40" s="351">
        <f t="shared" si="39"/>
        <v>22628.911206635017</v>
      </c>
      <c r="S40" s="351">
        <f t="shared" si="39"/>
        <v>24284.360091818249</v>
      </c>
      <c r="T40" s="351">
        <f t="shared" si="39"/>
        <v>25978.347827048547</v>
      </c>
      <c r="U40" s="351">
        <f t="shared" si="39"/>
        <v>27707.536627416932</v>
      </c>
      <c r="V40" s="351">
        <f t="shared" si="39"/>
        <v>29472.692554832978</v>
      </c>
      <c r="W40" s="351">
        <f t="shared" si="39"/>
        <v>31273.151600797344</v>
      </c>
      <c r="X40" s="351">
        <f t="shared" si="39"/>
        <v>33109.619827680996</v>
      </c>
      <c r="Y40" s="351">
        <f t="shared" si="39"/>
        <v>34982.817419102321</v>
      </c>
      <c r="Z40" s="351">
        <f t="shared" si="39"/>
        <v>36893.478962352077</v>
      </c>
      <c r="AA40" s="351">
        <f t="shared" si="39"/>
        <v>38842.35373646683</v>
      </c>
      <c r="AB40" s="351">
        <f t="shared" si="39"/>
        <v>40830.206006063876</v>
      </c>
      <c r="AC40" s="351">
        <f t="shared" si="39"/>
        <v>42857.815321052862</v>
      </c>
      <c r="AD40" s="351">
        <f t="shared" si="39"/>
        <v>44925.976822341625</v>
      </c>
      <c r="AE40" s="351">
        <f t="shared" si="39"/>
        <v>47035.501553656162</v>
      </c>
      <c r="AF40" s="356">
        <f t="shared" si="39"/>
        <v>49187.216779596994</v>
      </c>
      <c r="AG40" s="497">
        <f>SUM(G40:AF40)</f>
        <v>682518.12842719024</v>
      </c>
      <c r="AH40" s="6"/>
      <c r="AI40" s="6"/>
      <c r="AJ40" s="6"/>
      <c r="AK40" s="10"/>
      <c r="AL40" s="10"/>
      <c r="AM40" s="10"/>
      <c r="AN40" s="10"/>
    </row>
    <row r="41" spans="1:40" ht="15">
      <c r="A41" s="1218"/>
      <c r="B41" s="235">
        <v>32</v>
      </c>
      <c r="C41" s="231" t="s">
        <v>506</v>
      </c>
      <c r="D41" s="581">
        <v>3602</v>
      </c>
      <c r="E41" s="582">
        <v>3427</v>
      </c>
      <c r="F41" s="583"/>
      <c r="G41" s="584">
        <f>F41-G9</f>
        <v>531.28300000000002</v>
      </c>
      <c r="H41" s="585">
        <f t="shared" ref="H41:AF41" si="40">G41-H9</f>
        <v>1162.80767267335</v>
      </c>
      <c r="I41" s="585">
        <f t="shared" si="40"/>
        <v>1898.7661247712495</v>
      </c>
      <c r="J41" s="586">
        <f t="shared" si="40"/>
        <v>2743.5257769492332</v>
      </c>
      <c r="K41" s="587">
        <f t="shared" si="40"/>
        <v>3463.4935191336508</v>
      </c>
      <c r="L41" s="585">
        <f t="shared" si="40"/>
        <v>4265.5995918694935</v>
      </c>
      <c r="M41" s="585">
        <f t="shared" si="40"/>
        <v>5153.2790201404223</v>
      </c>
      <c r="N41" s="585">
        <f t="shared" si="40"/>
        <v>6130.0214853851576</v>
      </c>
      <c r="O41" s="585">
        <f t="shared" si="40"/>
        <v>7199.2363206590562</v>
      </c>
      <c r="P41" s="585">
        <f t="shared" si="40"/>
        <v>8364.232187361762</v>
      </c>
      <c r="Q41" s="585">
        <f t="shared" si="40"/>
        <v>9628.1966782192267</v>
      </c>
      <c r="R41" s="585">
        <f t="shared" si="40"/>
        <v>10994.176047482932</v>
      </c>
      <c r="S41" s="585">
        <f t="shared" si="40"/>
        <v>12465.055275914208</v>
      </c>
      <c r="T41" s="585">
        <f t="shared" si="40"/>
        <v>14043.538681882394</v>
      </c>
      <c r="U41" s="585">
        <f t="shared" si="40"/>
        <v>15732.131290640549</v>
      </c>
      <c r="V41" s="585">
        <f t="shared" si="40"/>
        <v>17533.121171422648</v>
      </c>
      <c r="W41" s="585">
        <f t="shared" si="40"/>
        <v>19448.846187486793</v>
      </c>
      <c r="X41" s="585">
        <f t="shared" si="40"/>
        <v>21481.601041538619</v>
      </c>
      <c r="Y41" s="585">
        <f t="shared" si="40"/>
        <v>23633.726330337882</v>
      </c>
      <c r="Z41" s="585">
        <f t="shared" si="40"/>
        <v>25907.609462579534</v>
      </c>
      <c r="AA41" s="585">
        <f t="shared" si="40"/>
        <v>28305.685595132418</v>
      </c>
      <c r="AB41" s="585">
        <f t="shared" si="40"/>
        <v>30830.438588002762</v>
      </c>
      <c r="AC41" s="585">
        <f t="shared" si="40"/>
        <v>33484.401978396912</v>
      </c>
      <c r="AD41" s="585">
        <f t="shared" si="40"/>
        <v>36270.159974265349</v>
      </c>
      <c r="AE41" s="585">
        <f t="shared" si="40"/>
        <v>39190.348467717558</v>
      </c>
      <c r="AF41" s="586">
        <f t="shared" si="40"/>
        <v>42247.656068705212</v>
      </c>
      <c r="AG41" s="497">
        <f>SUM(G41:AF41)</f>
        <v>422108.93753866834</v>
      </c>
      <c r="AH41" s="6"/>
      <c r="AI41" s="6"/>
      <c r="AJ41" s="6"/>
      <c r="AK41" s="10"/>
      <c r="AL41" s="10"/>
      <c r="AM41" s="10"/>
      <c r="AN41" s="10"/>
    </row>
    <row r="42" spans="1:40" s="6" customFormat="1" ht="15">
      <c r="A42" s="1210"/>
      <c r="B42" s="1211"/>
      <c r="C42" s="1211"/>
      <c r="D42" s="1211"/>
      <c r="E42" s="1211"/>
      <c r="F42" s="1211"/>
      <c r="G42" s="1212"/>
      <c r="H42" s="1212"/>
      <c r="I42" s="1212"/>
      <c r="J42" s="1212"/>
      <c r="K42" s="1212"/>
      <c r="L42" s="1212"/>
      <c r="M42" s="1212"/>
      <c r="N42" s="1212"/>
      <c r="O42" s="1212"/>
      <c r="P42" s="1212"/>
      <c r="Q42" s="1212"/>
      <c r="R42" s="1212"/>
      <c r="S42" s="1212"/>
      <c r="T42" s="1212"/>
      <c r="U42" s="1212"/>
      <c r="V42" s="1212"/>
      <c r="W42" s="1212"/>
      <c r="X42" s="1212"/>
      <c r="Y42" s="1212"/>
      <c r="Z42" s="1212"/>
      <c r="AA42" s="1212"/>
      <c r="AB42" s="1212"/>
      <c r="AC42" s="1212"/>
      <c r="AD42" s="1212"/>
      <c r="AE42" s="1212"/>
      <c r="AF42" s="1213"/>
      <c r="AG42" s="496"/>
      <c r="AK42" s="10"/>
      <c r="AL42" s="10"/>
      <c r="AM42" s="10"/>
      <c r="AN42" s="10"/>
    </row>
    <row r="43" spans="1:40" ht="15" customHeight="1">
      <c r="A43" s="1204" t="s">
        <v>507</v>
      </c>
      <c r="B43" s="232">
        <v>33</v>
      </c>
      <c r="C43" s="236" t="s">
        <v>508</v>
      </c>
      <c r="D43" s="570">
        <f>'Fin. Data'!D39</f>
        <v>2285</v>
      </c>
      <c r="E43" s="799">
        <f>E36+D43</f>
        <v>1620</v>
      </c>
      <c r="F43" s="801">
        <f>F36+E43</f>
        <v>1039</v>
      </c>
      <c r="G43" s="677">
        <f>G36+F43</f>
        <v>1810.2174106428838</v>
      </c>
      <c r="H43" s="678">
        <f t="shared" ref="H43:AF43" si="41">H36+G43</f>
        <v>417.93796711181358</v>
      </c>
      <c r="I43" s="678">
        <f>I36+H43</f>
        <v>-950.3916379505099</v>
      </c>
      <c r="J43" s="679">
        <f t="shared" si="41"/>
        <v>-2338.9755078642843</v>
      </c>
      <c r="K43" s="680">
        <f t="shared" si="41"/>
        <v>-4212.1476452423631</v>
      </c>
      <c r="L43" s="678">
        <f t="shared" si="41"/>
        <v>-3622.2661740959584</v>
      </c>
      <c r="M43" s="678">
        <f t="shared" si="41"/>
        <v>-3012.7367012768573</v>
      </c>
      <c r="N43" s="678">
        <f t="shared" si="41"/>
        <v>-2381.9926338199089</v>
      </c>
      <c r="O43" s="678">
        <f t="shared" si="41"/>
        <v>-1744.456658107882</v>
      </c>
      <c r="P43" s="678">
        <f t="shared" si="41"/>
        <v>-1097.4214275225954</v>
      </c>
      <c r="Q43" s="678">
        <f t="shared" si="41"/>
        <v>-435.84615637254183</v>
      </c>
      <c r="R43" s="678">
        <f t="shared" si="41"/>
        <v>238.80478942486434</v>
      </c>
      <c r="S43" s="678">
        <f t="shared" si="41"/>
        <v>929.55122203473411</v>
      </c>
      <c r="T43" s="678">
        <f t="shared" si="41"/>
        <v>1639.5328541875238</v>
      </c>
      <c r="U43" s="678">
        <f t="shared" si="41"/>
        <v>2371.2467227421139</v>
      </c>
      <c r="V43" s="678">
        <f t="shared" si="41"/>
        <v>3171.0880867881583</v>
      </c>
      <c r="W43" s="678">
        <f t="shared" si="41"/>
        <v>4026.2496672052034</v>
      </c>
      <c r="X43" s="678">
        <f t="shared" si="41"/>
        <v>4952.0637953822879</v>
      </c>
      <c r="Y43" s="678">
        <f t="shared" si="41"/>
        <v>5949.6873325912156</v>
      </c>
      <c r="Z43" s="678">
        <f t="shared" si="41"/>
        <v>7020.1567554367248</v>
      </c>
      <c r="AA43" s="678">
        <f t="shared" si="41"/>
        <v>8164.5639127002287</v>
      </c>
      <c r="AB43" s="678">
        <f t="shared" si="41"/>
        <v>9384.0257955795041</v>
      </c>
      <c r="AC43" s="678">
        <f t="shared" si="41"/>
        <v>10679.645605424468</v>
      </c>
      <c r="AD43" s="678">
        <f t="shared" si="41"/>
        <v>12867.302492246235</v>
      </c>
      <c r="AE43" s="678">
        <f t="shared" si="41"/>
        <v>14843.442403077424</v>
      </c>
      <c r="AF43" s="681">
        <f t="shared" si="41"/>
        <v>16938.544668039067</v>
      </c>
      <c r="AG43" s="496"/>
      <c r="AH43" s="6"/>
      <c r="AI43" s="6"/>
      <c r="AJ43" s="6"/>
      <c r="AK43" s="10"/>
      <c r="AL43" s="10"/>
      <c r="AM43" s="10"/>
      <c r="AN43" s="10"/>
    </row>
    <row r="44" spans="1:40" ht="15">
      <c r="A44" s="1204"/>
      <c r="B44" s="232">
        <v>34</v>
      </c>
      <c r="C44" s="236" t="s">
        <v>335</v>
      </c>
      <c r="D44" s="570">
        <f>'Fin. Data'!D58</f>
        <v>16885</v>
      </c>
      <c r="E44" s="309">
        <f>'Fin. Data'!C58</f>
        <v>17323</v>
      </c>
      <c r="F44" s="690">
        <f>'Fin. Data'!B58</f>
        <v>16366</v>
      </c>
      <c r="G44" s="694">
        <f>G12*$D$68</f>
        <v>19856.896492536591</v>
      </c>
      <c r="H44" s="695">
        <f>H12*$D$68</f>
        <v>20953.192159493105</v>
      </c>
      <c r="I44" s="695">
        <f>I12*$D$68</f>
        <v>22095.284276446542</v>
      </c>
      <c r="J44" s="696">
        <f>J12*$D$68</f>
        <v>23285.087752190462</v>
      </c>
      <c r="K44" s="697">
        <f>K12*$E$68</f>
        <v>21622.782053321505</v>
      </c>
      <c r="L44" s="695">
        <f t="shared" ref="L44:AF44" si="42">L12*$E$68</f>
        <v>22403.219660960862</v>
      </c>
      <c r="M44" s="695">
        <f t="shared" si="42"/>
        <v>23184.302614626038</v>
      </c>
      <c r="N44" s="695">
        <f t="shared" si="42"/>
        <v>23935.706343726786</v>
      </c>
      <c r="O44" s="695">
        <f t="shared" si="42"/>
        <v>24653.528936803094</v>
      </c>
      <c r="P44" s="695">
        <f t="shared" si="42"/>
        <v>25334.056792904918</v>
      </c>
      <c r="Q44" s="695">
        <f t="shared" si="42"/>
        <v>25973.808196612546</v>
      </c>
      <c r="R44" s="695">
        <f t="shared" si="42"/>
        <v>26569.574915758687</v>
      </c>
      <c r="S44" s="695">
        <f t="shared" si="42"/>
        <v>27118.461105784008</v>
      </c>
      <c r="T44" s="695">
        <f t="shared" si="42"/>
        <v>27617.918834335796</v>
      </c>
      <c r="U44" s="695">
        <f t="shared" si="42"/>
        <v>28065.779584794072</v>
      </c>
      <c r="V44" s="695">
        <f t="shared" si="42"/>
        <v>28515.599165953005</v>
      </c>
      <c r="W44" s="695">
        <f t="shared" si="42"/>
        <v>28949.197529451398</v>
      </c>
      <c r="X44" s="695">
        <f t="shared" si="42"/>
        <v>29383.665500384239</v>
      </c>
      <c r="Y44" s="695">
        <f t="shared" si="42"/>
        <v>29818.864723842467</v>
      </c>
      <c r="Z44" s="695">
        <f t="shared" si="42"/>
        <v>30254.65096473855</v>
      </c>
      <c r="AA44" s="695">
        <f t="shared" si="42"/>
        <v>30690.873927952824</v>
      </c>
      <c r="AB44" s="695">
        <f t="shared" si="42"/>
        <v>31127.377073637894</v>
      </c>
      <c r="AC44" s="695">
        <f t="shared" si="42"/>
        <v>31563.997427559218</v>
      </c>
      <c r="AD44" s="695">
        <f t="shared" si="42"/>
        <v>32781.671254436958</v>
      </c>
      <c r="AE44" s="695">
        <f t="shared" si="42"/>
        <v>33689.443775048981</v>
      </c>
      <c r="AF44" s="698">
        <f t="shared" si="42"/>
        <v>34615.348894411509</v>
      </c>
      <c r="AG44" s="511"/>
      <c r="AH44" s="10"/>
      <c r="AI44" s="10"/>
      <c r="AJ44" s="10"/>
      <c r="AK44" s="10"/>
      <c r="AL44" s="10"/>
      <c r="AM44" s="10"/>
      <c r="AN44" s="10"/>
    </row>
    <row r="45" spans="1:40" ht="15">
      <c r="A45" s="1204"/>
      <c r="B45" s="232">
        <v>35</v>
      </c>
      <c r="C45" s="236" t="s">
        <v>509</v>
      </c>
      <c r="D45" s="571"/>
      <c r="E45" s="410"/>
      <c r="F45" s="691">
        <f>1/((1+$F$50)^G50)</f>
        <v>1</v>
      </c>
      <c r="G45" s="682">
        <f t="shared" ref="G45:AF45" si="43">1/((1+$F$50)^G49)</f>
        <v>0.91911764705882348</v>
      </c>
      <c r="H45" s="304">
        <f t="shared" si="43"/>
        <v>0.84477724913494801</v>
      </c>
      <c r="I45" s="304">
        <f t="shared" si="43"/>
        <v>0.77644967751373895</v>
      </c>
      <c r="J45" s="362">
        <f t="shared" si="43"/>
        <v>0.71364860065600999</v>
      </c>
      <c r="K45" s="408">
        <f t="shared" si="43"/>
        <v>0.65592702266177383</v>
      </c>
      <c r="L45" s="304">
        <f t="shared" si="43"/>
        <v>0.60287410171118916</v>
      </c>
      <c r="M45" s="304">
        <f t="shared" si="43"/>
        <v>0.55411222583748998</v>
      </c>
      <c r="N45" s="304">
        <f t="shared" si="43"/>
        <v>0.50929432521828111</v>
      </c>
      <c r="O45" s="304">
        <f t="shared" si="43"/>
        <v>0.46810140185503785</v>
      </c>
      <c r="P45" s="304">
        <f t="shared" si="43"/>
        <v>0.43024025905793917</v>
      </c>
      <c r="Q45" s="304">
        <f t="shared" si="43"/>
        <v>0.39544141457531162</v>
      </c>
      <c r="R45" s="304">
        <f t="shared" si="43"/>
        <v>0.36345718251407316</v>
      </c>
      <c r="S45" s="304">
        <f t="shared" si="43"/>
        <v>0.33405991039896427</v>
      </c>
      <c r="T45" s="304">
        <f t="shared" si="43"/>
        <v>0.30704035882257752</v>
      </c>
      <c r="U45" s="304">
        <f t="shared" si="43"/>
        <v>0.28220621215310426</v>
      </c>
      <c r="V45" s="304">
        <f t="shared" si="43"/>
        <v>0.25938070969954435</v>
      </c>
      <c r="W45" s="304">
        <f t="shared" si="43"/>
        <v>0.23840138759149293</v>
      </c>
      <c r="X45" s="304">
        <f t="shared" si="43"/>
        <v>0.21911892241865158</v>
      </c>
      <c r="Y45" s="304">
        <f t="shared" si="43"/>
        <v>0.20139606839949595</v>
      </c>
      <c r="Z45" s="304">
        <f t="shared" si="43"/>
        <v>0.18510668051424256</v>
      </c>
      <c r="AA45" s="304">
        <f t="shared" si="43"/>
        <v>0.17013481664912</v>
      </c>
      <c r="AB45" s="304">
        <f t="shared" si="43"/>
        <v>0.15637391236132353</v>
      </c>
      <c r="AC45" s="304">
        <f t="shared" si="43"/>
        <v>0.14372602239092233</v>
      </c>
      <c r="AD45" s="304">
        <f t="shared" si="43"/>
        <v>0.13210112352106831</v>
      </c>
      <c r="AE45" s="304">
        <f t="shared" si="43"/>
        <v>0.12141647382451132</v>
      </c>
      <c r="AF45" s="684">
        <f t="shared" si="43"/>
        <v>0.11159602373576406</v>
      </c>
      <c r="AG45" s="511"/>
      <c r="AH45" s="10"/>
      <c r="AI45" s="10"/>
      <c r="AJ45" s="10"/>
      <c r="AK45" s="10"/>
      <c r="AL45" s="10"/>
      <c r="AM45" s="10"/>
      <c r="AN45" s="10"/>
    </row>
    <row r="46" spans="1:40" ht="15">
      <c r="A46" s="1204"/>
      <c r="B46" s="232">
        <v>36</v>
      </c>
      <c r="C46" s="236" t="s">
        <v>510</v>
      </c>
      <c r="D46" s="572"/>
      <c r="E46" s="573" t="s">
        <v>511</v>
      </c>
      <c r="F46" s="692">
        <f>1/((1+$F$50+0.001)^G50)</f>
        <v>1</v>
      </c>
      <c r="G46" s="682">
        <f>1/((1+$F$50+0.001)^G49)</f>
        <v>0.91827364554637281</v>
      </c>
      <c r="H46" s="304">
        <f t="shared" ref="H46:AF46" si="44">1/((1+$F$50+0.001)^H49)</f>
        <v>0.84322648810502554</v>
      </c>
      <c r="I46" s="304">
        <f t="shared" si="44"/>
        <v>0.77431266125346698</v>
      </c>
      <c r="J46" s="362">
        <f t="shared" si="44"/>
        <v>0.71103091024193477</v>
      </c>
      <c r="K46" s="408">
        <f t="shared" si="44"/>
        <v>0.65292094604401729</v>
      </c>
      <c r="L46" s="304">
        <f t="shared" si="44"/>
        <v>0.59956009737742622</v>
      </c>
      <c r="M46" s="304">
        <f t="shared" si="44"/>
        <v>0.55056023634290752</v>
      </c>
      <c r="N46" s="304">
        <f t="shared" si="44"/>
        <v>0.50556495531947432</v>
      </c>
      <c r="O46" s="304">
        <f t="shared" si="44"/>
        <v>0.46424697458170283</v>
      </c>
      <c r="P46" s="304">
        <f t="shared" si="44"/>
        <v>0.42630576178301444</v>
      </c>
      <c r="Q46" s="304">
        <f t="shared" si="44"/>
        <v>0.39146534598991228</v>
      </c>
      <c r="R46" s="304">
        <f t="shared" si="44"/>
        <v>0.35947231036722888</v>
      </c>
      <c r="S46" s="304">
        <f t="shared" si="44"/>
        <v>0.33009394891389243</v>
      </c>
      <c r="T46" s="304">
        <f t="shared" si="44"/>
        <v>0.30311657384195817</v>
      </c>
      <c r="U46" s="304">
        <f t="shared" si="44"/>
        <v>0.27834396128738126</v>
      </c>
      <c r="V46" s="304">
        <f t="shared" si="44"/>
        <v>0.25559592404718207</v>
      </c>
      <c r="W46" s="304">
        <f t="shared" si="44"/>
        <v>0.23470700096159966</v>
      </c>
      <c r="X46" s="304">
        <f t="shared" si="44"/>
        <v>0.21552525340826414</v>
      </c>
      <c r="Y46" s="304">
        <f t="shared" si="44"/>
        <v>0.19791116015451257</v>
      </c>
      <c r="Z46" s="304">
        <f t="shared" si="44"/>
        <v>0.18173660252939627</v>
      </c>
      <c r="AA46" s="304">
        <f t="shared" si="44"/>
        <v>0.1668839325338809</v>
      </c>
      <c r="AB46" s="304">
        <f t="shared" si="44"/>
        <v>0.15324511711100172</v>
      </c>
      <c r="AC46" s="304">
        <f t="shared" si="44"/>
        <v>0.14072095235170037</v>
      </c>
      <c r="AD46" s="304">
        <f t="shared" si="44"/>
        <v>0.12922034192075335</v>
      </c>
      <c r="AE46" s="304">
        <f t="shared" si="44"/>
        <v>0.11865963445431897</v>
      </c>
      <c r="AF46" s="683">
        <f t="shared" si="44"/>
        <v>0.10896201510956743</v>
      </c>
      <c r="AG46" s="511"/>
      <c r="AH46" s="10"/>
      <c r="AI46" s="10"/>
      <c r="AJ46" s="10"/>
      <c r="AK46" s="10"/>
      <c r="AL46" s="10"/>
      <c r="AM46" s="10"/>
      <c r="AN46" s="10"/>
    </row>
    <row r="47" spans="1:40" ht="15">
      <c r="A47" s="1204"/>
      <c r="B47" s="233">
        <v>37</v>
      </c>
      <c r="C47" s="231" t="s">
        <v>512</v>
      </c>
      <c r="D47" s="572"/>
      <c r="E47" s="573" t="s">
        <v>513</v>
      </c>
      <c r="F47" s="693">
        <f>1/((1+$F$50+0.005)^G50)</f>
        <v>1</v>
      </c>
      <c r="G47" s="685">
        <f t="shared" ref="G47:AF47" si="45">1/((1+$F$50+0.005)^G49)</f>
        <v>0.91491308325709064</v>
      </c>
      <c r="H47" s="686">
        <f t="shared" si="45"/>
        <v>0.83706594991499605</v>
      </c>
      <c r="I47" s="686">
        <f t="shared" si="45"/>
        <v>0.76584258912625436</v>
      </c>
      <c r="J47" s="687">
        <f t="shared" si="45"/>
        <v>0.70067940450709465</v>
      </c>
      <c r="K47" s="688">
        <f t="shared" si="45"/>
        <v>0.64106075435232812</v>
      </c>
      <c r="L47" s="686">
        <f t="shared" si="45"/>
        <v>0.586514871319605</v>
      </c>
      <c r="M47" s="686">
        <f t="shared" si="45"/>
        <v>0.5366101292951555</v>
      </c>
      <c r="N47" s="686">
        <f t="shared" si="45"/>
        <v>0.4909516279004168</v>
      </c>
      <c r="O47" s="686">
        <f t="shared" si="45"/>
        <v>0.44917806761245821</v>
      </c>
      <c r="P47" s="686">
        <f t="shared" si="45"/>
        <v>0.41095889077077608</v>
      </c>
      <c r="Q47" s="686">
        <f t="shared" si="45"/>
        <v>0.37599166584700461</v>
      </c>
      <c r="R47" s="686">
        <f t="shared" si="45"/>
        <v>0.3439996942790528</v>
      </c>
      <c r="S47" s="686">
        <f t="shared" si="45"/>
        <v>0.31472982093234475</v>
      </c>
      <c r="T47" s="686">
        <f t="shared" si="45"/>
        <v>0.28795043086216354</v>
      </c>
      <c r="U47" s="686">
        <f t="shared" si="45"/>
        <v>0.26344961652530974</v>
      </c>
      <c r="V47" s="686">
        <f t="shared" si="45"/>
        <v>0.24103350093806933</v>
      </c>
      <c r="W47" s="686">
        <f t="shared" si="45"/>
        <v>0.22052470351149983</v>
      </c>
      <c r="X47" s="686">
        <f t="shared" si="45"/>
        <v>0.20176093642406209</v>
      </c>
      <c r="Y47" s="686">
        <f t="shared" si="45"/>
        <v>0.18459372042457647</v>
      </c>
      <c r="Z47" s="686">
        <f t="shared" si="45"/>
        <v>0.16888720990354666</v>
      </c>
      <c r="AA47" s="686">
        <f t="shared" si="45"/>
        <v>0.15451711793554132</v>
      </c>
      <c r="AB47" s="686">
        <f t="shared" si="45"/>
        <v>0.14136973278640561</v>
      </c>
      <c r="AC47" s="686">
        <f t="shared" si="45"/>
        <v>0.12934101810284138</v>
      </c>
      <c r="AD47" s="686">
        <f t="shared" si="45"/>
        <v>0.11833578966408179</v>
      </c>
      <c r="AE47" s="686">
        <f t="shared" si="45"/>
        <v>0.10826696218122762</v>
      </c>
      <c r="AF47" s="689">
        <f t="shared" si="45"/>
        <v>9.9054860184105795E-2</v>
      </c>
      <c r="AG47" s="511"/>
      <c r="AH47" s="10"/>
      <c r="AI47" s="10"/>
      <c r="AJ47" s="10"/>
      <c r="AK47" s="10"/>
      <c r="AL47" s="10"/>
      <c r="AM47" s="10"/>
      <c r="AN47" s="10"/>
    </row>
    <row r="48" spans="1:40" ht="15">
      <c r="A48" s="1214" t="s">
        <v>184</v>
      </c>
      <c r="B48" s="1215"/>
      <c r="C48" s="1215"/>
      <c r="D48" s="1215"/>
      <c r="E48" s="1215"/>
      <c r="F48" s="1215"/>
      <c r="G48" s="1216"/>
      <c r="H48" s="1216"/>
      <c r="I48" s="1216"/>
      <c r="J48" s="1216"/>
      <c r="K48" s="1216"/>
      <c r="L48" s="1216"/>
      <c r="M48" s="1216"/>
      <c r="N48" s="1216"/>
      <c r="O48" s="1216"/>
      <c r="P48" s="1216"/>
      <c r="Q48" s="1216"/>
      <c r="R48" s="1216"/>
      <c r="S48" s="1216"/>
      <c r="T48" s="1216"/>
      <c r="U48" s="1216"/>
      <c r="V48" s="1216"/>
      <c r="W48" s="1216"/>
      <c r="X48" s="1216"/>
      <c r="Y48" s="1216"/>
      <c r="Z48" s="1216"/>
      <c r="AA48" s="1216"/>
      <c r="AB48" s="1216"/>
      <c r="AC48" s="1216"/>
      <c r="AD48" s="1216"/>
      <c r="AE48" s="1216"/>
      <c r="AF48" s="1217"/>
      <c r="AG48" s="511"/>
      <c r="AH48" s="10"/>
      <c r="AI48" s="10"/>
      <c r="AJ48" s="513"/>
      <c r="AK48" s="10"/>
      <c r="AL48" s="10"/>
      <c r="AM48" s="10"/>
      <c r="AN48" s="10"/>
    </row>
    <row r="49" spans="1:40" ht="15">
      <c r="A49" s="1220" t="s">
        <v>514</v>
      </c>
      <c r="C49" s="246" t="s">
        <v>515</v>
      </c>
      <c r="D49" s="237" t="s">
        <v>516</v>
      </c>
      <c r="E49" s="238" t="s">
        <v>517</v>
      </c>
      <c r="F49" s="247" t="s">
        <v>518</v>
      </c>
      <c r="G49" s="305">
        <v>1</v>
      </c>
      <c r="H49" s="306">
        <v>2</v>
      </c>
      <c r="I49" s="306">
        <v>3</v>
      </c>
      <c r="J49" s="305">
        <v>4</v>
      </c>
      <c r="K49" s="306">
        <v>5</v>
      </c>
      <c r="L49" s="306">
        <v>6</v>
      </c>
      <c r="M49" s="305">
        <v>7</v>
      </c>
      <c r="N49" s="306">
        <v>8</v>
      </c>
      <c r="O49" s="306">
        <v>9</v>
      </c>
      <c r="P49" s="305">
        <v>10</v>
      </c>
      <c r="Q49" s="306">
        <v>11</v>
      </c>
      <c r="R49" s="306">
        <v>12</v>
      </c>
      <c r="S49" s="305">
        <v>13</v>
      </c>
      <c r="T49" s="306">
        <v>14</v>
      </c>
      <c r="U49" s="306">
        <v>15</v>
      </c>
      <c r="V49" s="305">
        <v>16</v>
      </c>
      <c r="W49" s="306">
        <v>17</v>
      </c>
      <c r="X49" s="306">
        <v>18</v>
      </c>
      <c r="Y49" s="305">
        <v>19</v>
      </c>
      <c r="Z49" s="306">
        <v>20</v>
      </c>
      <c r="AA49" s="306">
        <v>21</v>
      </c>
      <c r="AB49" s="305">
        <v>22</v>
      </c>
      <c r="AC49" s="306">
        <v>23</v>
      </c>
      <c r="AD49" s="306">
        <v>24</v>
      </c>
      <c r="AE49" s="305">
        <v>25</v>
      </c>
      <c r="AF49" s="306">
        <v>26</v>
      </c>
      <c r="AG49" s="511"/>
      <c r="AH49" s="10"/>
      <c r="AI49" s="10"/>
      <c r="AJ49" s="10"/>
      <c r="AK49" s="10"/>
      <c r="AL49" s="10"/>
      <c r="AM49" s="10"/>
      <c r="AN49" s="10"/>
    </row>
    <row r="50" spans="1:40" ht="15.75" thickBot="1">
      <c r="A50" s="1221"/>
      <c r="C50" s="877">
        <v>0.04</v>
      </c>
      <c r="D50" s="878">
        <v>4.4999999999999998E-2</v>
      </c>
      <c r="E50" s="244">
        <v>3.0000000000000001E-3</v>
      </c>
      <c r="F50" s="245">
        <f>E50+D50+C50</f>
        <v>8.7999999999999995E-2</v>
      </c>
      <c r="G50" s="305">
        <v>0</v>
      </c>
      <c r="S50" s="230"/>
      <c r="T50" s="230"/>
      <c r="U50" s="230"/>
      <c r="V50" s="230"/>
      <c r="W50" s="230"/>
      <c r="X50" s="230"/>
      <c r="Y50" s="230"/>
      <c r="Z50" s="230"/>
      <c r="AA50" s="230"/>
      <c r="AB50" s="230"/>
      <c r="AC50" s="230"/>
      <c r="AD50" s="230"/>
      <c r="AE50" s="230"/>
      <c r="AF50" s="230"/>
      <c r="AG50" s="510"/>
      <c r="AH50" s="10"/>
      <c r="AI50" s="10"/>
      <c r="AJ50" s="10"/>
      <c r="AK50" s="10"/>
      <c r="AL50" s="10"/>
      <c r="AM50" s="10"/>
      <c r="AN50" s="10"/>
    </row>
    <row r="51" spans="1:40" ht="15">
      <c r="A51" s="230"/>
      <c r="C51" s="230"/>
      <c r="D51" s="230"/>
      <c r="G51"/>
      <c r="H51" s="230"/>
      <c r="I51" s="230"/>
      <c r="J51" s="230"/>
      <c r="K51" s="230"/>
      <c r="S51" s="230"/>
      <c r="T51" s="230"/>
      <c r="U51" s="230"/>
      <c r="V51" s="230"/>
      <c r="W51" s="230"/>
      <c r="X51" s="230"/>
      <c r="Y51" s="230"/>
      <c r="Z51" s="230"/>
      <c r="AA51" s="230"/>
      <c r="AB51" s="230"/>
      <c r="AC51" s="230"/>
      <c r="AD51" s="230"/>
      <c r="AE51" s="230"/>
      <c r="AF51" s="230"/>
      <c r="AG51" s="510"/>
      <c r="AH51" s="10"/>
      <c r="AI51" s="10"/>
      <c r="AJ51" s="10"/>
      <c r="AK51" s="10"/>
      <c r="AL51" s="10"/>
      <c r="AM51" s="10"/>
      <c r="AN51" s="10"/>
    </row>
    <row r="52" spans="1:40" ht="15" customHeight="1">
      <c r="A52" s="1222" t="s">
        <v>519</v>
      </c>
      <c r="C52" s="427" t="s">
        <v>184</v>
      </c>
      <c r="D52" s="428" t="s">
        <v>460</v>
      </c>
      <c r="E52" s="429" t="s">
        <v>461</v>
      </c>
      <c r="F52" s="428" t="s">
        <v>520</v>
      </c>
      <c r="G52" s="230"/>
      <c r="I52" s="468"/>
      <c r="J52" s="468"/>
      <c r="K52" s="230"/>
      <c r="S52" s="230"/>
      <c r="T52" s="230"/>
      <c r="U52" s="230"/>
      <c r="V52" s="230"/>
      <c r="W52" s="230"/>
      <c r="X52" s="230"/>
      <c r="Y52" s="230"/>
      <c r="Z52" s="230"/>
      <c r="AA52" s="230"/>
      <c r="AB52" s="230"/>
      <c r="AC52" s="230"/>
      <c r="AD52" s="230"/>
      <c r="AE52" s="230"/>
      <c r="AF52" s="230"/>
      <c r="AG52" s="510"/>
      <c r="AH52" s="10"/>
      <c r="AI52" s="10"/>
      <c r="AJ52" s="10"/>
      <c r="AK52" s="10"/>
      <c r="AL52" s="10"/>
      <c r="AM52" s="10"/>
      <c r="AN52" s="10"/>
    </row>
    <row r="53" spans="1:40" ht="15" customHeight="1">
      <c r="A53" s="1222"/>
      <c r="C53" s="430" t="s">
        <v>521</v>
      </c>
      <c r="D53" s="394">
        <v>-8.6499999999999994E-2</v>
      </c>
      <c r="E53" s="395">
        <v>-6.5000000000000002E-2</v>
      </c>
      <c r="F53" s="431" t="s">
        <v>522</v>
      </c>
      <c r="G53" s="475"/>
      <c r="I53" s="230"/>
      <c r="J53" s="230"/>
      <c r="K53" s="230" t="s">
        <v>523</v>
      </c>
      <c r="L53" s="2" t="s">
        <v>524</v>
      </c>
      <c r="S53" s="230"/>
      <c r="T53" s="230"/>
      <c r="U53" s="230"/>
      <c r="V53" s="230"/>
      <c r="W53" s="230"/>
      <c r="X53" s="230"/>
      <c r="Y53" s="230"/>
      <c r="Z53" s="230"/>
      <c r="AA53" s="230"/>
      <c r="AB53" s="230"/>
      <c r="AC53" s="230"/>
      <c r="AD53" s="230"/>
      <c r="AE53" s="230"/>
      <c r="AF53" s="230"/>
      <c r="AG53" s="510"/>
      <c r="AH53" s="10"/>
      <c r="AI53" s="10"/>
      <c r="AJ53" s="10"/>
      <c r="AK53" s="10"/>
      <c r="AL53" s="10"/>
      <c r="AM53" s="10"/>
      <c r="AN53" s="10"/>
    </row>
    <row r="54" spans="1:40" ht="15" customHeight="1">
      <c r="A54" s="1222"/>
      <c r="C54" s="432" t="s">
        <v>525</v>
      </c>
      <c r="D54" s="824">
        <v>-5.8999999999999999E-3</v>
      </c>
      <c r="E54" s="825">
        <v>-6.1999999999999998E-3</v>
      </c>
      <c r="F54" s="433" t="s">
        <v>526</v>
      </c>
      <c r="G54" s="230"/>
      <c r="I54" s="811">
        <f>Segments!B5</f>
        <v>9.0920688921964699E-2</v>
      </c>
      <c r="J54" s="2" t="s">
        <v>527</v>
      </c>
      <c r="K54" s="874">
        <v>4.2200000000000001E-2</v>
      </c>
      <c r="L54" s="4">
        <v>4.5999999999999999E-2</v>
      </c>
      <c r="S54" s="230"/>
      <c r="T54" s="230"/>
      <c r="U54" s="230"/>
      <c r="V54" s="230"/>
      <c r="W54" s="230"/>
      <c r="X54" s="230"/>
      <c r="Y54" s="230"/>
      <c r="Z54" s="230"/>
      <c r="AA54" s="230"/>
      <c r="AB54" s="230"/>
      <c r="AC54" s="230"/>
      <c r="AD54" s="230"/>
      <c r="AE54" s="230"/>
      <c r="AF54" s="230"/>
      <c r="AG54" s="510"/>
      <c r="AH54" s="10"/>
      <c r="AI54" s="10"/>
      <c r="AJ54" s="10"/>
      <c r="AK54" s="10"/>
      <c r="AL54" s="10"/>
      <c r="AM54" s="10"/>
      <c r="AN54" s="10"/>
    </row>
    <row r="55" spans="1:40" ht="15" customHeight="1">
      <c r="A55" s="1222"/>
      <c r="C55" s="409" t="s">
        <v>528</v>
      </c>
      <c r="D55" s="826">
        <f>-Assumptions!K20</f>
        <v>-3.0000000000000001E-3</v>
      </c>
      <c r="E55" s="826">
        <v>-5.0000000000000001E-3</v>
      </c>
      <c r="F55" s="823" t="s">
        <v>529</v>
      </c>
      <c r="G55" s="230"/>
      <c r="I55" s="811">
        <f>Segments!B6</f>
        <v>0.116989155857963</v>
      </c>
      <c r="J55" s="2" t="str">
        <f>Segments!C6</f>
        <v>India</v>
      </c>
      <c r="K55" s="874">
        <v>2.9899999999999999E-2</v>
      </c>
      <c r="L55" s="4">
        <v>4.5999999999999999E-2</v>
      </c>
      <c r="M55" s="230"/>
      <c r="N55" s="230"/>
      <c r="O55" s="230"/>
      <c r="P55" s="230"/>
      <c r="Q55" s="230"/>
      <c r="R55" s="230"/>
      <c r="S55" s="230"/>
      <c r="T55" s="230"/>
      <c r="U55" s="230"/>
      <c r="V55" s="230"/>
      <c r="W55" s="230"/>
      <c r="X55" s="230"/>
      <c r="Y55" s="230"/>
      <c r="Z55" s="230"/>
      <c r="AA55" s="230"/>
      <c r="AB55" s="230"/>
      <c r="AC55" s="230"/>
      <c r="AD55" s="230"/>
      <c r="AE55" s="230"/>
      <c r="AF55" s="230"/>
      <c r="AG55" s="510"/>
      <c r="AH55" s="10"/>
      <c r="AI55" s="10"/>
      <c r="AJ55" s="10"/>
      <c r="AK55" s="10"/>
      <c r="AL55" s="10"/>
      <c r="AM55" s="10"/>
      <c r="AN55" s="10"/>
    </row>
    <row r="56" spans="1:40" ht="15" customHeight="1">
      <c r="A56" s="1222"/>
      <c r="C56" s="432" t="s">
        <v>530</v>
      </c>
      <c r="D56" s="826">
        <f>Assumptions!K21</f>
        <v>0.30813205011476763</v>
      </c>
      <c r="E56" s="826">
        <f>Assumptions!L21</f>
        <v>0.3</v>
      </c>
      <c r="F56" s="823" t="s">
        <v>531</v>
      </c>
      <c r="G56" s="230"/>
      <c r="I56" s="811" t="e">
        <f>Segments!#REF!</f>
        <v>#REF!</v>
      </c>
      <c r="J56" s="2" t="s">
        <v>532</v>
      </c>
      <c r="K56" s="874">
        <v>7.0870000000000002E-2</v>
      </c>
      <c r="L56" s="4">
        <v>7.8100000000000003E-2</v>
      </c>
      <c r="M56" s="230"/>
      <c r="N56" s="230"/>
      <c r="O56" s="230"/>
      <c r="P56" s="230"/>
      <c r="Q56" s="230"/>
      <c r="R56" s="230"/>
      <c r="S56" s="230"/>
      <c r="T56" s="230"/>
      <c r="U56" s="230"/>
      <c r="V56" s="230"/>
      <c r="W56" s="230"/>
      <c r="X56" s="230"/>
      <c r="Y56" s="230"/>
      <c r="Z56" s="230"/>
      <c r="AA56" s="230"/>
      <c r="AB56" s="230"/>
      <c r="AC56" s="230"/>
      <c r="AD56" s="230"/>
      <c r="AE56" s="230"/>
      <c r="AF56" s="230"/>
      <c r="AG56" s="510"/>
      <c r="AH56" s="10"/>
      <c r="AI56" s="10"/>
      <c r="AJ56" s="10"/>
      <c r="AK56" s="10"/>
      <c r="AL56" s="10"/>
      <c r="AM56" s="10"/>
      <c r="AN56" s="10"/>
    </row>
    <row r="57" spans="1:40" ht="15" customHeight="1">
      <c r="A57" s="1222"/>
      <c r="C57" s="409" t="s">
        <v>533</v>
      </c>
      <c r="D57" s="400">
        <v>5.6599999999999998E-2</v>
      </c>
      <c r="E57" s="434">
        <v>2.6100000000000002E-2</v>
      </c>
      <c r="F57" s="433" t="s">
        <v>534</v>
      </c>
      <c r="G57" s="230"/>
      <c r="I57" s="811">
        <f>Segments!B7</f>
        <v>0.29649160110567724</v>
      </c>
      <c r="J57" s="2" t="str">
        <f>Segments!C7</f>
        <v>United States</v>
      </c>
      <c r="K57" s="874">
        <v>0.10680000000000001</v>
      </c>
      <c r="L57" s="4">
        <v>0.09</v>
      </c>
      <c r="M57" s="230"/>
      <c r="N57" s="230"/>
      <c r="O57" s="230"/>
      <c r="P57" s="230"/>
      <c r="Q57" s="230"/>
      <c r="R57" s="230"/>
      <c r="S57" s="230"/>
      <c r="T57" s="230"/>
      <c r="U57" s="230"/>
      <c r="V57" s="230"/>
      <c r="W57" s="230"/>
      <c r="X57" s="230"/>
      <c r="Y57" s="230"/>
      <c r="Z57" s="230"/>
      <c r="AA57" s="230"/>
      <c r="AB57" s="230"/>
      <c r="AC57" s="230"/>
      <c r="AD57" s="230"/>
      <c r="AE57" s="230"/>
      <c r="AF57" s="230"/>
      <c r="AG57" s="510"/>
      <c r="AH57" s="10"/>
      <c r="AI57" s="10"/>
      <c r="AJ57" s="10"/>
      <c r="AK57" s="10"/>
      <c r="AL57" s="10"/>
      <c r="AM57" s="10"/>
      <c r="AN57" s="10"/>
    </row>
    <row r="58" spans="1:40" ht="15" customHeight="1">
      <c r="A58" s="1222"/>
      <c r="C58" s="432" t="s">
        <v>535</v>
      </c>
      <c r="D58" s="401">
        <f>C50</f>
        <v>0.04</v>
      </c>
      <c r="E58" s="397">
        <v>0.02</v>
      </c>
      <c r="F58" s="431" t="s">
        <v>536</v>
      </c>
      <c r="G58" s="230"/>
      <c r="H58" s="230"/>
      <c r="I58" s="811" t="e">
        <f>Segments!#REF!</f>
        <v>#REF!</v>
      </c>
      <c r="J58" s="2" t="e">
        <f>Segments!#REF!</f>
        <v>#REF!</v>
      </c>
      <c r="K58" s="875">
        <v>0.10920000000000001</v>
      </c>
      <c r="L58" s="4">
        <v>0.09</v>
      </c>
      <c r="M58" s="249"/>
      <c r="N58" s="249"/>
      <c r="O58" s="230"/>
      <c r="P58" s="230"/>
      <c r="Q58" s="230"/>
      <c r="R58" s="230"/>
      <c r="S58" s="230"/>
      <c r="T58" s="230"/>
      <c r="U58" s="230"/>
      <c r="V58" s="230"/>
      <c r="W58" s="230"/>
      <c r="X58" s="230"/>
      <c r="Y58" s="230"/>
      <c r="Z58" s="230"/>
      <c r="AA58" s="230"/>
      <c r="AB58" s="230"/>
      <c r="AC58" s="230"/>
      <c r="AD58" s="230"/>
      <c r="AE58" s="230"/>
      <c r="AF58" s="230"/>
      <c r="AG58" s="510"/>
      <c r="AH58" s="10"/>
      <c r="AI58" s="10"/>
      <c r="AJ58" s="10"/>
      <c r="AK58" s="10"/>
      <c r="AL58" s="10"/>
      <c r="AM58" s="10"/>
      <c r="AN58" s="10"/>
    </row>
    <row r="59" spans="1:40" ht="15" customHeight="1">
      <c r="A59" s="1222"/>
      <c r="C59" s="409" t="s">
        <v>537</v>
      </c>
      <c r="D59" s="805"/>
      <c r="E59" s="805"/>
      <c r="F59" s="433" t="s">
        <v>538</v>
      </c>
      <c r="G59" s="230"/>
      <c r="H59" s="230"/>
      <c r="I59" s="811">
        <f>Segments!B8</f>
        <v>0.49559855411439507</v>
      </c>
      <c r="J59" s="2" t="str">
        <f>Segments!C8</f>
        <v>Others</v>
      </c>
      <c r="K59" s="250"/>
      <c r="L59" s="250"/>
      <c r="M59" s="250"/>
      <c r="N59" s="249"/>
      <c r="O59" s="230"/>
      <c r="P59" s="230"/>
      <c r="Q59" s="230"/>
      <c r="R59" s="230"/>
      <c r="S59" s="230"/>
      <c r="T59" s="230"/>
      <c r="U59" s="230"/>
      <c r="V59" s="230"/>
      <c r="W59" s="230"/>
      <c r="X59" s="230"/>
      <c r="Y59" s="230"/>
      <c r="Z59" s="230"/>
      <c r="AA59" s="230"/>
      <c r="AB59" s="230"/>
      <c r="AC59" s="230"/>
      <c r="AD59" s="230"/>
      <c r="AE59" s="230"/>
      <c r="AF59" s="230"/>
      <c r="AG59" s="510"/>
      <c r="AH59" s="10"/>
      <c r="AI59" s="10"/>
      <c r="AJ59" s="10"/>
      <c r="AK59" s="10"/>
      <c r="AL59" s="10"/>
      <c r="AM59" s="10"/>
      <c r="AN59" s="10"/>
    </row>
    <row r="60" spans="1:40" ht="15" customHeight="1">
      <c r="A60" s="1222"/>
      <c r="C60" s="427" t="s">
        <v>539</v>
      </c>
      <c r="D60" s="446">
        <f>Assumptions!L84</f>
        <v>-0.13003529017660057</v>
      </c>
      <c r="E60" s="824">
        <f>D60</f>
        <v>-0.13003529017660057</v>
      </c>
      <c r="F60" s="435" t="s">
        <v>540</v>
      </c>
      <c r="G60" s="230"/>
      <c r="H60" s="230"/>
      <c r="I60" s="230"/>
      <c r="J60" s="249"/>
      <c r="K60" s="876" t="e">
        <f>SUM(K58*I58,K57*I57,K56*I56,K55*I55,K54*I54)</f>
        <v>#REF!</v>
      </c>
      <c r="L60" s="876" t="e">
        <f>SUM(L58*I58,L57*I57,L56*I56,L55*I55,L54*I54)</f>
        <v>#REF!</v>
      </c>
      <c r="M60" s="249"/>
      <c r="N60" s="249"/>
      <c r="O60" s="230"/>
      <c r="P60" s="230"/>
      <c r="Q60" s="230"/>
      <c r="R60" s="230"/>
      <c r="S60" s="230"/>
      <c r="T60" s="230"/>
      <c r="U60" s="230"/>
      <c r="V60" s="230"/>
      <c r="W60" s="230"/>
      <c r="X60" s="230"/>
      <c r="Y60" s="230"/>
      <c r="Z60" s="230"/>
      <c r="AA60" s="230"/>
      <c r="AB60" s="230"/>
      <c r="AC60" s="230"/>
      <c r="AD60" s="230"/>
      <c r="AE60" s="230"/>
      <c r="AF60" s="230"/>
      <c r="AG60" s="510"/>
      <c r="AH60" s="10"/>
      <c r="AI60" s="10"/>
      <c r="AJ60" s="10"/>
      <c r="AK60" s="10"/>
      <c r="AL60" s="10"/>
      <c r="AM60" s="10"/>
      <c r="AN60" s="10"/>
    </row>
    <row r="61" spans="1:40" ht="15" customHeight="1">
      <c r="A61" s="1222"/>
      <c r="C61" s="436" t="s">
        <v>541</v>
      </c>
      <c r="D61" s="805"/>
      <c r="E61" s="805"/>
      <c r="F61" s="431" t="s">
        <v>542</v>
      </c>
      <c r="G61" s="230"/>
      <c r="H61" s="230"/>
      <c r="I61" s="230"/>
      <c r="J61" s="230"/>
      <c r="K61" s="230"/>
      <c r="L61" s="230"/>
      <c r="M61" s="230"/>
      <c r="N61" s="230"/>
      <c r="O61" s="230"/>
      <c r="P61" s="230"/>
      <c r="Q61" s="230"/>
      <c r="R61" s="230"/>
      <c r="S61" s="230"/>
      <c r="T61" s="230"/>
      <c r="U61" s="230"/>
      <c r="V61" s="230"/>
      <c r="W61" s="230"/>
      <c r="X61" s="230"/>
      <c r="Y61" s="230"/>
      <c r="Z61" s="230"/>
      <c r="AA61" s="230"/>
      <c r="AB61" s="230"/>
      <c r="AC61" s="230"/>
      <c r="AD61" s="230"/>
      <c r="AE61" s="230"/>
      <c r="AF61" s="230"/>
      <c r="AG61" s="510"/>
      <c r="AH61" s="10"/>
      <c r="AI61" s="10"/>
      <c r="AJ61" s="10"/>
      <c r="AK61" s="10"/>
      <c r="AL61" s="10"/>
      <c r="AM61" s="10"/>
      <c r="AN61" s="10"/>
    </row>
    <row r="62" spans="1:40" ht="15" customHeight="1">
      <c r="A62" s="1222"/>
      <c r="C62" s="436" t="s">
        <v>543</v>
      </c>
      <c r="D62" s="396">
        <v>-6.5000000000000002E-2</v>
      </c>
      <c r="E62" s="396">
        <f>-Assumptions!L27</f>
        <v>-6.016486030047484E-2</v>
      </c>
      <c r="F62" s="431" t="s">
        <v>544</v>
      </c>
      <c r="G62" s="230"/>
      <c r="H62" s="230"/>
      <c r="I62" s="230"/>
      <c r="J62" s="230"/>
      <c r="L62" s="230"/>
      <c r="M62" s="230"/>
      <c r="N62" s="230"/>
      <c r="O62" s="230"/>
      <c r="P62" s="230"/>
      <c r="Q62" s="230"/>
      <c r="R62" s="230"/>
      <c r="S62" s="230"/>
      <c r="T62" s="230"/>
      <c r="U62" s="230"/>
      <c r="V62" s="230"/>
      <c r="W62" s="230"/>
      <c r="X62" s="230"/>
      <c r="Y62" s="230"/>
      <c r="Z62" s="230"/>
      <c r="AA62" s="230"/>
      <c r="AB62" s="230"/>
      <c r="AC62" s="230"/>
      <c r="AD62" s="230"/>
      <c r="AE62" s="230"/>
      <c r="AF62" s="230"/>
      <c r="AG62" s="510"/>
      <c r="AH62" s="10"/>
      <c r="AI62" s="10"/>
      <c r="AJ62" s="10"/>
      <c r="AK62" s="10"/>
      <c r="AL62" s="10"/>
      <c r="AM62" s="10"/>
      <c r="AN62" s="10"/>
    </row>
    <row r="63" spans="1:40" ht="15" customHeight="1">
      <c r="A63" s="1222"/>
      <c r="C63" s="436" t="s">
        <v>545</v>
      </c>
      <c r="D63" s="396">
        <f>-Assumptions!K28</f>
        <v>-2.5162387166229476E-2</v>
      </c>
      <c r="E63" s="396">
        <f>-Assumptions!L28</f>
        <v>-2.5162387166229476E-2</v>
      </c>
      <c r="F63" s="431" t="s">
        <v>544</v>
      </c>
      <c r="G63" s="230"/>
      <c r="H63" s="230"/>
      <c r="I63" s="230"/>
      <c r="J63" s="230"/>
      <c r="K63" s="230"/>
      <c r="L63" s="230"/>
      <c r="M63" s="230"/>
      <c r="N63" s="230"/>
      <c r="O63" s="230"/>
      <c r="P63" s="230"/>
      <c r="Q63" s="230"/>
      <c r="R63" s="230"/>
      <c r="S63" s="230"/>
      <c r="T63" s="230"/>
      <c r="U63" s="230"/>
      <c r="V63" s="230"/>
      <c r="W63" s="230"/>
      <c r="X63" s="230"/>
      <c r="Y63" s="230"/>
      <c r="Z63" s="230"/>
      <c r="AA63" s="230"/>
      <c r="AB63" s="230"/>
      <c r="AC63" s="230"/>
      <c r="AD63" s="230"/>
      <c r="AE63" s="230"/>
      <c r="AF63" s="230"/>
      <c r="AG63" s="510"/>
      <c r="AH63" s="10"/>
      <c r="AI63" s="10"/>
      <c r="AJ63" s="10"/>
      <c r="AK63" s="10"/>
      <c r="AL63" s="10"/>
      <c r="AM63" s="10"/>
      <c r="AN63" s="10"/>
    </row>
    <row r="64" spans="1:40" ht="15" customHeight="1">
      <c r="A64" s="1222"/>
      <c r="C64" s="436" t="s">
        <v>129</v>
      </c>
      <c r="D64" s="447">
        <f>Assumptions!K29</f>
        <v>0.74375378308416751</v>
      </c>
      <c r="E64" s="447">
        <v>0.6</v>
      </c>
      <c r="F64" s="431" t="s">
        <v>546</v>
      </c>
      <c r="G64" s="230"/>
      <c r="I64" s="230"/>
      <c r="J64" s="230"/>
      <c r="K64" s="230"/>
      <c r="L64" s="230"/>
      <c r="M64" s="230"/>
      <c r="N64" s="230"/>
      <c r="O64" s="230"/>
      <c r="P64" s="230"/>
      <c r="Q64" s="230"/>
      <c r="R64" s="230"/>
      <c r="S64" s="230"/>
      <c r="T64" s="230"/>
      <c r="U64" s="230"/>
      <c r="V64" s="230"/>
      <c r="W64" s="230"/>
      <c r="X64" s="230"/>
      <c r="Y64" s="230"/>
      <c r="Z64" s="230"/>
      <c r="AA64" s="230"/>
      <c r="AB64" s="230"/>
      <c r="AC64" s="230"/>
      <c r="AD64" s="230"/>
      <c r="AE64" s="230"/>
      <c r="AF64" s="230"/>
      <c r="AG64" s="230"/>
    </row>
    <row r="65" spans="1:33" ht="15" customHeight="1">
      <c r="A65" s="1222"/>
      <c r="C65" s="436" t="s">
        <v>547</v>
      </c>
      <c r="D65" s="448">
        <f>Assumptions!K30</f>
        <v>0.71901041428689982</v>
      </c>
      <c r="E65" s="880">
        <v>0.2</v>
      </c>
      <c r="F65" s="431" t="s">
        <v>546</v>
      </c>
      <c r="G65" s="230"/>
      <c r="I65" s="230"/>
      <c r="J65" s="230"/>
      <c r="K65" s="230"/>
      <c r="L65" s="230"/>
      <c r="M65" s="230"/>
      <c r="N65" s="230"/>
      <c r="O65" s="230"/>
      <c r="P65" s="230"/>
      <c r="Q65" s="230"/>
      <c r="R65" s="230"/>
      <c r="S65" s="230"/>
      <c r="T65" s="230"/>
      <c r="U65" s="230"/>
      <c r="V65" s="230"/>
      <c r="W65" s="230"/>
      <c r="X65" s="230"/>
      <c r="Y65" s="230"/>
      <c r="Z65" s="230"/>
      <c r="AA65" s="230"/>
      <c r="AB65" s="230"/>
      <c r="AC65" s="230"/>
      <c r="AD65" s="230"/>
      <c r="AE65" s="230"/>
      <c r="AF65" s="230"/>
      <c r="AG65" s="230"/>
    </row>
    <row r="66" spans="1:33" ht="15" customHeight="1">
      <c r="A66" s="1222"/>
      <c r="C66" s="436" t="s">
        <v>548</v>
      </c>
      <c r="D66" s="806"/>
      <c r="E66" s="806"/>
      <c r="F66" s="431" t="s">
        <v>544</v>
      </c>
      <c r="G66" s="230"/>
      <c r="I66" s="230"/>
      <c r="J66" s="230"/>
      <c r="K66" s="230"/>
      <c r="L66" s="230"/>
      <c r="M66" s="230"/>
      <c r="N66" s="230"/>
      <c r="O66" s="230"/>
      <c r="P66" s="230"/>
      <c r="Q66" s="230"/>
      <c r="R66" s="230"/>
      <c r="S66" s="230"/>
      <c r="T66" s="230"/>
      <c r="U66" s="230"/>
      <c r="V66" s="230"/>
      <c r="W66" s="230"/>
      <c r="X66" s="230"/>
      <c r="Y66" s="230"/>
      <c r="Z66" s="230"/>
      <c r="AA66" s="230"/>
      <c r="AB66" s="230"/>
      <c r="AC66" s="230"/>
      <c r="AD66" s="230"/>
      <c r="AE66" s="230"/>
      <c r="AF66" s="230"/>
      <c r="AG66" s="230"/>
    </row>
    <row r="67" spans="1:33" ht="15.75" customHeight="1">
      <c r="A67" s="1222"/>
      <c r="C67" s="436" t="s">
        <v>549</v>
      </c>
      <c r="D67" s="805"/>
      <c r="E67" s="805"/>
      <c r="F67" s="431" t="s">
        <v>544</v>
      </c>
      <c r="G67" s="230"/>
      <c r="J67" s="230"/>
      <c r="K67" s="230"/>
      <c r="L67" s="230"/>
      <c r="M67" s="230"/>
      <c r="N67" s="230"/>
      <c r="O67" s="230"/>
      <c r="P67" s="230"/>
      <c r="Q67" s="230"/>
      <c r="R67" s="230"/>
      <c r="S67" s="230"/>
      <c r="T67" s="230"/>
      <c r="U67" s="230"/>
      <c r="V67" s="230"/>
      <c r="W67" s="230"/>
      <c r="X67" s="230"/>
      <c r="Y67" s="230"/>
      <c r="Z67" s="230"/>
      <c r="AA67" s="230"/>
      <c r="AB67" s="230"/>
      <c r="AC67" s="230"/>
      <c r="AD67" s="230"/>
      <c r="AE67" s="230"/>
      <c r="AF67" s="230"/>
      <c r="AG67" s="230"/>
    </row>
    <row r="68" spans="1:33" ht="15.75" customHeight="1">
      <c r="A68" s="1222"/>
      <c r="C68" s="436" t="s">
        <v>335</v>
      </c>
      <c r="D68" s="396">
        <f>Assumptions!I33</f>
        <v>3.5176929274973014</v>
      </c>
      <c r="E68" s="396">
        <v>3.25</v>
      </c>
      <c r="F68" s="431" t="s">
        <v>550</v>
      </c>
      <c r="G68" s="230"/>
      <c r="J68" s="230"/>
      <c r="K68" s="230"/>
      <c r="L68" s="230"/>
      <c r="M68" s="230"/>
      <c r="N68" s="230"/>
      <c r="O68" s="230"/>
      <c r="P68" s="230"/>
      <c r="Q68" s="230"/>
      <c r="R68" s="230"/>
      <c r="S68" s="230"/>
      <c r="T68" s="230"/>
      <c r="U68" s="230"/>
      <c r="V68" s="230"/>
      <c r="W68" s="230"/>
      <c r="X68" s="230"/>
      <c r="Y68" s="230"/>
      <c r="Z68" s="230"/>
      <c r="AA68" s="230"/>
      <c r="AB68" s="230"/>
      <c r="AC68" s="230"/>
      <c r="AD68" s="230"/>
      <c r="AE68" s="230"/>
      <c r="AF68" s="230"/>
      <c r="AG68" s="230"/>
    </row>
    <row r="69" spans="1:33" ht="15">
      <c r="A69" s="230"/>
      <c r="C69" s="230"/>
      <c r="D69" s="230"/>
      <c r="E69" s="230"/>
      <c r="F69" s="230"/>
      <c r="G69" s="230"/>
      <c r="H69" s="230"/>
      <c r="I69" s="230"/>
      <c r="J69" s="230"/>
      <c r="K69" s="230"/>
      <c r="L69" s="230"/>
      <c r="M69" s="230"/>
      <c r="N69" s="230"/>
      <c r="O69" s="230"/>
      <c r="P69" s="230"/>
      <c r="Q69" s="230"/>
      <c r="R69" s="230"/>
      <c r="S69" s="230"/>
      <c r="T69" s="230"/>
      <c r="U69" s="230"/>
      <c r="V69" s="230"/>
      <c r="W69" s="230"/>
      <c r="X69" s="230"/>
      <c r="Y69" s="230"/>
      <c r="Z69" s="230"/>
      <c r="AA69" s="230"/>
      <c r="AB69" s="230"/>
      <c r="AC69" s="230"/>
      <c r="AD69" s="230"/>
      <c r="AE69" s="230"/>
      <c r="AF69" s="230"/>
      <c r="AG69" s="230"/>
    </row>
    <row r="70" spans="1:33" ht="15">
      <c r="A70" s="1199" t="s">
        <v>104</v>
      </c>
      <c r="C70" s="307"/>
      <c r="D70" s="402" t="s">
        <v>551</v>
      </c>
      <c r="E70" s="2"/>
      <c r="G70" s="230"/>
      <c r="H70" s="230"/>
      <c r="I70" s="230"/>
      <c r="J70" s="230"/>
      <c r="K70" s="230"/>
      <c r="L70" s="230"/>
      <c r="M70" s="230"/>
      <c r="N70" s="230"/>
      <c r="O70" s="230"/>
      <c r="P70" s="230"/>
      <c r="Q70" s="230"/>
      <c r="R70" s="230"/>
      <c r="S70" s="230"/>
      <c r="T70" s="230"/>
      <c r="U70" s="230"/>
      <c r="V70" s="230"/>
      <c r="W70" s="230"/>
      <c r="X70" s="230"/>
      <c r="Y70" s="230"/>
      <c r="Z70" s="230"/>
      <c r="AA70" s="230"/>
      <c r="AB70" s="230"/>
      <c r="AC70" s="230"/>
      <c r="AD70" s="230"/>
      <c r="AE70" s="230"/>
      <c r="AF70" s="230"/>
      <c r="AG70" s="230"/>
    </row>
    <row r="71" spans="1:33" ht="15">
      <c r="A71" s="1200"/>
      <c r="C71" s="307" t="s">
        <v>552</v>
      </c>
      <c r="D71" s="403">
        <f>SUMPRODUCT(G35:AF35,G45:AF45)+((AF43-AF44)*AF45)</f>
        <v>39118.42220066658</v>
      </c>
      <c r="E71" s="363">
        <f>D71/D73</f>
        <v>0.78795440922073212</v>
      </c>
      <c r="G71" s="230"/>
      <c r="H71" s="230"/>
      <c r="I71" s="230"/>
      <c r="J71" s="230"/>
      <c r="K71" s="230"/>
      <c r="L71" s="230"/>
      <c r="M71" s="230"/>
      <c r="N71" s="230"/>
      <c r="O71" s="230"/>
      <c r="P71" s="230"/>
      <c r="Q71" s="230"/>
      <c r="R71" s="230"/>
      <c r="S71" s="230"/>
      <c r="T71" s="230"/>
      <c r="U71" s="230"/>
      <c r="V71" s="230"/>
      <c r="W71" s="230"/>
      <c r="X71" s="230"/>
      <c r="Y71" s="230"/>
      <c r="Z71" s="230"/>
      <c r="AA71" s="230"/>
      <c r="AB71" s="230"/>
      <c r="AC71" s="230"/>
      <c r="AD71" s="230"/>
      <c r="AE71" s="230"/>
      <c r="AF71" s="230"/>
      <c r="AG71" s="230"/>
    </row>
    <row r="72" spans="1:33" ht="15">
      <c r="A72" s="1200"/>
      <c r="C72" s="307" t="s">
        <v>553</v>
      </c>
      <c r="D72" s="403">
        <f>(AF34/(F50-AF5))*AF45</f>
        <v>10527.117874873771</v>
      </c>
      <c r="E72" s="363">
        <f>D72/D73</f>
        <v>0.21204559077926782</v>
      </c>
      <c r="G72" s="230"/>
      <c r="H72" s="230"/>
      <c r="I72" s="230"/>
      <c r="J72" s="230"/>
      <c r="K72" s="230"/>
      <c r="L72" s="230"/>
      <c r="M72" s="230"/>
      <c r="N72" s="230"/>
      <c r="O72" s="230"/>
      <c r="P72" s="230"/>
      <c r="Q72" s="230"/>
      <c r="R72" s="230"/>
      <c r="S72" s="230"/>
      <c r="T72" s="230"/>
      <c r="U72" s="230"/>
      <c r="V72" s="230"/>
      <c r="W72" s="230"/>
      <c r="X72" s="230"/>
      <c r="Y72" s="230"/>
      <c r="Z72" s="230"/>
      <c r="AA72" s="230"/>
      <c r="AB72" s="230"/>
      <c r="AC72" s="230"/>
      <c r="AD72" s="230"/>
      <c r="AE72" s="230"/>
      <c r="AF72" s="230"/>
      <c r="AG72" s="230"/>
    </row>
    <row r="73" spans="1:33" ht="15">
      <c r="A73" s="1200"/>
      <c r="C73" s="307" t="s">
        <v>554</v>
      </c>
      <c r="D73" s="403">
        <f>D71+D72</f>
        <v>49645.540075540353</v>
      </c>
      <c r="E73" s="2"/>
      <c r="G73" s="230"/>
      <c r="H73" s="230"/>
      <c r="I73" s="230"/>
      <c r="J73" s="230"/>
      <c r="K73" s="230"/>
      <c r="L73" s="230"/>
      <c r="M73" s="230"/>
      <c r="N73" s="230"/>
      <c r="O73" s="230"/>
      <c r="P73" s="230"/>
      <c r="Q73" s="230"/>
      <c r="R73" s="230"/>
      <c r="S73" s="230"/>
      <c r="T73" s="230"/>
      <c r="U73" s="230"/>
      <c r="V73" s="230"/>
      <c r="W73" s="230"/>
      <c r="X73" s="230"/>
      <c r="Y73" s="230"/>
      <c r="Z73" s="230"/>
      <c r="AA73" s="230"/>
      <c r="AB73" s="230"/>
      <c r="AC73" s="230"/>
      <c r="AD73" s="230"/>
      <c r="AE73" s="230"/>
      <c r="AF73" s="230"/>
      <c r="AG73" s="230"/>
    </row>
    <row r="74" spans="1:33" ht="15">
      <c r="A74" s="1200"/>
      <c r="C74" s="808" t="s">
        <v>555</v>
      </c>
      <c r="D74" s="809">
        <f ca="1">OP!C20</f>
        <v>2344.5</v>
      </c>
      <c r="E74" s="308"/>
      <c r="G74" s="230"/>
      <c r="H74" s="230"/>
      <c r="I74" s="230"/>
      <c r="J74" s="230"/>
      <c r="K74" s="230"/>
      <c r="L74" s="230"/>
      <c r="M74" s="230"/>
      <c r="N74" s="230"/>
      <c r="O74" s="230"/>
      <c r="P74" s="230"/>
      <c r="Q74" s="230"/>
      <c r="R74" s="230"/>
      <c r="S74" s="230"/>
      <c r="T74" s="230"/>
      <c r="U74" s="230"/>
      <c r="V74" s="230"/>
      <c r="W74" s="230"/>
      <c r="X74" s="230"/>
      <c r="Y74" s="230"/>
      <c r="Z74" s="230"/>
      <c r="AA74" s="230"/>
      <c r="AB74" s="230"/>
      <c r="AC74" s="230"/>
      <c r="AD74" s="230"/>
      <c r="AE74" s="230"/>
      <c r="AF74" s="230"/>
      <c r="AG74" s="230"/>
    </row>
    <row r="75" spans="1:33" ht="15">
      <c r="A75" s="1200"/>
      <c r="C75" s="808" t="s">
        <v>556</v>
      </c>
      <c r="D75" s="404">
        <f ca="1">D76/D74-1</f>
        <v>-0.99048351932493628</v>
      </c>
      <c r="H75" s="230"/>
      <c r="I75" s="230"/>
      <c r="J75" s="230"/>
      <c r="K75" s="230"/>
      <c r="L75" s="230"/>
      <c r="M75" s="230"/>
      <c r="N75" s="230"/>
      <c r="O75" s="230"/>
      <c r="P75" s="230"/>
      <c r="Q75" s="230"/>
      <c r="R75" s="230"/>
      <c r="S75" s="230"/>
      <c r="T75" s="230"/>
      <c r="U75" s="230"/>
      <c r="V75" s="230"/>
      <c r="W75" s="230"/>
      <c r="X75" s="230"/>
      <c r="Y75" s="230"/>
      <c r="Z75" s="230"/>
      <c r="AA75" s="230"/>
      <c r="AB75" s="230"/>
      <c r="AC75" s="230"/>
      <c r="AD75" s="230"/>
      <c r="AE75" s="230"/>
      <c r="AF75" s="230"/>
      <c r="AG75" s="230"/>
    </row>
    <row r="76" spans="1:33" ht="15">
      <c r="A76" s="1201"/>
      <c r="C76" s="405" t="s">
        <v>557</v>
      </c>
      <c r="D76" s="406">
        <f ca="1">D73*1000000/OP!C21</f>
        <v>22.311388942686872</v>
      </c>
    </row>
    <row r="77" spans="1:33" ht="15">
      <c r="A77" s="382"/>
      <c r="C77" s="308"/>
      <c r="D77" s="810"/>
    </row>
    <row r="78" spans="1:33" ht="15">
      <c r="A78" s="1195" t="s">
        <v>558</v>
      </c>
      <c r="C78" s="426" t="s">
        <v>559</v>
      </c>
      <c r="D78" s="809">
        <f ca="1">(SUMPRODUCT(G35:AF35,G45:AF45)+((AF43-AF44)*AF45)+(AF34/(F50+0.001-AF5))*AF45)*1000000/OP!C21</f>
        <v>22.242823266607765</v>
      </c>
      <c r="E78" s="407">
        <f ca="1">D78/D76-1</f>
        <v>-3.0731245040476196E-3</v>
      </c>
    </row>
    <row r="79" spans="1:33" ht="15">
      <c r="A79" s="1196"/>
      <c r="C79" s="426" t="s">
        <v>560</v>
      </c>
      <c r="D79" s="809">
        <f ca="1">(SUMPRODUCT(G35:AF35,G45:AF45)+((AF43-AF44)*AF45)+(AF34/(F50+0.005-AF5))*AF45)*1000000/OP!C21</f>
        <v>21.98734567902536</v>
      </c>
      <c r="E79" s="407">
        <f ca="1">D79/D76-1</f>
        <v>-1.452367060131976E-2</v>
      </c>
    </row>
    <row r="80" spans="1:33" ht="15">
      <c r="A80" s="424"/>
      <c r="C80" s="425"/>
      <c r="D80" s="810"/>
      <c r="E80" s="407"/>
    </row>
    <row r="81" spans="1:12" ht="15">
      <c r="A81" s="437" t="s">
        <v>561</v>
      </c>
      <c r="J81" s="5"/>
    </row>
    <row r="82" spans="1:12">
      <c r="G82" s="1"/>
      <c r="H82" s="1"/>
      <c r="I82" s="1"/>
      <c r="J82" s="4"/>
    </row>
    <row r="83" spans="1:12">
      <c r="G83" s="1"/>
      <c r="H83" s="1"/>
      <c r="I83" s="1"/>
      <c r="J83" s="4"/>
    </row>
    <row r="84" spans="1:12">
      <c r="G84" s="1"/>
      <c r="H84" s="1"/>
      <c r="I84" s="1"/>
      <c r="K84" s="4"/>
    </row>
    <row r="85" spans="1:12">
      <c r="L85" s="5"/>
    </row>
    <row r="86" spans="1:12">
      <c r="G86" s="1"/>
      <c r="H86" s="1"/>
      <c r="I86" s="1"/>
    </row>
    <row r="87" spans="1:12">
      <c r="G87" s="1"/>
      <c r="H87" s="1"/>
      <c r="I87" s="1"/>
    </row>
    <row r="88" spans="1:12">
      <c r="G88" s="1"/>
      <c r="H88" s="1"/>
      <c r="I88" s="1"/>
    </row>
  </sheetData>
  <mergeCells count="15">
    <mergeCell ref="A33:AF33"/>
    <mergeCell ref="A78:A79"/>
    <mergeCell ref="A1:AF2"/>
    <mergeCell ref="A70:A76"/>
    <mergeCell ref="A5:A17"/>
    <mergeCell ref="A19:A32"/>
    <mergeCell ref="A43:A47"/>
    <mergeCell ref="G3:J3"/>
    <mergeCell ref="K3:AF3"/>
    <mergeCell ref="A42:AF42"/>
    <mergeCell ref="A48:AF48"/>
    <mergeCell ref="A34:A36"/>
    <mergeCell ref="A38:A41"/>
    <mergeCell ref="A49:A50"/>
    <mergeCell ref="A52:A68"/>
  </mergeCells>
  <phoneticPr fontId="0" type="noConversion"/>
  <conditionalFormatting sqref="D75">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1:AK226"/>
  <sheetViews>
    <sheetView showGridLines="0" topLeftCell="A29" zoomScale="85" zoomScaleNormal="85" workbookViewId="0">
      <selection activeCell="C33" sqref="C33"/>
    </sheetView>
  </sheetViews>
  <sheetFormatPr defaultColWidth="9.140625" defaultRowHeight="12.75"/>
  <cols>
    <col min="1" max="1" width="9.140625" style="632"/>
    <col min="2" max="2" width="17.7109375" style="632" customWidth="1"/>
    <col min="3" max="4" width="12.7109375" style="632" customWidth="1"/>
    <col min="5" max="5" width="13.42578125" style="632" customWidth="1"/>
    <col min="6" max="6" width="23.140625" style="632" bestFit="1" customWidth="1"/>
    <col min="7" max="7" width="14.140625" style="632" customWidth="1"/>
    <col min="8" max="9" width="12.85546875" style="632" bestFit="1" customWidth="1"/>
    <col min="10" max="10" width="13.140625" style="632" bestFit="1" customWidth="1"/>
    <col min="11" max="11" width="18.42578125" style="632" bestFit="1" customWidth="1"/>
    <col min="12" max="12" width="18" style="632" bestFit="1" customWidth="1"/>
    <col min="13" max="13" width="22.28515625" style="632" bestFit="1" customWidth="1"/>
    <col min="14" max="15" width="14.7109375" style="632" bestFit="1" customWidth="1"/>
    <col min="16" max="16" width="15.28515625" style="632" customWidth="1"/>
    <col min="17" max="18" width="14.7109375" style="632" bestFit="1" customWidth="1"/>
    <col min="19" max="19" width="12" style="632" bestFit="1" customWidth="1"/>
    <col min="20" max="20" width="9.7109375" style="632" customWidth="1"/>
    <col min="21" max="37" width="12" style="632" bestFit="1" customWidth="1"/>
    <col min="38" max="38" width="9.140625" style="632" customWidth="1"/>
    <col min="39" max="16384" width="9.140625" style="632"/>
  </cols>
  <sheetData>
    <row r="1" spans="1:35" ht="334.15" customHeight="1"/>
    <row r="2" spans="1:35" ht="409.6" customHeight="1">
      <c r="K2" s="632" t="s">
        <v>562</v>
      </c>
    </row>
    <row r="3" spans="1:35" s="631" customFormat="1" ht="12.6" customHeight="1">
      <c r="A3" s="628"/>
      <c r="B3" s="629" t="s">
        <v>563</v>
      </c>
      <c r="C3" s="630"/>
      <c r="D3" s="628"/>
      <c r="E3" s="628"/>
      <c r="F3" s="628"/>
      <c r="G3" s="628"/>
      <c r="H3" s="628"/>
      <c r="I3" s="628"/>
      <c r="J3" s="628"/>
      <c r="K3" s="628"/>
      <c r="L3" s="628"/>
      <c r="M3" s="628"/>
      <c r="N3" s="628"/>
      <c r="O3" s="628"/>
      <c r="P3" s="628"/>
      <c r="Q3" s="628"/>
      <c r="R3" s="628"/>
      <c r="S3" s="628"/>
      <c r="T3" s="628"/>
      <c r="U3" s="628"/>
      <c r="V3" s="628"/>
      <c r="W3" s="628"/>
      <c r="X3" s="628"/>
      <c r="Y3" s="628"/>
      <c r="Z3" s="628"/>
      <c r="AA3" s="628"/>
      <c r="AB3" s="628"/>
      <c r="AC3" s="628"/>
      <c r="AD3" s="628"/>
      <c r="AE3" s="628"/>
      <c r="AF3" s="628"/>
      <c r="AG3" s="628"/>
      <c r="AH3" s="628"/>
      <c r="AI3" s="628"/>
    </row>
    <row r="4" spans="1:35" ht="12.6" customHeight="1">
      <c r="C4" s="633"/>
    </row>
    <row r="5" spans="1:35">
      <c r="B5" s="632" t="s">
        <v>564</v>
      </c>
      <c r="F5" s="634"/>
      <c r="G5" s="635"/>
      <c r="H5" s="635"/>
      <c r="I5" s="635"/>
      <c r="J5" s="635"/>
      <c r="K5" s="635"/>
      <c r="L5" s="635"/>
    </row>
    <row r="6" spans="1:35">
      <c r="B6" s="636"/>
      <c r="G6" s="637"/>
      <c r="H6" s="637"/>
      <c r="I6" s="637"/>
      <c r="J6" s="637"/>
      <c r="K6" s="637"/>
      <c r="L6" s="637"/>
    </row>
    <row r="7" spans="1:35">
      <c r="B7" s="632" t="s">
        <v>565</v>
      </c>
    </row>
    <row r="9" spans="1:35">
      <c r="B9" s="635"/>
      <c r="C9" s="662">
        <v>2023</v>
      </c>
      <c r="D9" s="662">
        <f>C9-1</f>
        <v>2022</v>
      </c>
      <c r="E9" s="662">
        <f t="shared" ref="E9:G9" si="0">D9-1</f>
        <v>2021</v>
      </c>
      <c r="F9" s="662">
        <f t="shared" si="0"/>
        <v>2020</v>
      </c>
      <c r="G9" s="662">
        <f t="shared" si="0"/>
        <v>2019</v>
      </c>
      <c r="I9" s="661" t="s">
        <v>566</v>
      </c>
      <c r="K9" s="656" t="s">
        <v>567</v>
      </c>
      <c r="L9" s="656" t="s">
        <v>568</v>
      </c>
    </row>
    <row r="10" spans="1:35">
      <c r="B10" s="660" t="s">
        <v>569</v>
      </c>
      <c r="C10" s="293" t="e">
        <f>(Inputs!#REF!-Inputs!#REF!)/Inputs!#REF!</f>
        <v>#REF!</v>
      </c>
      <c r="D10" s="293" t="e">
        <f>(Inputs!#REF!-Inputs!#REF!)/Inputs!#REF!</f>
        <v>#REF!</v>
      </c>
      <c r="E10" s="293" t="e">
        <f>(Inputs!#REF!-Inputs!#REF!)/Inputs!#REF!</f>
        <v>#REF!</v>
      </c>
      <c r="F10" s="293" t="e">
        <f>(Inputs!#REF!-Inputs!#REF!)/Inputs!#REF!</f>
        <v>#REF!</v>
      </c>
      <c r="G10" s="293" t="e">
        <f>(Inputs!#REF!-Inputs!#REF!)/Inputs!#REF!</f>
        <v>#REF!</v>
      </c>
      <c r="H10" s="293"/>
      <c r="I10" s="637" t="e">
        <f>AVERAGE(C10:G10)</f>
        <v>#REF!</v>
      </c>
      <c r="K10" s="657"/>
      <c r="L10" s="657"/>
    </row>
    <row r="11" spans="1:35" ht="25.15" customHeight="1">
      <c r="B11" s="660" t="s">
        <v>119</v>
      </c>
      <c r="C11" s="293">
        <f>'Fin. Data'!B12</f>
        <v>0.27067141938876876</v>
      </c>
      <c r="D11" s="293">
        <f>'Fin. Data'!C12</f>
        <v>0.28533523168521874</v>
      </c>
      <c r="E11" s="293">
        <f>'Fin. Data'!D12</f>
        <v>0.2930181418361737</v>
      </c>
      <c r="F11" s="293">
        <f>'Fin. Data'!E12</f>
        <v>0.18184138869979577</v>
      </c>
      <c r="G11" s="293">
        <f>'Fin. Data'!F12</f>
        <v>0.31413693945752702</v>
      </c>
      <c r="H11" s="293"/>
      <c r="I11" s="637">
        <f>AVERAGE(C11:G11)</f>
        <v>0.2690006242134968</v>
      </c>
      <c r="K11" s="657">
        <f>AVERAGE(C11:E11)</f>
        <v>0.28300826430338705</v>
      </c>
      <c r="L11" s="772">
        <v>0.21</v>
      </c>
      <c r="M11" s="773" t="s">
        <v>570</v>
      </c>
    </row>
    <row r="14" spans="1:35" s="631" customFormat="1" ht="15">
      <c r="A14" s="628"/>
      <c r="B14" s="630" t="s">
        <v>571</v>
      </c>
      <c r="C14" s="630"/>
      <c r="D14" s="628"/>
      <c r="E14" s="628"/>
      <c r="F14" s="628"/>
      <c r="G14" s="628"/>
      <c r="H14" s="628"/>
      <c r="I14" s="628"/>
      <c r="J14" s="628"/>
      <c r="K14" s="628"/>
      <c r="L14" s="628"/>
      <c r="M14" s="628"/>
      <c r="N14" s="628"/>
      <c r="O14" s="628"/>
      <c r="P14" s="628"/>
      <c r="Q14" s="628"/>
      <c r="R14" s="628"/>
      <c r="S14" s="628"/>
      <c r="T14" s="628"/>
      <c r="U14" s="628"/>
      <c r="V14" s="628"/>
      <c r="W14" s="628"/>
      <c r="X14" s="628"/>
      <c r="Y14" s="628"/>
      <c r="Z14" s="628"/>
      <c r="AA14" s="628"/>
      <c r="AB14" s="628"/>
      <c r="AC14" s="628"/>
      <c r="AD14" s="628"/>
      <c r="AE14" s="628"/>
      <c r="AF14" s="628"/>
      <c r="AG14" s="628"/>
      <c r="AH14" s="628"/>
      <c r="AI14" s="628"/>
    </row>
    <row r="15" spans="1:35" ht="15">
      <c r="A15" s="658"/>
      <c r="B15" s="659"/>
      <c r="C15" s="659"/>
      <c r="D15" s="658"/>
      <c r="E15" s="658"/>
      <c r="F15" s="658"/>
      <c r="G15" s="658"/>
      <c r="H15" s="658"/>
      <c r="I15" s="658"/>
      <c r="J15" s="658"/>
      <c r="K15" s="658"/>
      <c r="L15" s="658"/>
      <c r="M15" s="658"/>
      <c r="N15" s="658"/>
      <c r="O15" s="658"/>
      <c r="P15" s="658"/>
      <c r="Q15" s="658"/>
      <c r="R15" s="658"/>
      <c r="S15" s="658"/>
      <c r="T15" s="658"/>
      <c r="U15" s="658"/>
      <c r="V15" s="658"/>
      <c r="W15" s="658"/>
      <c r="X15" s="658"/>
      <c r="Y15" s="658"/>
      <c r="Z15" s="658"/>
      <c r="AA15" s="658"/>
      <c r="AB15" s="658"/>
      <c r="AC15" s="658"/>
      <c r="AD15" s="658"/>
      <c r="AE15" s="658"/>
      <c r="AF15" s="658"/>
      <c r="AG15" s="658"/>
      <c r="AH15" s="658"/>
      <c r="AI15" s="658"/>
    </row>
    <row r="16" spans="1:35" ht="15">
      <c r="C16" s="1226" t="s">
        <v>572</v>
      </c>
      <c r="D16" s="1226"/>
      <c r="E16" s="1226"/>
      <c r="F16" s="1226"/>
      <c r="G16" s="1226"/>
    </row>
    <row r="17" spans="2:36" ht="15">
      <c r="B17" s="638"/>
      <c r="C17" s="655">
        <f>C9</f>
        <v>2023</v>
      </c>
      <c r="D17" s="655">
        <f>D9</f>
        <v>2022</v>
      </c>
      <c r="E17" s="655">
        <f>E9</f>
        <v>2021</v>
      </c>
      <c r="F17" s="655">
        <f>F9</f>
        <v>2020</v>
      </c>
      <c r="G17" s="655">
        <f>G9</f>
        <v>2019</v>
      </c>
      <c r="H17" s="639"/>
      <c r="I17" s="663" t="s">
        <v>220</v>
      </c>
      <c r="K17" s="656" t="s">
        <v>567</v>
      </c>
      <c r="L17" s="656" t="s">
        <v>568</v>
      </c>
      <c r="N17" s="632" t="s">
        <v>573</v>
      </c>
    </row>
    <row r="18" spans="2:36">
      <c r="B18" s="660" t="s">
        <v>521</v>
      </c>
      <c r="C18" s="272">
        <v>8.0399999999999999E-2</v>
      </c>
      <c r="D18" s="272">
        <v>9.9500000000000005E-2</v>
      </c>
      <c r="E18" s="272">
        <v>9.7000000000000003E-2</v>
      </c>
      <c r="F18" s="272">
        <v>8.5099999999999995E-2</v>
      </c>
      <c r="G18" s="272">
        <v>7.0599999999999996E-2</v>
      </c>
      <c r="I18" s="641">
        <f>AVERAGE(C18:G18)</f>
        <v>8.6520000000000014E-2</v>
      </c>
      <c r="K18" s="657">
        <f>I18</f>
        <v>8.6520000000000014E-2</v>
      </c>
      <c r="L18" s="657">
        <v>7.0000000000000007E-2</v>
      </c>
      <c r="AJ18" s="642"/>
    </row>
    <row r="19" spans="2:36">
      <c r="B19" s="660" t="s">
        <v>525</v>
      </c>
      <c r="C19" s="640">
        <v>5.7000000000000002E-3</v>
      </c>
      <c r="D19" s="640">
        <v>5.1000000000000004E-3</v>
      </c>
      <c r="E19" s="640">
        <v>5.4000000000000003E-3</v>
      </c>
      <c r="F19" s="640">
        <v>6.7999999999999996E-3</v>
      </c>
      <c r="G19" s="640">
        <v>6.4999999999999997E-3</v>
      </c>
      <c r="I19" s="641">
        <f t="shared" ref="I19:I32" si="1">AVERAGE(C19:G19)</f>
        <v>5.8999999999999999E-3</v>
      </c>
      <c r="K19" s="657">
        <f>I19</f>
        <v>5.8999999999999999E-3</v>
      </c>
      <c r="L19" s="657">
        <v>6.1999999999999998E-3</v>
      </c>
    </row>
    <row r="20" spans="2:36">
      <c r="B20" s="660" t="s">
        <v>528</v>
      </c>
      <c r="C20" s="640">
        <f>K80</f>
        <v>3.7982820078303046E-3</v>
      </c>
      <c r="D20" s="640">
        <f>J80</f>
        <v>2.5886616619207872E-4</v>
      </c>
      <c r="E20" s="640">
        <f>I80</f>
        <v>5.2619178512526505E-3</v>
      </c>
      <c r="F20" s="640">
        <f>H80</f>
        <v>6.6371681415929203E-3</v>
      </c>
      <c r="G20" s="640">
        <f>G80</f>
        <v>4.5076552420921737E-3</v>
      </c>
      <c r="I20" s="641">
        <f>AVERAGE(C20:E20)</f>
        <v>3.1063553417583442E-3</v>
      </c>
      <c r="K20" s="657">
        <v>3.0000000000000001E-3</v>
      </c>
      <c r="L20" s="657">
        <f>K20</f>
        <v>3.0000000000000001E-3</v>
      </c>
    </row>
    <row r="21" spans="2:36" ht="12.6" customHeight="1">
      <c r="B21" s="660" t="s">
        <v>530</v>
      </c>
      <c r="C21" s="798">
        <f>K64</f>
        <v>0.29041916167664672</v>
      </c>
      <c r="D21" s="798">
        <f>J64</f>
        <v>0.29244494006133259</v>
      </c>
      <c r="E21" s="640">
        <f>I64</f>
        <v>0.30132890365448506</v>
      </c>
      <c r="F21" s="640">
        <f>H64</f>
        <v>0.38622950819672131</v>
      </c>
      <c r="G21" s="640">
        <f>G64</f>
        <v>0.27023773698465242</v>
      </c>
      <c r="I21" s="641">
        <f>AVERAGE(C21:G21)</f>
        <v>0.30813205011476763</v>
      </c>
      <c r="K21" s="657">
        <f>I21</f>
        <v>0.30813205011476763</v>
      </c>
      <c r="L21" s="657">
        <v>0.3</v>
      </c>
    </row>
    <row r="22" spans="2:36">
      <c r="B22" s="660" t="s">
        <v>533</v>
      </c>
      <c r="C22" s="643"/>
      <c r="D22" s="643"/>
      <c r="I22" s="641" t="e">
        <f>AVERAGE(C22:G22)</f>
        <v>#DIV/0!</v>
      </c>
      <c r="K22" s="657"/>
      <c r="L22" s="657"/>
    </row>
    <row r="23" spans="2:36">
      <c r="B23" s="660" t="s">
        <v>535</v>
      </c>
      <c r="C23" s="643"/>
      <c r="D23" s="643"/>
      <c r="F23" s="643"/>
      <c r="G23" s="643"/>
      <c r="I23" s="641" t="e">
        <f t="shared" si="1"/>
        <v>#DIV/0!</v>
      </c>
      <c r="K23" s="657"/>
      <c r="L23" s="657"/>
    </row>
    <row r="24" spans="2:36">
      <c r="B24" s="660" t="s">
        <v>537</v>
      </c>
      <c r="C24" s="643"/>
      <c r="D24" s="643"/>
      <c r="E24" s="643"/>
      <c r="F24" s="643"/>
      <c r="G24" s="643"/>
      <c r="I24" s="641" t="e">
        <f t="shared" si="1"/>
        <v>#DIV/0!</v>
      </c>
      <c r="K24" s="657"/>
      <c r="L24" s="657"/>
    </row>
    <row r="25" spans="2:36">
      <c r="B25" s="660" t="s">
        <v>539</v>
      </c>
      <c r="C25" s="640"/>
      <c r="D25" s="640"/>
      <c r="E25" s="640"/>
      <c r="F25" s="640"/>
      <c r="G25" s="640"/>
      <c r="I25" s="641" t="e">
        <f t="shared" si="1"/>
        <v>#DIV/0!</v>
      </c>
      <c r="K25" s="657"/>
      <c r="L25" s="657"/>
    </row>
    <row r="26" spans="2:36">
      <c r="B26" s="660" t="s">
        <v>541</v>
      </c>
      <c r="C26" s="640"/>
      <c r="D26" s="640"/>
      <c r="E26" s="640"/>
      <c r="F26" s="640"/>
      <c r="G26" s="640"/>
      <c r="I26" s="641" t="e">
        <f t="shared" si="1"/>
        <v>#DIV/0!</v>
      </c>
      <c r="K26" s="657"/>
      <c r="L26" s="657"/>
    </row>
    <row r="27" spans="2:36" ht="12.6" customHeight="1">
      <c r="B27" s="660" t="s">
        <v>574</v>
      </c>
      <c r="C27" s="640">
        <f>K69</f>
        <v>6.8953427219073216E-2</v>
      </c>
      <c r="D27" s="640">
        <f>J69</f>
        <v>7.0994046078177581E-2</v>
      </c>
      <c r="E27" s="640">
        <f>I69</f>
        <v>4.9163590669912827E-2</v>
      </c>
      <c r="F27" s="640">
        <f>H69</f>
        <v>5.9564329475833899E-2</v>
      </c>
      <c r="G27" s="640">
        <f>G69</f>
        <v>5.2148908059376699E-2</v>
      </c>
      <c r="I27" s="641">
        <f t="shared" si="1"/>
        <v>6.016486030047484E-2</v>
      </c>
      <c r="K27" s="657">
        <f>I27</f>
        <v>6.016486030047484E-2</v>
      </c>
      <c r="L27" s="804">
        <f>I27</f>
        <v>6.016486030047484E-2</v>
      </c>
    </row>
    <row r="28" spans="2:36">
      <c r="B28" s="660" t="s">
        <v>545</v>
      </c>
      <c r="C28" s="640">
        <f>K71</f>
        <v>2.8750073043884765E-2</v>
      </c>
      <c r="D28" s="640">
        <f>J71</f>
        <v>2.2197773750970748E-2</v>
      </c>
      <c r="E28" s="640">
        <f t="shared" ref="E28" si="2">I71</f>
        <v>3.8639754967407521E-2</v>
      </c>
      <c r="F28" s="640">
        <f>H71</f>
        <v>1.1061946902654867E-2</v>
      </c>
      <c r="G28" s="640">
        <f>G71</f>
        <v>4.4299370482629987E-3</v>
      </c>
      <c r="I28" s="641">
        <f>AVERAGE(D28:G28)</f>
        <v>1.9082353167324033E-2</v>
      </c>
      <c r="K28" s="657">
        <f>AVERAGE(C28:F28)</f>
        <v>2.5162387166229476E-2</v>
      </c>
      <c r="L28" s="657">
        <f>K28</f>
        <v>2.5162387166229476E-2</v>
      </c>
    </row>
    <row r="29" spans="2:36">
      <c r="B29" s="660" t="s">
        <v>129</v>
      </c>
      <c r="C29" s="640">
        <f>K56</f>
        <v>0.57780138077535848</v>
      </c>
      <c r="D29" s="640">
        <f>J56</f>
        <v>0.8385260635110845</v>
      </c>
      <c r="E29" s="640">
        <f>I56</f>
        <v>0.81493390496605933</v>
      </c>
      <c r="F29" s="640">
        <f>H56</f>
        <v>1.4257221458046767</v>
      </c>
      <c r="G29" s="640">
        <f>G56</f>
        <v>0.63440215762661067</v>
      </c>
      <c r="I29" s="641">
        <f t="shared" si="1"/>
        <v>0.85827713053675792</v>
      </c>
      <c r="K29" s="657">
        <f>AVERAGE(C29:E29)</f>
        <v>0.74375378308416751</v>
      </c>
      <c r="L29" s="657"/>
    </row>
    <row r="30" spans="2:36">
      <c r="B30" s="660" t="s">
        <v>547</v>
      </c>
      <c r="C30" s="759">
        <f>K75</f>
        <v>0.44102496016994158</v>
      </c>
      <c r="D30" s="640">
        <f>J75</f>
        <v>0.91545835829838229</v>
      </c>
      <c r="E30" s="640">
        <f>I75</f>
        <v>5.2375848517327614E-2</v>
      </c>
      <c r="F30" s="759">
        <f>H75</f>
        <v>1.1103163686382393</v>
      </c>
      <c r="G30" s="640">
        <f>G75</f>
        <v>1.0758765358106084</v>
      </c>
      <c r="I30" s="641">
        <f>AVERAGE(C30:G30)</f>
        <v>0.71901041428689982</v>
      </c>
      <c r="K30" s="657">
        <f>I30</f>
        <v>0.71901041428689982</v>
      </c>
      <c r="L30" s="657">
        <f>K30/2</f>
        <v>0.35950520714344991</v>
      </c>
    </row>
    <row r="31" spans="2:36">
      <c r="B31" s="660" t="s">
        <v>548</v>
      </c>
      <c r="C31" s="640"/>
      <c r="D31" s="640"/>
      <c r="E31" s="640"/>
      <c r="F31" s="640"/>
      <c r="G31" s="640"/>
      <c r="I31" s="641" t="e">
        <f t="shared" si="1"/>
        <v>#DIV/0!</v>
      </c>
      <c r="K31" s="657"/>
      <c r="L31" s="657"/>
    </row>
    <row r="32" spans="2:36">
      <c r="B32" s="660" t="s">
        <v>549</v>
      </c>
      <c r="I32" s="641" t="e">
        <f t="shared" si="1"/>
        <v>#DIV/0!</v>
      </c>
      <c r="K32" s="668"/>
      <c r="L32" s="668"/>
    </row>
    <row r="33" spans="2:37">
      <c r="B33" s="660" t="s">
        <v>335</v>
      </c>
      <c r="C33" s="759">
        <v>2.9967674155487312</v>
      </c>
      <c r="D33" s="759">
        <v>2.7869225764476253</v>
      </c>
      <c r="E33" s="759">
        <v>3.0903472095982547</v>
      </c>
      <c r="F33" s="759">
        <v>5.9933728636205092</v>
      </c>
      <c r="G33" s="759">
        <v>2.7210545722713864</v>
      </c>
      <c r="I33" s="641">
        <f>AVERAGE(C33:G33)</f>
        <v>3.5176929274973014</v>
      </c>
      <c r="K33" s="668"/>
      <c r="L33" s="668"/>
    </row>
    <row r="36" spans="2:37" s="631" customFormat="1" ht="15">
      <c r="B36" s="644" t="s">
        <v>575</v>
      </c>
    </row>
    <row r="38" spans="2:37" ht="12.6" customHeight="1"/>
    <row r="40" spans="2:37" ht="12.6" customHeight="1">
      <c r="G40" s="726">
        <f t="shared" ref="G40:J40" si="3">H40-1</f>
        <v>2019</v>
      </c>
      <c r="H40" s="726">
        <f t="shared" si="3"/>
        <v>2020</v>
      </c>
      <c r="I40" s="726">
        <f t="shared" si="3"/>
        <v>2021</v>
      </c>
      <c r="J40" s="726">
        <f t="shared" si="3"/>
        <v>2022</v>
      </c>
      <c r="K40" s="726">
        <f>L40-1</f>
        <v>2023</v>
      </c>
      <c r="L40" s="726">
        <v>2024</v>
      </c>
      <c r="M40" s="726">
        <f>L40+1</f>
        <v>2025</v>
      </c>
      <c r="N40" s="726">
        <f t="shared" ref="N40:AJ40" si="4">M40+1</f>
        <v>2026</v>
      </c>
      <c r="O40" s="726">
        <f t="shared" si="4"/>
        <v>2027</v>
      </c>
      <c r="P40" s="726">
        <f t="shared" si="4"/>
        <v>2028</v>
      </c>
      <c r="Q40" s="726">
        <f t="shared" si="4"/>
        <v>2029</v>
      </c>
      <c r="R40" s="726">
        <f t="shared" si="4"/>
        <v>2030</v>
      </c>
      <c r="S40" s="726">
        <f t="shared" si="4"/>
        <v>2031</v>
      </c>
      <c r="T40" s="726">
        <f t="shared" si="4"/>
        <v>2032</v>
      </c>
      <c r="U40" s="726">
        <f>T40+1</f>
        <v>2033</v>
      </c>
      <c r="V40" s="726">
        <f t="shared" si="4"/>
        <v>2034</v>
      </c>
      <c r="W40" s="726">
        <f>V40+1</f>
        <v>2035</v>
      </c>
      <c r="X40" s="726">
        <f t="shared" si="4"/>
        <v>2036</v>
      </c>
      <c r="Y40" s="726">
        <f t="shared" si="4"/>
        <v>2037</v>
      </c>
      <c r="Z40" s="726">
        <f t="shared" si="4"/>
        <v>2038</v>
      </c>
      <c r="AA40" s="726">
        <f t="shared" si="4"/>
        <v>2039</v>
      </c>
      <c r="AB40" s="726">
        <f t="shared" si="4"/>
        <v>2040</v>
      </c>
      <c r="AC40" s="726">
        <f>AB40+1</f>
        <v>2041</v>
      </c>
      <c r="AD40" s="726">
        <f t="shared" si="4"/>
        <v>2042</v>
      </c>
      <c r="AE40" s="726">
        <f t="shared" si="4"/>
        <v>2043</v>
      </c>
      <c r="AF40" s="726">
        <f t="shared" si="4"/>
        <v>2044</v>
      </c>
      <c r="AG40" s="726">
        <f t="shared" si="4"/>
        <v>2045</v>
      </c>
      <c r="AH40" s="726">
        <f>AG40+1</f>
        <v>2046</v>
      </c>
      <c r="AI40" s="726">
        <f t="shared" si="4"/>
        <v>2047</v>
      </c>
      <c r="AJ40" s="726">
        <f t="shared" si="4"/>
        <v>2048</v>
      </c>
      <c r="AK40" s="726">
        <f>AJ40+1</f>
        <v>2049</v>
      </c>
    </row>
    <row r="42" spans="2:37" ht="25.5">
      <c r="F42" s="758" t="s">
        <v>576</v>
      </c>
      <c r="H42" s="760">
        <v>0.04</v>
      </c>
      <c r="J42" s="760">
        <v>4.7E-2</v>
      </c>
      <c r="K42" s="641">
        <f>J42+$J$43/2</f>
        <v>4.8750000000000002E-2</v>
      </c>
      <c r="L42" s="641">
        <f t="shared" ref="L42:Q42" si="5">K42+$J$43/2</f>
        <v>5.0500000000000003E-2</v>
      </c>
      <c r="M42" s="641">
        <f t="shared" si="5"/>
        <v>5.2250000000000005E-2</v>
      </c>
      <c r="N42" s="641">
        <f t="shared" si="5"/>
        <v>5.4000000000000006E-2</v>
      </c>
      <c r="O42" s="641">
        <f t="shared" si="5"/>
        <v>5.5750000000000008E-2</v>
      </c>
      <c r="P42" s="641">
        <f t="shared" si="5"/>
        <v>5.7500000000000009E-2</v>
      </c>
      <c r="Q42" s="641">
        <f t="shared" si="5"/>
        <v>5.9250000000000011E-2</v>
      </c>
      <c r="R42" s="760">
        <v>0.06</v>
      </c>
    </row>
    <row r="43" spans="2:37">
      <c r="I43" s="761" t="s">
        <v>577</v>
      </c>
      <c r="J43" s="762">
        <f>0.007/2</f>
        <v>3.5000000000000001E-3</v>
      </c>
      <c r="K43" s="641">
        <f>(K42-J42)</f>
        <v>1.7500000000000016E-3</v>
      </c>
      <c r="L43" s="641">
        <f t="shared" ref="L43:N43" si="6">(L42-K42)</f>
        <v>1.7500000000000016E-3</v>
      </c>
      <c r="M43" s="641">
        <f t="shared" si="6"/>
        <v>1.7500000000000016E-3</v>
      </c>
      <c r="N43" s="641">
        <f t="shared" si="6"/>
        <v>1.7500000000000016E-3</v>
      </c>
      <c r="O43" s="641">
        <f t="shared" ref="O43" si="7">(O42-N42)</f>
        <v>1.7500000000000016E-3</v>
      </c>
      <c r="P43" s="641">
        <f t="shared" ref="P43:Q43" si="8">(P42-O42)</f>
        <v>1.7500000000000016E-3</v>
      </c>
      <c r="Q43" s="641">
        <f t="shared" si="8"/>
        <v>1.7500000000000016E-3</v>
      </c>
      <c r="R43" s="869">
        <f>(R42-Q42)</f>
        <v>7.4999999999998679E-4</v>
      </c>
    </row>
    <row r="45" spans="2:37" ht="12.6" customHeight="1">
      <c r="F45" s="632" t="s">
        <v>578</v>
      </c>
      <c r="J45" s="763">
        <v>962000</v>
      </c>
      <c r="K45" s="763"/>
      <c r="L45" s="763"/>
      <c r="M45" s="763"/>
      <c r="N45" s="763"/>
      <c r="O45" s="763"/>
      <c r="P45" s="763"/>
      <c r="Q45" s="763"/>
      <c r="R45" s="763"/>
    </row>
    <row r="46" spans="2:37">
      <c r="F46" s="632" t="s">
        <v>579</v>
      </c>
      <c r="J46" s="759">
        <v>0.04</v>
      </c>
      <c r="K46" s="759"/>
      <c r="L46" s="759"/>
      <c r="M46" s="759"/>
      <c r="N46" s="759"/>
      <c r="O46" s="759"/>
      <c r="P46" s="759"/>
      <c r="Q46" s="759"/>
      <c r="R46" s="759"/>
    </row>
    <row r="48" spans="2:37">
      <c r="F48" s="632" t="s">
        <v>580</v>
      </c>
      <c r="J48" s="763">
        <f>Inputs!C6</f>
        <v>15452</v>
      </c>
      <c r="K48" s="763">
        <f>Inputs!B6</f>
        <v>17113</v>
      </c>
      <c r="L48" s="763">
        <f>K48*(1+L43)*(1+$J$46)</f>
        <v>17828.665659999999</v>
      </c>
      <c r="M48" s="763">
        <f t="shared" ref="M48:Q48" si="9">L48*(1+M43)*(1+$J$46)</f>
        <v>18574.2604579012</v>
      </c>
      <c r="N48" s="763">
        <f t="shared" si="9"/>
        <v>19351.036030250631</v>
      </c>
      <c r="O48" s="763">
        <f t="shared" si="9"/>
        <v>20160.296357035713</v>
      </c>
      <c r="P48" s="763">
        <f t="shared" si="9"/>
        <v>21003.399950686948</v>
      </c>
      <c r="Q48" s="763">
        <f t="shared" si="9"/>
        <v>21881.762136624671</v>
      </c>
      <c r="R48" s="763">
        <f>Q48*(1+R43)*(1+$J$46)</f>
        <v>22774.100396556227</v>
      </c>
      <c r="S48" s="763">
        <f>R48*(1+S50)</f>
        <v>23645.8929597364</v>
      </c>
      <c r="T48" s="763">
        <f>S48*(1+T50)</f>
        <v>24491.943009835773</v>
      </c>
      <c r="U48" s="763">
        <f t="shared" ref="U48:AK48" si="10">T48*(1+U50)</f>
        <v>25307.034873203109</v>
      </c>
      <c r="V48" s="763">
        <f t="shared" si="10"/>
        <v>26085.985406600303</v>
      </c>
      <c r="W48" s="763">
        <f t="shared" si="10"/>
        <v>26823.697073898962</v>
      </c>
      <c r="X48" s="763">
        <f t="shared" si="10"/>
        <v>27515.21198446408</v>
      </c>
      <c r="Y48" s="763">
        <f t="shared" si="10"/>
        <v>28155.766119462402</v>
      </c>
      <c r="Z48" s="763">
        <f t="shared" si="10"/>
        <v>28740.842939424831</v>
      </c>
      <c r="AA48" s="763">
        <f t="shared" si="10"/>
        <v>29338.652472564863</v>
      </c>
      <c r="AB48" s="763">
        <f t="shared" si="10"/>
        <v>29925.425522016161</v>
      </c>
      <c r="AC48" s="763">
        <f t="shared" si="10"/>
        <v>30523.934032456484</v>
      </c>
      <c r="AD48" s="763">
        <f t="shared" si="10"/>
        <v>31134.412713105616</v>
      </c>
      <c r="AE48" s="763">
        <f t="shared" si="10"/>
        <v>31757.100967367729</v>
      </c>
      <c r="AF48" s="763">
        <f t="shared" si="10"/>
        <v>32392.242986715086</v>
      </c>
      <c r="AG48" s="763">
        <f t="shared" si="10"/>
        <v>33040.087846449387</v>
      </c>
      <c r="AH48" s="763">
        <f t="shared" si="10"/>
        <v>33700.889603378375</v>
      </c>
      <c r="AI48" s="763">
        <f t="shared" si="10"/>
        <v>34374.907395445945</v>
      </c>
      <c r="AJ48" s="763">
        <f t="shared" si="10"/>
        <v>35062.405543354864</v>
      </c>
      <c r="AK48" s="763">
        <f t="shared" si="10"/>
        <v>35763.653654221962</v>
      </c>
    </row>
    <row r="49" spans="6:37">
      <c r="K49" s="764">
        <f>J48*(1.04*1.0018)</f>
        <v>16099.006144000003</v>
      </c>
    </row>
    <row r="50" spans="6:37">
      <c r="K50" s="761" t="s">
        <v>577</v>
      </c>
      <c r="L50" s="770">
        <f>(L48-K48)/K48</f>
        <v>4.1819999999999927E-2</v>
      </c>
      <c r="M50" s="770">
        <f t="shared" ref="M50:R50" si="11">(M48-L48)/L48</f>
        <v>4.18200000000001E-2</v>
      </c>
      <c r="N50" s="770">
        <f t="shared" si="11"/>
        <v>4.1820000000000107E-2</v>
      </c>
      <c r="O50" s="770">
        <f t="shared" si="11"/>
        <v>4.1820000000000072E-2</v>
      </c>
      <c r="P50" s="770">
        <f t="shared" si="11"/>
        <v>4.1820000000000045E-2</v>
      </c>
      <c r="Q50" s="770">
        <f t="shared" si="11"/>
        <v>4.1819999999999781E-2</v>
      </c>
      <c r="R50" s="770">
        <f t="shared" si="11"/>
        <v>4.0780000000000066E-2</v>
      </c>
      <c r="S50" s="641">
        <f>R50+$R$51</f>
        <v>3.8280000000000064E-2</v>
      </c>
      <c r="T50" s="641">
        <f>S50+$R$51</f>
        <v>3.5780000000000062E-2</v>
      </c>
      <c r="U50" s="641">
        <f t="shared" ref="U50:Z50" si="12">T50+$R$51</f>
        <v>3.328000000000006E-2</v>
      </c>
      <c r="V50" s="641">
        <f t="shared" si="12"/>
        <v>3.0780000000000061E-2</v>
      </c>
      <c r="W50" s="641">
        <f t="shared" si="12"/>
        <v>2.8280000000000062E-2</v>
      </c>
      <c r="X50" s="641">
        <f t="shared" si="12"/>
        <v>2.5780000000000063E-2</v>
      </c>
      <c r="Y50" s="641">
        <f t="shared" si="12"/>
        <v>2.3280000000000065E-2</v>
      </c>
      <c r="Z50" s="641">
        <f t="shared" si="12"/>
        <v>2.0780000000000066E-2</v>
      </c>
      <c r="AA50" s="641">
        <v>2.0799999999999999E-2</v>
      </c>
      <c r="AB50" s="641">
        <v>0.02</v>
      </c>
      <c r="AC50" s="759">
        <v>0.02</v>
      </c>
      <c r="AD50" s="759">
        <v>0.02</v>
      </c>
      <c r="AE50" s="759">
        <v>0.02</v>
      </c>
      <c r="AF50" s="759">
        <v>0.02</v>
      </c>
      <c r="AG50" s="759">
        <v>0.02</v>
      </c>
      <c r="AH50" s="759">
        <v>0.02</v>
      </c>
      <c r="AI50" s="759">
        <v>0.02</v>
      </c>
      <c r="AJ50" s="759">
        <v>0.02</v>
      </c>
      <c r="AK50" s="759">
        <v>0.02</v>
      </c>
    </row>
    <row r="51" spans="6:37">
      <c r="K51" s="761" t="s">
        <v>581</v>
      </c>
      <c r="L51" s="771">
        <v>0.02</v>
      </c>
      <c r="R51" s="641">
        <v>-2.5000000000000001E-3</v>
      </c>
    </row>
    <row r="53" spans="6:37" ht="13.5" thickBot="1"/>
    <row r="54" spans="6:37">
      <c r="F54" s="632" t="s">
        <v>582</v>
      </c>
      <c r="G54" s="727">
        <v>2117</v>
      </c>
      <c r="H54" s="727">
        <v>2073</v>
      </c>
      <c r="I54" s="727">
        <v>2281</v>
      </c>
      <c r="J54" s="727">
        <v>2799</v>
      </c>
      <c r="K54" s="727">
        <v>2176</v>
      </c>
    </row>
    <row r="55" spans="6:37">
      <c r="F55" s="632" t="s">
        <v>583</v>
      </c>
      <c r="G55" s="728">
        <f>Inputs!F12</f>
        <v>3337</v>
      </c>
      <c r="H55" s="728">
        <f>Inputs!E12</f>
        <v>1454</v>
      </c>
      <c r="I55" s="728">
        <f>Inputs!D12</f>
        <v>2799</v>
      </c>
      <c r="J55" s="728">
        <f>Inputs!C12</f>
        <v>3338</v>
      </c>
      <c r="K55" s="728">
        <f>Inputs!B12</f>
        <v>3766</v>
      </c>
    </row>
    <row r="56" spans="6:37">
      <c r="F56" s="632" t="s">
        <v>584</v>
      </c>
      <c r="G56" s="729">
        <f>G54/G55</f>
        <v>0.63440215762661067</v>
      </c>
      <c r="H56" s="729">
        <f t="shared" ref="H56:K56" si="13">H54/H55</f>
        <v>1.4257221458046767</v>
      </c>
      <c r="I56" s="729">
        <f t="shared" si="13"/>
        <v>0.81493390496605933</v>
      </c>
      <c r="J56" s="729">
        <f t="shared" si="13"/>
        <v>0.8385260635110845</v>
      </c>
      <c r="K56" s="729">
        <f t="shared" si="13"/>
        <v>0.57780138077535848</v>
      </c>
    </row>
    <row r="57" spans="6:37">
      <c r="F57" s="632" t="s">
        <v>585</v>
      </c>
      <c r="G57" s="730">
        <f>G56^(-1)</f>
        <v>1.5762871988663203</v>
      </c>
      <c r="H57" s="731">
        <f t="shared" ref="H57:K57" si="14">H56^(-1)</f>
        <v>0.70139893873613124</v>
      </c>
      <c r="I57" s="730">
        <f t="shared" si="14"/>
        <v>1.227093380096449</v>
      </c>
      <c r="J57" s="730">
        <f t="shared" si="14"/>
        <v>1.1925687745623437</v>
      </c>
      <c r="K57" s="730">
        <f t="shared" si="14"/>
        <v>1.7306985294117647</v>
      </c>
    </row>
    <row r="60" spans="6:37">
      <c r="F60" s="632" t="s">
        <v>56</v>
      </c>
      <c r="G60" s="728">
        <f>'Fin. Data'!F16</f>
        <v>3586</v>
      </c>
      <c r="H60" s="728">
        <f>'Fin. Data'!E16</f>
        <v>1878</v>
      </c>
      <c r="I60" s="728">
        <f>'Fin. Data'!D16</f>
        <v>3383</v>
      </c>
      <c r="J60" s="728">
        <f>'Fin. Data'!C16</f>
        <v>4009</v>
      </c>
      <c r="K60" s="728">
        <f>'Fin. Data'!B16</f>
        <v>3934</v>
      </c>
    </row>
    <row r="61" spans="6:37">
      <c r="F61" s="632" t="s">
        <v>586</v>
      </c>
      <c r="G61" s="728">
        <f>'Fin. Data'!F14</f>
        <v>-263</v>
      </c>
      <c r="H61" s="728">
        <f>'Fin. Data'!E14</f>
        <v>-353</v>
      </c>
      <c r="I61" s="728">
        <f>'Fin. Data'!D14</f>
        <v>-373</v>
      </c>
      <c r="J61" s="728">
        <f>'Fin. Data'!C14</f>
        <v>-422</v>
      </c>
      <c r="K61" s="728">
        <f>'Fin. Data'!B14</f>
        <v>-594</v>
      </c>
    </row>
    <row r="62" spans="6:37">
      <c r="F62" s="632" t="s">
        <v>587</v>
      </c>
      <c r="G62" s="728">
        <f>G60+G61</f>
        <v>3323</v>
      </c>
      <c r="H62" s="728">
        <f t="shared" ref="H62:K62" si="15">H60+H61</f>
        <v>1525</v>
      </c>
      <c r="I62" s="728">
        <f t="shared" si="15"/>
        <v>3010</v>
      </c>
      <c r="J62" s="728">
        <f t="shared" si="15"/>
        <v>3587</v>
      </c>
      <c r="K62" s="728">
        <f t="shared" si="15"/>
        <v>3340</v>
      </c>
    </row>
    <row r="63" spans="6:37">
      <c r="F63" s="632" t="s">
        <v>588</v>
      </c>
      <c r="G63" s="728">
        <f>Inputs!F11</f>
        <v>-898</v>
      </c>
      <c r="H63" s="728">
        <f>Inputs!E11</f>
        <v>-589</v>
      </c>
      <c r="I63" s="728">
        <f>Inputs!D11</f>
        <v>-907</v>
      </c>
      <c r="J63" s="728">
        <f>Inputs!C11</f>
        <v>-1049</v>
      </c>
      <c r="K63" s="728">
        <f>Inputs!B11</f>
        <v>-970</v>
      </c>
    </row>
    <row r="64" spans="6:37">
      <c r="F64" s="632" t="s">
        <v>589</v>
      </c>
      <c r="G64" s="729">
        <f>-G63/G62</f>
        <v>0.27023773698465242</v>
      </c>
      <c r="H64" s="729">
        <f t="shared" ref="H64:K64" si="16">-H63/H62</f>
        <v>0.38622950819672131</v>
      </c>
      <c r="I64" s="729">
        <f t="shared" si="16"/>
        <v>0.30132890365448506</v>
      </c>
      <c r="J64" s="729">
        <f t="shared" si="16"/>
        <v>0.29244494006133259</v>
      </c>
      <c r="K64" s="729">
        <f t="shared" si="16"/>
        <v>0.29041916167664672</v>
      </c>
    </row>
    <row r="67" spans="6:12">
      <c r="F67" s="632" t="s">
        <v>590</v>
      </c>
      <c r="G67" s="728">
        <f>Inputs!F65</f>
        <v>-671</v>
      </c>
      <c r="H67" s="728">
        <f>Inputs!E65</f>
        <v>-700</v>
      </c>
      <c r="I67" s="728">
        <f>Inputs!D65</f>
        <v>-626</v>
      </c>
      <c r="J67" s="728">
        <f>Inputs!C65</f>
        <v>-1097</v>
      </c>
      <c r="K67" s="728">
        <f>Inputs!B65</f>
        <v>-1180</v>
      </c>
    </row>
    <row r="68" spans="6:12">
      <c r="F68" s="632" t="s">
        <v>591</v>
      </c>
      <c r="G68" s="728">
        <f>Inputs!F6</f>
        <v>12867</v>
      </c>
      <c r="H68" s="728">
        <f>Inputs!E6</f>
        <v>11752</v>
      </c>
      <c r="I68" s="728">
        <f>Inputs!D6</f>
        <v>12733</v>
      </c>
      <c r="J68" s="728">
        <f>Inputs!C6</f>
        <v>15452</v>
      </c>
      <c r="K68" s="728">
        <f>Inputs!B6</f>
        <v>17113</v>
      </c>
    </row>
    <row r="69" spans="6:12">
      <c r="F69" s="632" t="s">
        <v>592</v>
      </c>
      <c r="G69" s="729">
        <f>-G67/G68</f>
        <v>5.2148908059376699E-2</v>
      </c>
      <c r="H69" s="729">
        <f t="shared" ref="H69:K69" si="17">-H67/H68</f>
        <v>5.9564329475833899E-2</v>
      </c>
      <c r="I69" s="729">
        <f t="shared" si="17"/>
        <v>4.9163590669912827E-2</v>
      </c>
      <c r="J69" s="729">
        <f t="shared" si="17"/>
        <v>7.0994046078177581E-2</v>
      </c>
      <c r="K69" s="729">
        <f t="shared" si="17"/>
        <v>6.8953427219073216E-2</v>
      </c>
    </row>
    <row r="70" spans="6:12">
      <c r="F70" s="632" t="s">
        <v>593</v>
      </c>
      <c r="G70" s="728">
        <f>Inputs!F66</f>
        <v>-57</v>
      </c>
      <c r="H70" s="728">
        <f>Inputs!E66</f>
        <v>-130</v>
      </c>
      <c r="I70" s="728">
        <f>Inputs!D66</f>
        <v>-492</v>
      </c>
      <c r="J70" s="728">
        <f>Inputs!C66</f>
        <v>-343</v>
      </c>
      <c r="K70" s="728">
        <f>Inputs!B66</f>
        <v>-492</v>
      </c>
    </row>
    <row r="71" spans="6:12">
      <c r="F71" s="632" t="s">
        <v>592</v>
      </c>
      <c r="G71" s="729">
        <f>-G70/G68</f>
        <v>4.4299370482629987E-3</v>
      </c>
      <c r="H71" s="729">
        <f t="shared" ref="H71:K71" si="18">-H70/H68</f>
        <v>1.1061946902654867E-2</v>
      </c>
      <c r="I71" s="729">
        <f t="shared" si="18"/>
        <v>3.8639754967407521E-2</v>
      </c>
      <c r="J71" s="729">
        <f t="shared" si="18"/>
        <v>2.2197773750970748E-2</v>
      </c>
      <c r="K71" s="729">
        <f t="shared" si="18"/>
        <v>2.8750073043884765E-2</v>
      </c>
    </row>
    <row r="72" spans="6:12">
      <c r="G72" s="817"/>
      <c r="H72" s="817"/>
      <c r="I72" s="817"/>
      <c r="J72" s="817"/>
      <c r="K72" s="817"/>
    </row>
    <row r="73" spans="6:12">
      <c r="F73" s="632" t="s">
        <v>594</v>
      </c>
      <c r="G73" s="827">
        <v>-3590.2</v>
      </c>
      <c r="H73" s="827">
        <v>-1614.4</v>
      </c>
      <c r="I73" s="827">
        <v>-146.6</v>
      </c>
      <c r="J73" s="827">
        <v>-3055.8</v>
      </c>
      <c r="K73" s="827">
        <v>-1660.9</v>
      </c>
      <c r="L73" s="728"/>
    </row>
    <row r="74" spans="6:12">
      <c r="F74" s="632" t="s">
        <v>583</v>
      </c>
      <c r="G74" s="827">
        <f>G55</f>
        <v>3337</v>
      </c>
      <c r="H74" s="827">
        <f>H55</f>
        <v>1454</v>
      </c>
      <c r="I74" s="827">
        <f>I55</f>
        <v>2799</v>
      </c>
      <c r="J74" s="827">
        <f>J55</f>
        <v>3338</v>
      </c>
      <c r="K74" s="827">
        <f>K55</f>
        <v>3766</v>
      </c>
    </row>
    <row r="75" spans="6:12">
      <c r="F75" s="632" t="s">
        <v>592</v>
      </c>
      <c r="G75" s="729">
        <f>-G73/G74</f>
        <v>1.0758765358106084</v>
      </c>
      <c r="H75" s="729">
        <f>-H73/H74</f>
        <v>1.1103163686382393</v>
      </c>
      <c r="I75" s="729">
        <f>-I73/I74</f>
        <v>5.2375848517327614E-2</v>
      </c>
      <c r="J75" s="729">
        <f>-J73/J74</f>
        <v>0.91545835829838229</v>
      </c>
      <c r="K75" s="729">
        <f>-K73/K74</f>
        <v>0.44102496016994158</v>
      </c>
      <c r="L75" s="831">
        <f>AVERAGE(G75:K75)</f>
        <v>0.71901041428689971</v>
      </c>
    </row>
    <row r="77" spans="6:12">
      <c r="J77" s="817"/>
      <c r="K77" s="817"/>
    </row>
    <row r="78" spans="6:12" ht="13.5" thickBot="1">
      <c r="F78" s="632" t="s">
        <v>595</v>
      </c>
      <c r="G78" s="827">
        <f>'Fin. Data'!F5</f>
        <v>12867</v>
      </c>
      <c r="H78" s="827">
        <f>'Fin. Data'!E5</f>
        <v>11752</v>
      </c>
      <c r="I78" s="827">
        <f>'Fin. Data'!D5</f>
        <v>12733</v>
      </c>
      <c r="J78" s="827">
        <f>'Fin. Data'!C5</f>
        <v>15452</v>
      </c>
      <c r="K78" s="728">
        <f>'Fin. Data'!B5</f>
        <v>17113</v>
      </c>
    </row>
    <row r="79" spans="6:12">
      <c r="F79" s="632" t="s">
        <v>596</v>
      </c>
      <c r="G79" s="829">
        <v>58</v>
      </c>
      <c r="H79" s="829">
        <v>78</v>
      </c>
      <c r="I79" s="829">
        <v>67</v>
      </c>
      <c r="J79" s="829">
        <v>4</v>
      </c>
      <c r="K79" s="829">
        <v>65</v>
      </c>
    </row>
    <row r="80" spans="6:12">
      <c r="F80" s="632" t="s">
        <v>592</v>
      </c>
      <c r="G80" s="830">
        <f>G79/G78</f>
        <v>4.5076552420921737E-3</v>
      </c>
      <c r="H80" s="272">
        <f>H79/H78</f>
        <v>6.6371681415929203E-3</v>
      </c>
      <c r="I80" s="272">
        <f>I79/I78</f>
        <v>5.2619178512526505E-3</v>
      </c>
      <c r="J80" s="272">
        <f>J79/J78</f>
        <v>2.5886616619207872E-4</v>
      </c>
      <c r="K80" s="272">
        <f>K79/K78</f>
        <v>3.7982820078303046E-3</v>
      </c>
      <c r="L80" s="832">
        <f>AVERAGE(G80:K80)</f>
        <v>4.0927778817920254E-3</v>
      </c>
    </row>
    <row r="81" spans="6:12">
      <c r="F81" s="632" t="s">
        <v>569</v>
      </c>
      <c r="G81" s="728">
        <f>Inputs!F6-Inputs!G6</f>
        <v>704</v>
      </c>
      <c r="H81" s="833">
        <f>H78-G78</f>
        <v>-1115</v>
      </c>
      <c r="I81" s="833">
        <f>I78-H78</f>
        <v>981</v>
      </c>
      <c r="J81" s="833">
        <f>J78-I78</f>
        <v>2719</v>
      </c>
      <c r="K81" s="833">
        <f>K78-J78</f>
        <v>1661</v>
      </c>
    </row>
    <row r="82" spans="6:12">
      <c r="F82" s="632" t="s">
        <v>597</v>
      </c>
      <c r="G82" s="827">
        <v>-1511.1</v>
      </c>
      <c r="H82" s="827">
        <v>-2085.4</v>
      </c>
      <c r="I82" s="827">
        <v>-704.9</v>
      </c>
      <c r="J82" s="827">
        <v>-1730.6</v>
      </c>
      <c r="K82" s="827">
        <v>-3216</v>
      </c>
    </row>
    <row r="83" spans="6:12">
      <c r="F83" s="632" t="s">
        <v>592</v>
      </c>
      <c r="G83" s="834">
        <f>G82/G81</f>
        <v>-2.1464488636363637</v>
      </c>
      <c r="H83" s="835">
        <f>H82/H81</f>
        <v>1.8703139013452916</v>
      </c>
      <c r="I83" s="835">
        <f>I82/I81</f>
        <v>-0.71855249745158001</v>
      </c>
      <c r="J83" s="835">
        <f>J82/J81</f>
        <v>-0.63648400147112905</v>
      </c>
      <c r="K83" s="835">
        <f>K82/K81</f>
        <v>-1.9361830222757375</v>
      </c>
      <c r="L83" s="836">
        <f>AVERAGE(H83:J83)</f>
        <v>0.17175913414086086</v>
      </c>
    </row>
    <row r="84" spans="6:12">
      <c r="G84" s="837">
        <f>G82/G78</f>
        <v>-0.11743996269526695</v>
      </c>
      <c r="H84" s="837">
        <f>H82/H78</f>
        <v>-0.17745064669843433</v>
      </c>
      <c r="I84" s="837">
        <f>I82/I78</f>
        <v>-5.536008796041781E-2</v>
      </c>
      <c r="J84" s="837">
        <f>J82/J78</f>
        <v>-0.11199844680300285</v>
      </c>
      <c r="K84" s="838">
        <f>K82/K78</f>
        <v>-0.1879273067258809</v>
      </c>
      <c r="L84" s="884">
        <f>AVERAGE(G84:K84)</f>
        <v>-0.13003529017660057</v>
      </c>
    </row>
    <row r="85" spans="6:12">
      <c r="G85" s="272"/>
      <c r="H85" s="272"/>
      <c r="I85" s="272"/>
      <c r="J85" s="272"/>
      <c r="K85" s="830"/>
    </row>
    <row r="86" spans="6:12" ht="13.5" thickBot="1">
      <c r="G86" s="272"/>
      <c r="H86" s="272"/>
      <c r="I86" s="272"/>
      <c r="K86" s="830"/>
    </row>
    <row r="87" spans="6:12">
      <c r="F87" s="632" t="s">
        <v>598</v>
      </c>
      <c r="G87" s="727">
        <v>11553</v>
      </c>
      <c r="H87" s="727">
        <v>9354</v>
      </c>
      <c r="I87" s="727">
        <v>11425</v>
      </c>
      <c r="J87" s="727">
        <v>10480</v>
      </c>
      <c r="K87" s="727">
        <v>11361</v>
      </c>
    </row>
    <row r="88" spans="6:12">
      <c r="F88" s="632" t="s">
        <v>594</v>
      </c>
      <c r="G88" s="879">
        <f>G73</f>
        <v>-3590.2</v>
      </c>
      <c r="H88" s="879">
        <f t="shared" ref="H88:J88" si="19">H73</f>
        <v>-1614.4</v>
      </c>
      <c r="I88" s="879">
        <f t="shared" si="19"/>
        <v>-146.6</v>
      </c>
      <c r="J88" s="879">
        <f t="shared" si="19"/>
        <v>-3055.8</v>
      </c>
      <c r="K88" s="879">
        <f>K73</f>
        <v>-1660.9</v>
      </c>
    </row>
    <row r="89" spans="6:12">
      <c r="F89" s="632" t="s">
        <v>599</v>
      </c>
      <c r="G89" s="272">
        <f>-G88/G87</f>
        <v>0.31075911018782998</v>
      </c>
      <c r="H89" s="272">
        <f t="shared" ref="H89:K89" si="20">-H88/H87</f>
        <v>0.17258926662390423</v>
      </c>
      <c r="I89" s="272">
        <f t="shared" si="20"/>
        <v>1.2831509846827132E-2</v>
      </c>
      <c r="J89" s="272">
        <f t="shared" si="20"/>
        <v>0.29158396946564885</v>
      </c>
      <c r="K89" s="272">
        <f t="shared" si="20"/>
        <v>0.14619311680309832</v>
      </c>
      <c r="L89" s="641">
        <f>AVERAGE(K89,J89,H89,G89)</f>
        <v>0.23028136577012034</v>
      </c>
    </row>
    <row r="90" spans="6:12">
      <c r="G90" s="272"/>
      <c r="H90" s="272"/>
      <c r="I90" s="272"/>
      <c r="J90" s="272"/>
      <c r="K90" s="830"/>
    </row>
    <row r="91" spans="6:12">
      <c r="G91" s="272"/>
      <c r="H91" s="272"/>
      <c r="I91" s="272"/>
      <c r="J91" s="272"/>
      <c r="K91" s="830"/>
    </row>
    <row r="92" spans="6:12">
      <c r="G92" s="272"/>
      <c r="H92" s="272"/>
      <c r="I92" s="272"/>
      <c r="J92" s="272"/>
      <c r="K92" s="830"/>
    </row>
    <row r="93" spans="6:12">
      <c r="G93" s="272"/>
      <c r="H93" s="272"/>
      <c r="I93" s="272"/>
      <c r="J93" s="272"/>
      <c r="K93" s="830"/>
    </row>
    <row r="94" spans="6:12">
      <c r="G94" s="272"/>
      <c r="H94" s="272"/>
      <c r="I94" s="272"/>
      <c r="J94" s="272"/>
      <c r="K94" s="830"/>
    </row>
    <row r="95" spans="6:12">
      <c r="G95" s="272"/>
      <c r="H95" s="272"/>
      <c r="I95" s="272"/>
      <c r="J95" s="272"/>
      <c r="K95" s="830"/>
    </row>
    <row r="96" spans="6:12">
      <c r="G96" s="272"/>
      <c r="H96" s="272"/>
      <c r="I96" s="272"/>
      <c r="J96" s="272"/>
      <c r="K96" s="830"/>
    </row>
    <row r="97" spans="2:11">
      <c r="G97" s="272"/>
      <c r="H97" s="272"/>
      <c r="I97" s="272"/>
      <c r="J97" s="272"/>
      <c r="K97" s="830"/>
    </row>
    <row r="102" spans="2:11">
      <c r="B102" s="736" t="s">
        <v>192</v>
      </c>
      <c r="C102" s="737"/>
      <c r="D102" s="737"/>
      <c r="E102" s="737"/>
      <c r="F102" s="777" t="s">
        <v>600</v>
      </c>
      <c r="G102" s="739" t="s">
        <v>601</v>
      </c>
      <c r="H102" s="739" t="s">
        <v>601</v>
      </c>
      <c r="I102" s="777" t="s">
        <v>602</v>
      </c>
    </row>
    <row r="103" spans="2:11">
      <c r="G103" s="752">
        <v>2023</v>
      </c>
      <c r="H103" s="753">
        <v>2022</v>
      </c>
    </row>
    <row r="104" spans="2:11">
      <c r="B104" s="740" t="s">
        <v>603</v>
      </c>
      <c r="C104" s="741"/>
      <c r="D104" s="741"/>
      <c r="E104" s="741"/>
      <c r="F104" s="741"/>
      <c r="G104" s="738">
        <v>36</v>
      </c>
      <c r="H104" s="739">
        <v>74</v>
      </c>
    </row>
    <row r="105" spans="2:11">
      <c r="B105" s="742" t="s">
        <v>604</v>
      </c>
      <c r="G105" s="748">
        <v>198</v>
      </c>
      <c r="H105" s="743">
        <v>0</v>
      </c>
    </row>
    <row r="106" spans="2:11">
      <c r="B106" s="742" t="s">
        <v>605</v>
      </c>
      <c r="G106" s="748">
        <v>121</v>
      </c>
      <c r="H106" s="743">
        <v>105</v>
      </c>
    </row>
    <row r="107" spans="2:11">
      <c r="B107" s="742" t="s">
        <v>606</v>
      </c>
      <c r="G107" s="748">
        <v>15</v>
      </c>
      <c r="H107" s="743">
        <v>-19</v>
      </c>
    </row>
    <row r="108" spans="2:11">
      <c r="B108" s="742" t="s">
        <v>607</v>
      </c>
      <c r="F108" s="759">
        <v>0.08</v>
      </c>
      <c r="G108" s="748">
        <v>0</v>
      </c>
      <c r="H108" s="743">
        <v>248</v>
      </c>
      <c r="I108" s="632">
        <v>300</v>
      </c>
    </row>
    <row r="109" spans="2:11">
      <c r="B109" s="742" t="s">
        <v>608</v>
      </c>
      <c r="F109" s="759">
        <v>2.6249999999999999E-2</v>
      </c>
      <c r="G109" s="748">
        <v>0</v>
      </c>
      <c r="H109" s="743">
        <v>1115</v>
      </c>
      <c r="I109" s="632">
        <v>1350</v>
      </c>
    </row>
    <row r="110" spans="2:11">
      <c r="B110" s="742" t="s">
        <v>609</v>
      </c>
      <c r="F110" s="759">
        <v>1.25E-3</v>
      </c>
      <c r="G110" s="748">
        <v>513</v>
      </c>
      <c r="H110" s="743">
        <v>0</v>
      </c>
      <c r="I110" s="632">
        <v>600</v>
      </c>
    </row>
    <row r="111" spans="2:11">
      <c r="B111" s="742" t="s">
        <v>610</v>
      </c>
      <c r="F111" s="759">
        <v>3.5000000000000003E-2</v>
      </c>
      <c r="G111" s="748">
        <v>397</v>
      </c>
      <c r="H111" s="743">
        <v>0</v>
      </c>
      <c r="I111" s="632">
        <v>500</v>
      </c>
    </row>
    <row r="112" spans="2:11">
      <c r="B112" s="742" t="s">
        <v>611</v>
      </c>
      <c r="F112" s="759">
        <v>5.0000000000000001E-3</v>
      </c>
      <c r="G112" s="748">
        <v>427</v>
      </c>
      <c r="H112" s="743">
        <v>0</v>
      </c>
      <c r="I112" s="632">
        <v>500</v>
      </c>
    </row>
    <row r="113" spans="1:16">
      <c r="B113" s="742" t="s">
        <v>612</v>
      </c>
      <c r="F113" s="759"/>
      <c r="G113" s="749">
        <v>-6</v>
      </c>
      <c r="H113" s="745">
        <v>-1</v>
      </c>
    </row>
    <row r="114" spans="1:16" ht="39">
      <c r="B114" s="746" t="s">
        <v>613</v>
      </c>
      <c r="C114" s="746"/>
      <c r="D114" s="746"/>
      <c r="E114" s="746"/>
      <c r="F114" s="785"/>
      <c r="G114" s="747">
        <v>1701</v>
      </c>
      <c r="H114" s="747">
        <v>1522</v>
      </c>
      <c r="P114" s="758" t="s">
        <v>614</v>
      </c>
    </row>
    <row r="115" spans="1:16" ht="15">
      <c r="B115" s="750"/>
      <c r="C115" s="750"/>
      <c r="D115" s="750"/>
      <c r="E115" s="793"/>
      <c r="F115" s="786"/>
      <c r="G115" s="750"/>
      <c r="H115" s="750"/>
    </row>
    <row r="116" spans="1:16">
      <c r="B116" s="740" t="s">
        <v>615</v>
      </c>
      <c r="C116" s="741"/>
      <c r="D116" s="741"/>
      <c r="E116" s="792"/>
      <c r="F116" s="787">
        <v>1.25E-3</v>
      </c>
      <c r="G116" s="738">
        <v>0</v>
      </c>
      <c r="H116" s="739">
        <v>516</v>
      </c>
      <c r="I116" s="632">
        <v>600</v>
      </c>
      <c r="P116" s="632" t="s">
        <v>616</v>
      </c>
    </row>
    <row r="117" spans="1:16">
      <c r="A117" s="645"/>
      <c r="B117" s="742" t="s">
        <v>617</v>
      </c>
      <c r="F117" s="759">
        <v>3.5000000000000003E-2</v>
      </c>
      <c r="G117" s="748">
        <v>0</v>
      </c>
      <c r="H117" s="743">
        <v>413</v>
      </c>
      <c r="I117" s="632">
        <v>500</v>
      </c>
    </row>
    <row r="118" spans="1:16">
      <c r="A118" s="645"/>
      <c r="B118" s="742" t="s">
        <v>618</v>
      </c>
      <c r="F118" s="759">
        <v>5.0000000000000001E-3</v>
      </c>
      <c r="G118" s="748">
        <v>0</v>
      </c>
      <c r="H118" s="743">
        <v>430</v>
      </c>
      <c r="I118" s="632">
        <v>500</v>
      </c>
    </row>
    <row r="119" spans="1:16">
      <c r="A119" s="645"/>
      <c r="B119" s="742" t="s">
        <v>619</v>
      </c>
      <c r="F119" s="759">
        <v>2.1250000000000002E-2</v>
      </c>
      <c r="G119" s="748">
        <v>476</v>
      </c>
      <c r="H119" s="743">
        <v>495</v>
      </c>
      <c r="I119" s="632">
        <v>600</v>
      </c>
    </row>
    <row r="120" spans="1:16">
      <c r="B120" s="742" t="s">
        <v>620</v>
      </c>
      <c r="F120" s="759">
        <v>1.7500000000000002E-2</v>
      </c>
      <c r="G120" s="748">
        <v>427</v>
      </c>
      <c r="H120" s="743">
        <v>430</v>
      </c>
      <c r="I120" s="632">
        <v>500</v>
      </c>
    </row>
    <row r="121" spans="1:16">
      <c r="B121" s="742" t="s">
        <v>621</v>
      </c>
      <c r="F121" s="759">
        <v>5.1999999999999998E-2</v>
      </c>
      <c r="G121" s="748">
        <v>396</v>
      </c>
      <c r="H121" s="743">
        <v>0</v>
      </c>
      <c r="I121" s="632">
        <v>500</v>
      </c>
    </row>
    <row r="122" spans="1:16">
      <c r="B122" s="742" t="s">
        <v>622</v>
      </c>
      <c r="F122" s="759">
        <v>1.375E-2</v>
      </c>
      <c r="G122" s="748">
        <v>594</v>
      </c>
      <c r="H122" s="743">
        <v>618</v>
      </c>
      <c r="I122" s="632">
        <v>750</v>
      </c>
    </row>
    <row r="123" spans="1:16">
      <c r="B123" s="742" t="s">
        <v>623</v>
      </c>
      <c r="F123" s="759">
        <v>0.01</v>
      </c>
      <c r="G123" s="748">
        <v>511</v>
      </c>
      <c r="H123" s="743">
        <v>515</v>
      </c>
      <c r="I123" s="632">
        <v>600</v>
      </c>
    </row>
    <row r="124" spans="1:16">
      <c r="B124" s="742" t="s">
        <v>624</v>
      </c>
      <c r="F124" s="759">
        <v>3.5000000000000003E-2</v>
      </c>
      <c r="G124" s="748">
        <v>427</v>
      </c>
      <c r="H124" s="743">
        <v>0</v>
      </c>
      <c r="I124" s="632">
        <v>500</v>
      </c>
    </row>
    <row r="125" spans="1:16">
      <c r="B125" s="742" t="s">
        <v>625</v>
      </c>
      <c r="F125" s="759">
        <v>2.375E-2</v>
      </c>
      <c r="G125" s="748">
        <v>725</v>
      </c>
      <c r="H125" s="743">
        <v>731</v>
      </c>
      <c r="I125" s="632">
        <v>850</v>
      </c>
    </row>
    <row r="126" spans="1:16">
      <c r="B126" s="742" t="s">
        <v>626</v>
      </c>
      <c r="F126" s="759">
        <v>1.7500000000000002E-2</v>
      </c>
      <c r="G126" s="748">
        <v>497</v>
      </c>
      <c r="H126" s="743">
        <v>498</v>
      </c>
      <c r="I126" s="632">
        <v>500</v>
      </c>
    </row>
    <row r="127" spans="1:16">
      <c r="B127" s="742" t="s">
        <v>627</v>
      </c>
      <c r="F127" s="759">
        <v>5.2999999999999999E-2</v>
      </c>
      <c r="G127" s="748">
        <v>593</v>
      </c>
      <c r="H127" s="743">
        <v>0</v>
      </c>
      <c r="I127" s="632">
        <v>750</v>
      </c>
    </row>
    <row r="128" spans="1:16">
      <c r="B128" s="742" t="s">
        <v>628</v>
      </c>
      <c r="F128" s="759">
        <v>1.8749999999999999E-2</v>
      </c>
      <c r="G128" s="748">
        <v>638</v>
      </c>
      <c r="H128" s="743">
        <v>643</v>
      </c>
      <c r="I128" s="632">
        <v>750</v>
      </c>
    </row>
    <row r="129" spans="2:21">
      <c r="B129" s="744" t="s">
        <v>629</v>
      </c>
      <c r="C129" s="735"/>
      <c r="D129" s="735"/>
      <c r="E129" s="791"/>
      <c r="F129" s="788">
        <v>1.4999999999999999E-2</v>
      </c>
      <c r="G129" s="749">
        <v>426</v>
      </c>
      <c r="H129" s="745">
        <v>430</v>
      </c>
      <c r="I129" s="632">
        <v>500</v>
      </c>
    </row>
    <row r="130" spans="2:21" ht="15">
      <c r="B130" s="747" t="s">
        <v>630</v>
      </c>
      <c r="C130" s="747"/>
      <c r="D130" s="747"/>
      <c r="E130" s="747"/>
      <c r="F130" s="789"/>
      <c r="G130" s="747">
        <f>SUM(G116:G129)</f>
        <v>5710</v>
      </c>
      <c r="H130" s="747">
        <f>SUM(H116:H129)</f>
        <v>5719</v>
      </c>
      <c r="J130" s="753" t="s">
        <v>117</v>
      </c>
      <c r="K130" s="1229">
        <v>2023</v>
      </c>
      <c r="L130" s="1223">
        <v>2022</v>
      </c>
      <c r="M130" s="1223">
        <v>2021</v>
      </c>
      <c r="N130" s="1223">
        <v>2020</v>
      </c>
      <c r="O130" s="1223">
        <v>2019</v>
      </c>
      <c r="P130" s="1223">
        <v>2018</v>
      </c>
      <c r="Q130" s="1223">
        <v>2017</v>
      </c>
      <c r="R130" s="1223">
        <v>2016</v>
      </c>
      <c r="S130" s="1223">
        <v>2015</v>
      </c>
      <c r="T130" s="1223">
        <v>2014</v>
      </c>
    </row>
    <row r="131" spans="2:21">
      <c r="F131" s="759"/>
      <c r="J131" s="1227" t="s">
        <v>192</v>
      </c>
      <c r="K131" s="1230"/>
      <c r="L131" s="1224"/>
      <c r="M131" s="1224"/>
      <c r="N131" s="1224"/>
      <c r="O131" s="1224"/>
      <c r="P131" s="1224"/>
      <c r="Q131" s="1224"/>
      <c r="R131" s="1224"/>
      <c r="S131" s="1224"/>
      <c r="T131" s="1224"/>
    </row>
    <row r="132" spans="2:21">
      <c r="B132" s="740" t="s">
        <v>631</v>
      </c>
      <c r="C132" s="741"/>
      <c r="D132" s="741"/>
      <c r="E132" s="792"/>
      <c r="F132" s="787">
        <v>1.25E-3</v>
      </c>
      <c r="G132" s="738">
        <v>595</v>
      </c>
      <c r="H132" s="739">
        <v>600</v>
      </c>
      <c r="I132" s="632">
        <v>700</v>
      </c>
      <c r="J132" s="1228"/>
      <c r="K132" s="1231"/>
      <c r="L132" s="1225"/>
      <c r="M132" s="1225"/>
      <c r="N132" s="1225"/>
      <c r="O132" s="1225"/>
      <c r="P132" s="1225"/>
      <c r="Q132" s="1225"/>
      <c r="R132" s="1225"/>
      <c r="S132" s="1225"/>
      <c r="T132" s="1225"/>
    </row>
    <row r="133" spans="2:21">
      <c r="B133" s="742" t="s">
        <v>632</v>
      </c>
      <c r="F133" s="759">
        <v>3.875E-2</v>
      </c>
      <c r="G133" s="748">
        <v>395</v>
      </c>
      <c r="H133" s="743">
        <v>411</v>
      </c>
      <c r="I133" s="632">
        <v>500</v>
      </c>
      <c r="J133" s="736" t="s">
        <v>633</v>
      </c>
      <c r="K133" s="778">
        <v>16019</v>
      </c>
      <c r="L133" s="778">
        <v>14539</v>
      </c>
      <c r="M133" s="779">
        <f t="shared" ref="M133:T133" si="21">M135-AVERAGE($K$136:$L$136)</f>
        <v>14467.5</v>
      </c>
      <c r="N133" s="780">
        <f t="shared" si="21"/>
        <v>12489.5</v>
      </c>
      <c r="O133" s="780">
        <f t="shared" si="21"/>
        <v>14163.5</v>
      </c>
      <c r="P133" s="780">
        <f t="shared" si="21"/>
        <v>11703.5</v>
      </c>
      <c r="Q133" s="780">
        <f t="shared" si="21"/>
        <v>9174.5</v>
      </c>
      <c r="R133" s="780">
        <f t="shared" si="21"/>
        <v>8058.5</v>
      </c>
      <c r="S133" s="780">
        <f t="shared" si="21"/>
        <v>9362.5</v>
      </c>
      <c r="T133" s="780">
        <f t="shared" si="21"/>
        <v>9362.5</v>
      </c>
    </row>
    <row r="134" spans="2:21">
      <c r="B134" s="742" t="s">
        <v>634</v>
      </c>
      <c r="F134" s="759">
        <v>2.375E-2</v>
      </c>
      <c r="G134" s="748">
        <v>298</v>
      </c>
      <c r="H134" s="743">
        <v>298</v>
      </c>
      <c r="I134" s="632">
        <v>300</v>
      </c>
      <c r="J134" s="736" t="s">
        <v>47</v>
      </c>
      <c r="K134" s="779">
        <f>'Fin. Data'!B19</f>
        <v>5000</v>
      </c>
      <c r="L134" s="779">
        <f>'Fin. Data'!C19</f>
        <v>4837</v>
      </c>
      <c r="M134" s="779">
        <f>'Fin. Data'!D19</f>
        <v>3830</v>
      </c>
      <c r="N134" s="779">
        <f>'Fin. Data'!E19</f>
        <v>3717</v>
      </c>
      <c r="O134" s="779">
        <f>'Fin. Data'!F19</f>
        <v>3960</v>
      </c>
      <c r="P134" s="779">
        <f>'Fin. Data'!G19</f>
        <v>3875</v>
      </c>
      <c r="Q134" s="779">
        <f>'Fin. Data'!H19</f>
        <v>3646</v>
      </c>
      <c r="R134" s="779">
        <f>'Fin. Data'!I19</f>
        <v>2970</v>
      </c>
      <c r="S134" s="779">
        <f>'Fin. Data'!J19</f>
        <v>2689</v>
      </c>
      <c r="T134" s="779">
        <f>'Fin. Data'!K19</f>
        <v>3027</v>
      </c>
    </row>
    <row r="135" spans="2:21">
      <c r="B135" s="742" t="s">
        <v>635</v>
      </c>
      <c r="F135" s="759">
        <v>2.375E-2</v>
      </c>
      <c r="G135" s="748">
        <v>787</v>
      </c>
      <c r="H135" s="743">
        <v>819</v>
      </c>
      <c r="I135" s="632">
        <v>1000</v>
      </c>
      <c r="J135" s="736" t="s">
        <v>636</v>
      </c>
      <c r="K135" s="779">
        <f>'Fin. Data'!B60</f>
        <v>14939</v>
      </c>
      <c r="L135" s="779">
        <f>'Fin. Data'!C60</f>
        <v>15884</v>
      </c>
      <c r="M135" s="779">
        <f>'Fin. Data'!D60</f>
        <v>14600</v>
      </c>
      <c r="N135" s="779">
        <f>'Fin. Data'!E60</f>
        <v>12622</v>
      </c>
      <c r="O135" s="779">
        <f>'Fin. Data'!F60</f>
        <v>14296</v>
      </c>
      <c r="P135" s="779">
        <f>'Fin. Data'!G60</f>
        <v>11836</v>
      </c>
      <c r="Q135" s="779">
        <f>'Fin. Data'!H60</f>
        <v>9307</v>
      </c>
      <c r="R135" s="779">
        <f>'Fin. Data'!I60</f>
        <v>8191</v>
      </c>
      <c r="S135" s="779">
        <f>'Fin. Data'!J60</f>
        <v>9495</v>
      </c>
      <c r="T135" s="781">
        <f>'Fin. Data'!K60</f>
        <v>9495</v>
      </c>
    </row>
    <row r="136" spans="2:21" ht="15">
      <c r="B136" s="742" t="s">
        <v>637</v>
      </c>
      <c r="F136" s="759">
        <v>2.8750000000000001E-2</v>
      </c>
      <c r="G136" s="748">
        <v>299</v>
      </c>
      <c r="H136" s="743">
        <v>298</v>
      </c>
      <c r="I136" s="632">
        <v>2.875</v>
      </c>
      <c r="J136" s="820" t="s">
        <v>638</v>
      </c>
      <c r="K136" s="821">
        <f>K135-K133</f>
        <v>-1080</v>
      </c>
      <c r="L136" s="821">
        <f>L135-L133</f>
        <v>1345</v>
      </c>
      <c r="T136" s="783"/>
    </row>
    <row r="137" spans="2:21" ht="15">
      <c r="B137" s="742" t="s">
        <v>639</v>
      </c>
      <c r="F137" s="759">
        <v>1.15E-2</v>
      </c>
      <c r="G137" s="748">
        <v>640</v>
      </c>
      <c r="H137" s="743">
        <v>645</v>
      </c>
      <c r="I137" s="632">
        <v>1.1499999999999999</v>
      </c>
      <c r="J137" s="746" t="s">
        <v>55</v>
      </c>
      <c r="K137" s="754">
        <f t="shared" ref="K137:T137" si="22">K135/K134</f>
        <v>2.9878</v>
      </c>
      <c r="L137" s="754">
        <f t="shared" si="22"/>
        <v>3.2838536282819928</v>
      </c>
      <c r="M137" s="754">
        <f t="shared" si="22"/>
        <v>3.8120104438642297</v>
      </c>
      <c r="N137" s="754">
        <f t="shared" si="22"/>
        <v>3.3957492601560397</v>
      </c>
      <c r="O137" s="754">
        <f t="shared" si="22"/>
        <v>3.61010101010101</v>
      </c>
      <c r="P137" s="754">
        <f t="shared" si="22"/>
        <v>3.0544516129032258</v>
      </c>
      <c r="Q137" s="754">
        <f t="shared" si="22"/>
        <v>2.552660449808009</v>
      </c>
      <c r="R137" s="754">
        <f t="shared" si="22"/>
        <v>2.7579124579124579</v>
      </c>
      <c r="S137" s="754">
        <f t="shared" si="22"/>
        <v>3.5310524358497584</v>
      </c>
      <c r="T137" s="782">
        <f t="shared" si="22"/>
        <v>3.1367690782953419</v>
      </c>
      <c r="U137" s="730">
        <f>AVERAGE(K137:M137,O137:T137)</f>
        <v>3.1918456796684471</v>
      </c>
    </row>
    <row r="138" spans="2:21" ht="15">
      <c r="B138" s="742" t="s">
        <v>640</v>
      </c>
      <c r="F138" s="759">
        <v>0.02</v>
      </c>
      <c r="G138" s="748">
        <v>789</v>
      </c>
      <c r="H138" s="743">
        <v>821</v>
      </c>
      <c r="I138" s="632">
        <v>1000</v>
      </c>
      <c r="J138" s="775" t="s">
        <v>55</v>
      </c>
      <c r="K138" s="776">
        <f t="shared" ref="K138:T138" si="23">K133/K134</f>
        <v>3.2038000000000002</v>
      </c>
      <c r="L138" s="776">
        <f t="shared" si="23"/>
        <v>3.0057887120115776</v>
      </c>
      <c r="M138" s="784">
        <f t="shared" si="23"/>
        <v>3.7774151436031334</v>
      </c>
      <c r="N138" s="776">
        <f t="shared" si="23"/>
        <v>3.3601022329835888</v>
      </c>
      <c r="O138" s="776">
        <f t="shared" si="23"/>
        <v>3.576641414141414</v>
      </c>
      <c r="P138" s="776">
        <f t="shared" si="23"/>
        <v>3.020258064516129</v>
      </c>
      <c r="Q138" s="776">
        <f t="shared" si="23"/>
        <v>2.516319253976961</v>
      </c>
      <c r="R138" s="776">
        <f t="shared" si="23"/>
        <v>2.7132996632996633</v>
      </c>
      <c r="S138" s="776">
        <f t="shared" si="23"/>
        <v>3.4817776124953514</v>
      </c>
      <c r="T138" s="776">
        <f t="shared" si="23"/>
        <v>3.0929963660389825</v>
      </c>
      <c r="U138" s="813">
        <f>AVERAGE(K138:M138,O138:T138)</f>
        <v>3.154255136675912</v>
      </c>
    </row>
    <row r="139" spans="2:21">
      <c r="B139" s="742" t="s">
        <v>641</v>
      </c>
      <c r="F139" s="759">
        <v>2.5000000000000001E-2</v>
      </c>
      <c r="G139" s="748">
        <v>850</v>
      </c>
      <c r="H139" s="743">
        <v>856</v>
      </c>
      <c r="I139" s="632">
        <v>1000</v>
      </c>
    </row>
    <row r="140" spans="2:21">
      <c r="B140" s="742" t="s">
        <v>642</v>
      </c>
      <c r="F140" s="759">
        <v>2.1250000000000002E-2</v>
      </c>
      <c r="G140" s="748">
        <v>590</v>
      </c>
      <c r="H140" s="743">
        <v>614</v>
      </c>
      <c r="I140" s="632">
        <v>750</v>
      </c>
    </row>
    <row r="141" spans="2:21">
      <c r="B141" s="742" t="s">
        <v>643</v>
      </c>
      <c r="F141" s="759">
        <v>1.2500000000000001E-2</v>
      </c>
      <c r="G141" s="748">
        <v>396</v>
      </c>
      <c r="H141" s="743">
        <v>395</v>
      </c>
      <c r="I141" s="632">
        <v>400</v>
      </c>
    </row>
    <row r="142" spans="2:21">
      <c r="B142" s="742" t="s">
        <v>644</v>
      </c>
      <c r="F142" s="759">
        <v>5.5E-2</v>
      </c>
      <c r="G142" s="748">
        <v>590</v>
      </c>
      <c r="H142" s="743">
        <v>0</v>
      </c>
      <c r="I142" s="632">
        <v>750</v>
      </c>
    </row>
    <row r="143" spans="2:21">
      <c r="B143" s="742" t="s">
        <v>645</v>
      </c>
      <c r="F143" s="759">
        <v>1.15E-2</v>
      </c>
      <c r="G143" s="748">
        <v>764</v>
      </c>
      <c r="H143" s="743">
        <v>770</v>
      </c>
      <c r="I143" s="632">
        <v>900</v>
      </c>
    </row>
    <row r="144" spans="2:21">
      <c r="B144" s="742" t="s">
        <v>646</v>
      </c>
      <c r="F144" s="759">
        <v>7.4499999999999997E-2</v>
      </c>
      <c r="G144" s="748">
        <v>317</v>
      </c>
      <c r="H144" s="743">
        <v>331</v>
      </c>
      <c r="I144" s="632">
        <v>400</v>
      </c>
    </row>
    <row r="145" spans="2:9">
      <c r="B145" s="742" t="s">
        <v>647</v>
      </c>
      <c r="F145" s="759">
        <v>5.8749999999999997E-2</v>
      </c>
      <c r="G145" s="748">
        <v>472</v>
      </c>
      <c r="H145" s="743">
        <v>491</v>
      </c>
      <c r="I145" s="632">
        <v>600</v>
      </c>
    </row>
    <row r="146" spans="2:9">
      <c r="B146" s="742" t="s">
        <v>648</v>
      </c>
      <c r="F146" s="759">
        <v>2.75E-2</v>
      </c>
      <c r="G146" s="748">
        <v>595</v>
      </c>
      <c r="H146" s="743">
        <v>595</v>
      </c>
      <c r="I146" s="632">
        <v>600</v>
      </c>
    </row>
    <row r="147" spans="2:9">
      <c r="B147" s="742" t="s">
        <v>649</v>
      </c>
      <c r="F147" s="759">
        <v>4.2500000000000003E-2</v>
      </c>
      <c r="G147" s="748">
        <v>393</v>
      </c>
      <c r="H147" s="743">
        <v>409</v>
      </c>
      <c r="I147" s="632">
        <v>500</v>
      </c>
    </row>
    <row r="148" spans="2:9">
      <c r="B148" s="742" t="s">
        <v>650</v>
      </c>
      <c r="F148" s="759">
        <v>3.875E-2</v>
      </c>
      <c r="G148" s="748">
        <v>391</v>
      </c>
      <c r="H148" s="743">
        <v>407</v>
      </c>
      <c r="I148" s="632">
        <v>500</v>
      </c>
    </row>
    <row r="149" spans="2:9">
      <c r="B149" s="742" t="s">
        <v>651</v>
      </c>
      <c r="F149" s="759"/>
      <c r="G149" s="748">
        <v>296</v>
      </c>
      <c r="H149" s="743">
        <v>293</v>
      </c>
    </row>
    <row r="150" spans="2:9">
      <c r="B150" s="744" t="s">
        <v>652</v>
      </c>
      <c r="C150" s="735"/>
      <c r="D150" s="735"/>
      <c r="E150" s="735"/>
      <c r="F150" s="788"/>
      <c r="G150" s="749">
        <v>-366</v>
      </c>
      <c r="H150" s="745">
        <v>-274</v>
      </c>
    </row>
    <row r="151" spans="2:9" ht="15">
      <c r="B151" s="746" t="s">
        <v>653</v>
      </c>
      <c r="C151" s="746"/>
      <c r="D151" s="746"/>
      <c r="E151" s="746"/>
      <c r="F151" s="785"/>
      <c r="G151" s="747">
        <f>SUM(G132:G150)</f>
        <v>9091</v>
      </c>
      <c r="H151" s="747">
        <f>SUM(H132:H150)</f>
        <v>8779</v>
      </c>
    </row>
    <row r="152" spans="2:9">
      <c r="F152" s="759"/>
    </row>
    <row r="153" spans="2:9" ht="15">
      <c r="B153" s="746" t="s">
        <v>654</v>
      </c>
      <c r="C153" s="746"/>
      <c r="D153" s="746"/>
      <c r="E153" s="746"/>
      <c r="F153" s="785"/>
      <c r="G153" s="746">
        <v>14801</v>
      </c>
      <c r="H153" s="746">
        <v>14498</v>
      </c>
    </row>
    <row r="154" spans="2:9">
      <c r="B154" s="751"/>
      <c r="C154" s="751"/>
      <c r="D154" s="751"/>
      <c r="E154" s="751"/>
      <c r="F154" s="790"/>
      <c r="G154" s="751"/>
      <c r="H154" s="751"/>
    </row>
    <row r="155" spans="2:9">
      <c r="B155" s="751"/>
      <c r="C155" s="751"/>
      <c r="D155" s="751"/>
      <c r="E155" s="751"/>
      <c r="F155" s="790"/>
      <c r="G155" s="751"/>
      <c r="H155" s="751"/>
    </row>
    <row r="156" spans="2:9" ht="15">
      <c r="B156" s="740" t="s">
        <v>655</v>
      </c>
      <c r="C156" s="741"/>
      <c r="D156" s="741"/>
      <c r="E156" s="741"/>
      <c r="F156" s="787"/>
      <c r="G156" s="755">
        <v>16502</v>
      </c>
      <c r="H156" s="756">
        <v>16020</v>
      </c>
    </row>
    <row r="157" spans="2:9">
      <c r="B157" s="742" t="s">
        <v>656</v>
      </c>
      <c r="F157" s="759"/>
      <c r="G157" s="748">
        <v>-348</v>
      </c>
      <c r="H157" s="743">
        <v>-367</v>
      </c>
    </row>
    <row r="158" spans="2:9">
      <c r="B158" s="742" t="s">
        <v>657</v>
      </c>
      <c r="F158" s="759"/>
      <c r="G158" s="748">
        <v>1</v>
      </c>
      <c r="H158" s="743">
        <v>11</v>
      </c>
    </row>
    <row r="159" spans="2:9">
      <c r="B159" s="742" t="s">
        <v>658</v>
      </c>
      <c r="F159" s="759"/>
      <c r="G159" s="748">
        <v>377</v>
      </c>
      <c r="H159" s="743">
        <v>283</v>
      </c>
    </row>
    <row r="160" spans="2:9">
      <c r="B160" s="742" t="s">
        <v>659</v>
      </c>
      <c r="F160" s="759"/>
      <c r="G160" s="748">
        <v>448</v>
      </c>
      <c r="H160" s="743">
        <v>475</v>
      </c>
    </row>
    <row r="161" spans="1:32">
      <c r="B161" s="742" t="s">
        <v>660</v>
      </c>
      <c r="F161" s="759"/>
      <c r="G161" s="748">
        <v>16980</v>
      </c>
      <c r="H161" s="743">
        <v>16422</v>
      </c>
    </row>
    <row r="162" spans="1:32">
      <c r="B162" s="744" t="s">
        <v>661</v>
      </c>
      <c r="C162" s="735"/>
      <c r="D162" s="735"/>
      <c r="E162" s="735"/>
      <c r="F162" s="788"/>
      <c r="G162" s="749">
        <v>-1439</v>
      </c>
      <c r="H162" s="745">
        <v>-2285</v>
      </c>
    </row>
    <row r="163" spans="1:32" ht="15">
      <c r="B163" s="747" t="s">
        <v>662</v>
      </c>
      <c r="C163" s="747"/>
      <c r="D163" s="747"/>
      <c r="E163" s="747"/>
      <c r="F163" s="747"/>
      <c r="G163" s="747">
        <v>15541</v>
      </c>
      <c r="H163" s="747">
        <v>14137</v>
      </c>
    </row>
    <row r="164" spans="1:32" ht="15">
      <c r="G164" s="757">
        <f>G114+G130+G151</f>
        <v>16502</v>
      </c>
      <c r="H164" s="757">
        <f>H114+H130+H151</f>
        <v>16020</v>
      </c>
    </row>
    <row r="165" spans="1:32">
      <c r="G165" s="632">
        <f>G164+G162</f>
        <v>15063</v>
      </c>
      <c r="H165" s="632">
        <f>H164+H162</f>
        <v>13735</v>
      </c>
    </row>
    <row r="166" spans="1:32" ht="15">
      <c r="G166" s="746">
        <f>G163+G157+G158+G159+G160</f>
        <v>16019</v>
      </c>
      <c r="H166" s="746">
        <f>H163+H157+H158+H159+H160</f>
        <v>14539</v>
      </c>
    </row>
    <row r="167" spans="1:32" ht="15">
      <c r="G167" s="774"/>
      <c r="H167" s="774"/>
    </row>
    <row r="168" spans="1:32" ht="15">
      <c r="B168" s="746" t="s">
        <v>663</v>
      </c>
      <c r="D168" s="794">
        <f>SUMPRODUCT(F108:F148,I108:I148)</f>
        <v>563.43338125000002</v>
      </c>
      <c r="E168" s="794">
        <f>SUM(I108:I148)</f>
        <v>21554.025000000001</v>
      </c>
      <c r="F168" s="795">
        <f>D168/E168</f>
        <v>2.6140518128284624E-2</v>
      </c>
    </row>
    <row r="173" spans="1:32" ht="15">
      <c r="A173" s="230">
        <v>2018</v>
      </c>
      <c r="B173" s="230">
        <v>2019</v>
      </c>
      <c r="C173" s="230">
        <v>2020</v>
      </c>
      <c r="D173" s="230">
        <v>2021</v>
      </c>
      <c r="E173" s="230">
        <v>2022</v>
      </c>
      <c r="F173" s="230">
        <v>2023</v>
      </c>
      <c r="G173" s="230">
        <v>2024</v>
      </c>
      <c r="H173" s="230">
        <v>2025</v>
      </c>
      <c r="I173" s="230">
        <v>2026</v>
      </c>
      <c r="J173" s="230">
        <v>2027</v>
      </c>
      <c r="K173" s="230">
        <v>2028</v>
      </c>
      <c r="L173" s="230">
        <v>2029</v>
      </c>
      <c r="M173" s="230">
        <v>2030</v>
      </c>
      <c r="N173" s="230">
        <v>2031</v>
      </c>
      <c r="O173" s="230">
        <v>2032</v>
      </c>
      <c r="P173" s="230">
        <v>2033</v>
      </c>
      <c r="Q173" s="230">
        <v>2034</v>
      </c>
      <c r="R173" s="230">
        <v>2035</v>
      </c>
      <c r="S173" s="230">
        <v>2036</v>
      </c>
      <c r="T173" s="230">
        <v>2037</v>
      </c>
      <c r="U173" s="230">
        <v>2038</v>
      </c>
      <c r="V173" s="230">
        <v>2039</v>
      </c>
      <c r="W173" s="230">
        <v>2040</v>
      </c>
      <c r="X173" s="230">
        <v>2041</v>
      </c>
      <c r="Y173" s="230">
        <v>2042</v>
      </c>
      <c r="Z173" s="230">
        <v>2043</v>
      </c>
      <c r="AA173" s="230">
        <v>2044</v>
      </c>
      <c r="AB173" s="230">
        <v>2045</v>
      </c>
      <c r="AC173" s="230">
        <v>2046</v>
      </c>
      <c r="AD173" s="230">
        <v>2047</v>
      </c>
      <c r="AE173" s="230">
        <v>2048</v>
      </c>
      <c r="AF173" s="230">
        <v>2049</v>
      </c>
    </row>
    <row r="174" spans="1:32" ht="15">
      <c r="A174" s="230" t="s">
        <v>664</v>
      </c>
    </row>
    <row r="175" spans="1:32" ht="15">
      <c r="A175" s="230">
        <v>19651566</v>
      </c>
      <c r="B175" s="230">
        <v>20136378</v>
      </c>
      <c r="C175" s="230">
        <v>19690666</v>
      </c>
      <c r="D175" s="230">
        <v>20832766</v>
      </c>
      <c r="E175" s="230">
        <v>21235982</v>
      </c>
      <c r="F175" s="230">
        <v>21737196</v>
      </c>
      <c r="G175" s="230">
        <v>22072915</v>
      </c>
      <c r="H175" s="230">
        <v>22456841</v>
      </c>
      <c r="I175" s="230">
        <v>22906920</v>
      </c>
      <c r="J175" s="230">
        <v>23359990</v>
      </c>
      <c r="K175" s="230">
        <v>23805170</v>
      </c>
      <c r="L175" s="230">
        <v>24242250</v>
      </c>
      <c r="M175" s="230">
        <v>24671940</v>
      </c>
    </row>
    <row r="177" spans="1:32" ht="15">
      <c r="A177" s="230" t="s">
        <v>665</v>
      </c>
    </row>
    <row r="178" spans="1:32" ht="15">
      <c r="A178" s="230">
        <v>2935881</v>
      </c>
      <c r="B178" s="230">
        <v>2984077</v>
      </c>
      <c r="C178" s="230">
        <v>2674930</v>
      </c>
      <c r="D178" s="230">
        <v>2906977</v>
      </c>
      <c r="E178" s="230">
        <v>3033331</v>
      </c>
      <c r="F178" s="230">
        <v>3049462</v>
      </c>
      <c r="G178" s="230">
        <v>3070184</v>
      </c>
      <c r="H178" s="230">
        <v>3105540</v>
      </c>
      <c r="I178" s="230">
        <v>3156573</v>
      </c>
      <c r="J178" s="230">
        <v>3212126</v>
      </c>
      <c r="K178" s="230">
        <v>326896</v>
      </c>
      <c r="L178" s="230">
        <v>3325882</v>
      </c>
      <c r="M178" s="230">
        <v>3383212</v>
      </c>
    </row>
    <row r="180" spans="1:32" ht="15">
      <c r="A180" s="230" t="s">
        <v>666</v>
      </c>
    </row>
    <row r="181" spans="1:32" ht="15">
      <c r="A181" s="230">
        <v>8649970</v>
      </c>
      <c r="B181" s="230">
        <v>9047042</v>
      </c>
      <c r="C181" s="230">
        <v>8503833</v>
      </c>
      <c r="D181" s="230">
        <v>9262348</v>
      </c>
      <c r="E181" s="230">
        <v>9876748</v>
      </c>
      <c r="F181" s="230">
        <v>10513806</v>
      </c>
      <c r="G181" s="230">
        <v>11098942</v>
      </c>
      <c r="H181" s="230">
        <v>11852881</v>
      </c>
      <c r="I181" s="230">
        <v>12611850</v>
      </c>
      <c r="J181" s="230">
        <v>13370840</v>
      </c>
      <c r="K181" s="230">
        <v>14138340</v>
      </c>
      <c r="L181" s="230">
        <v>14918010</v>
      </c>
      <c r="M181" s="230">
        <v>15714120</v>
      </c>
    </row>
    <row r="183" spans="1:32" ht="15">
      <c r="A183" s="230" t="s">
        <v>667</v>
      </c>
    </row>
    <row r="184" spans="1:32" ht="15">
      <c r="A184" s="230">
        <v>2440920</v>
      </c>
      <c r="B184" s="230">
        <v>2434131</v>
      </c>
      <c r="C184" s="230">
        <v>2223540</v>
      </c>
      <c r="D184" s="230">
        <v>2353346</v>
      </c>
      <c r="E184" s="230">
        <v>2445085</v>
      </c>
      <c r="F184" s="230">
        <v>2528565</v>
      </c>
      <c r="G184" s="230">
        <v>2592547</v>
      </c>
      <c r="H184" s="230">
        <v>2645365</v>
      </c>
      <c r="I184" s="230">
        <v>2712065</v>
      </c>
      <c r="J184" s="230">
        <v>2785170</v>
      </c>
      <c r="K184" s="230">
        <v>2862490</v>
      </c>
      <c r="L184" s="230">
        <v>2943271</v>
      </c>
      <c r="M184" s="230">
        <v>3027560</v>
      </c>
    </row>
    <row r="185" spans="1:32" ht="15">
      <c r="A185" s="230"/>
      <c r="B185" s="230"/>
      <c r="C185" s="230"/>
      <c r="D185" s="230"/>
      <c r="E185" s="230"/>
      <c r="F185" s="230"/>
      <c r="G185" s="230"/>
      <c r="H185" s="230"/>
      <c r="I185" s="230"/>
      <c r="J185" s="230"/>
      <c r="K185" s="230"/>
      <c r="L185" s="230"/>
      <c r="M185" s="230"/>
    </row>
    <row r="186" spans="1:32" ht="15">
      <c r="A186" s="230" t="s">
        <v>668</v>
      </c>
      <c r="B186" s="230"/>
      <c r="C186" s="230"/>
      <c r="D186" s="230"/>
      <c r="E186" s="230"/>
      <c r="F186" s="230"/>
      <c r="G186" s="230"/>
      <c r="H186" s="230"/>
      <c r="I186" s="230"/>
      <c r="J186" s="230"/>
      <c r="K186" s="230"/>
      <c r="L186" s="230"/>
      <c r="M186" s="230"/>
    </row>
    <row r="187" spans="1:32" ht="15">
      <c r="A187" s="230">
        <v>3007822</v>
      </c>
      <c r="B187" s="230">
        <v>3044452</v>
      </c>
      <c r="C187" s="230">
        <v>2935822</v>
      </c>
      <c r="D187" s="230">
        <v>3092326</v>
      </c>
      <c r="E187" s="230">
        <v>3185648</v>
      </c>
      <c r="F187" s="230">
        <v>3282549</v>
      </c>
      <c r="G187" s="230">
        <v>3341590</v>
      </c>
      <c r="H187" s="230">
        <v>3409828</v>
      </c>
      <c r="I187" s="230">
        <v>3457679</v>
      </c>
      <c r="J187" s="230">
        <v>3508878</v>
      </c>
      <c r="K187" s="230">
        <v>3566577</v>
      </c>
      <c r="L187" s="230">
        <v>3632004</v>
      </c>
      <c r="M187" s="230">
        <v>3705235</v>
      </c>
    </row>
    <row r="189" spans="1:32">
      <c r="A189" s="632" t="s">
        <v>669</v>
      </c>
      <c r="B189" s="632" t="s">
        <v>670</v>
      </c>
    </row>
    <row r="190" spans="1:32" ht="15">
      <c r="A190" s="230">
        <v>11267545</v>
      </c>
      <c r="B190" s="230">
        <v>11556492</v>
      </c>
      <c r="C190" s="230">
        <v>11143891</v>
      </c>
      <c r="D190" s="230" t="s">
        <v>671</v>
      </c>
      <c r="E190" s="230">
        <v>12202555</v>
      </c>
      <c r="F190" s="230">
        <v>12569755</v>
      </c>
      <c r="G190" s="230">
        <v>12849819</v>
      </c>
      <c r="H190" s="230">
        <v>13185459</v>
      </c>
      <c r="I190" s="230">
        <v>13550401</v>
      </c>
      <c r="J190" s="230">
        <v>13919399</v>
      </c>
      <c r="K190" s="230">
        <v>13700929</v>
      </c>
      <c r="L190" s="230">
        <v>14660733</v>
      </c>
      <c r="M190" s="230">
        <v>15034801</v>
      </c>
    </row>
    <row r="191" spans="1:32" ht="15">
      <c r="A191" s="230"/>
      <c r="B191" s="811">
        <v>0.03</v>
      </c>
      <c r="C191" s="811">
        <v>-0.04</v>
      </c>
      <c r="D191" s="811">
        <v>0.06</v>
      </c>
      <c r="E191" s="811">
        <v>0.03</v>
      </c>
      <c r="F191" s="811">
        <v>0.03</v>
      </c>
      <c r="G191" s="812">
        <v>0.02</v>
      </c>
      <c r="H191" s="812">
        <v>0.03</v>
      </c>
      <c r="I191" s="812">
        <v>0.03</v>
      </c>
      <c r="J191" s="812">
        <v>0.03</v>
      </c>
      <c r="K191" s="812">
        <v>-0.02</v>
      </c>
      <c r="L191" s="812">
        <v>7.0000000000000007E-2</v>
      </c>
      <c r="M191" s="812">
        <v>0.03</v>
      </c>
    </row>
    <row r="192" spans="1:32" ht="15">
      <c r="A192" s="230" t="s">
        <v>672</v>
      </c>
      <c r="B192" s="811">
        <v>0.02</v>
      </c>
      <c r="C192" s="811">
        <v>-0.11</v>
      </c>
      <c r="D192" s="811">
        <v>0.16</v>
      </c>
      <c r="E192" s="811">
        <v>0.2</v>
      </c>
      <c r="F192" s="811">
        <v>0</v>
      </c>
      <c r="G192" s="814">
        <v>0.05</v>
      </c>
      <c r="H192" s="814">
        <v>0.06</v>
      </c>
      <c r="I192" s="814">
        <v>7.0000000000000007E-2</v>
      </c>
      <c r="J192" s="814">
        <v>7.0000000000000007E-2</v>
      </c>
      <c r="K192" s="814">
        <v>-0.05</v>
      </c>
      <c r="L192" s="814">
        <v>0.18</v>
      </c>
      <c r="M192" s="814">
        <v>0.06</v>
      </c>
      <c r="N192" s="814">
        <v>0.06</v>
      </c>
      <c r="O192" s="814">
        <v>0.05</v>
      </c>
      <c r="P192" s="814">
        <v>0.05</v>
      </c>
      <c r="Q192" s="814">
        <v>0.04</v>
      </c>
      <c r="R192" s="814">
        <v>0.04</v>
      </c>
      <c r="S192" s="814">
        <v>0.03</v>
      </c>
      <c r="T192" s="814">
        <v>0.03</v>
      </c>
      <c r="U192" s="814">
        <v>0.03</v>
      </c>
      <c r="V192" s="814">
        <v>0.02</v>
      </c>
      <c r="W192" s="814">
        <v>0.02</v>
      </c>
      <c r="X192" s="814">
        <v>0.02</v>
      </c>
      <c r="Y192" s="814">
        <v>0.02</v>
      </c>
      <c r="Z192" s="814">
        <v>0.02</v>
      </c>
      <c r="AA192" s="814">
        <v>0.02</v>
      </c>
      <c r="AB192" s="814">
        <v>0.02</v>
      </c>
      <c r="AC192" s="814">
        <v>0.02</v>
      </c>
      <c r="AD192" s="814">
        <v>0.02</v>
      </c>
      <c r="AE192" s="814">
        <v>0.02</v>
      </c>
      <c r="AF192" s="814">
        <v>0.02</v>
      </c>
    </row>
    <row r="195" spans="13:14">
      <c r="M195" s="632" t="s">
        <v>673</v>
      </c>
      <c r="N195" s="632" t="s">
        <v>674</v>
      </c>
    </row>
    <row r="212" spans="1:29" ht="15">
      <c r="A212" s="230"/>
      <c r="B212" s="230">
        <v>2023</v>
      </c>
      <c r="C212" s="230">
        <v>2022</v>
      </c>
      <c r="D212" s="230">
        <v>2021</v>
      </c>
      <c r="E212" s="230">
        <v>2020</v>
      </c>
      <c r="F212" s="230">
        <v>2019</v>
      </c>
      <c r="G212" s="230">
        <v>2018</v>
      </c>
      <c r="H212" s="230">
        <v>2017</v>
      </c>
      <c r="I212" s="230">
        <v>2016</v>
      </c>
      <c r="J212" s="230">
        <v>2015</v>
      </c>
      <c r="K212" s="230">
        <v>2014</v>
      </c>
      <c r="L212" s="230">
        <v>2013</v>
      </c>
      <c r="M212" s="230"/>
    </row>
    <row r="213" spans="1:29" ht="15">
      <c r="A213" s="815" t="s">
        <v>118</v>
      </c>
      <c r="B213" s="815" t="s">
        <v>675</v>
      </c>
      <c r="C213" s="815" t="s">
        <v>676</v>
      </c>
      <c r="D213" s="815" t="s">
        <v>677</v>
      </c>
      <c r="E213" s="815" t="s">
        <v>678</v>
      </c>
      <c r="F213" s="815" t="s">
        <v>679</v>
      </c>
      <c r="G213" s="815" t="s">
        <v>680</v>
      </c>
      <c r="H213" s="815" t="s">
        <v>681</v>
      </c>
      <c r="I213" s="815" t="s">
        <v>682</v>
      </c>
      <c r="J213" s="815" t="s">
        <v>683</v>
      </c>
      <c r="K213" s="815" t="s">
        <v>684</v>
      </c>
      <c r="L213" s="815" t="s">
        <v>685</v>
      </c>
      <c r="M213" s="230"/>
    </row>
    <row r="214" spans="1:29" ht="15">
      <c r="A214" s="815" t="s">
        <v>323</v>
      </c>
      <c r="B214" s="815" t="s">
        <v>686</v>
      </c>
      <c r="C214" s="815" t="s">
        <v>687</v>
      </c>
      <c r="D214" s="815" t="s">
        <v>688</v>
      </c>
      <c r="E214" s="815" t="s">
        <v>689</v>
      </c>
      <c r="F214" s="815" t="s">
        <v>690</v>
      </c>
      <c r="G214" s="815" t="s">
        <v>691</v>
      </c>
      <c r="H214" s="815" t="s">
        <v>692</v>
      </c>
      <c r="I214" s="815" t="s">
        <v>693</v>
      </c>
      <c r="J214" s="815" t="s">
        <v>694</v>
      </c>
      <c r="K214" s="815" t="s">
        <v>695</v>
      </c>
      <c r="L214" s="815" t="s">
        <v>696</v>
      </c>
      <c r="M214" s="230"/>
    </row>
    <row r="215" spans="1:29" ht="15">
      <c r="A215" s="230"/>
      <c r="B215" s="811">
        <v>0.28999999999999998</v>
      </c>
      <c r="C215" s="811">
        <v>0.28000000000000003</v>
      </c>
      <c r="D215" s="811">
        <v>0.28999999999999998</v>
      </c>
      <c r="E215" s="811">
        <v>0.18</v>
      </c>
      <c r="F215" s="811">
        <v>0.32</v>
      </c>
      <c r="G215" s="811">
        <v>0.3</v>
      </c>
      <c r="H215" s="811">
        <v>0.3</v>
      </c>
      <c r="I215" s="811">
        <v>0.28000000000000003</v>
      </c>
      <c r="J215" s="811">
        <v>0.28999999999999998</v>
      </c>
      <c r="K215" s="811">
        <v>0.28000000000000003</v>
      </c>
      <c r="L215" s="811">
        <v>0.28999999999999998</v>
      </c>
      <c r="M215" s="230"/>
    </row>
    <row r="217" spans="1:29" ht="15">
      <c r="A217" s="230" t="s">
        <v>697</v>
      </c>
      <c r="B217" s="811">
        <v>0.28000000000000003</v>
      </c>
      <c r="C217" s="230"/>
      <c r="D217" s="230"/>
      <c r="E217" s="816" t="s">
        <v>698</v>
      </c>
      <c r="F217" s="230"/>
      <c r="G217" s="230"/>
      <c r="H217" s="230"/>
      <c r="I217" s="230"/>
      <c r="J217" s="230" t="s">
        <v>699</v>
      </c>
      <c r="K217" s="230"/>
      <c r="L217" s="230"/>
      <c r="M217" s="230"/>
      <c r="N217" s="230"/>
      <c r="O217" s="230"/>
      <c r="P217" s="230"/>
      <c r="Q217" s="230"/>
      <c r="R217" s="230"/>
      <c r="S217" s="230"/>
      <c r="T217" s="230"/>
      <c r="U217" s="230"/>
      <c r="V217" s="230"/>
      <c r="W217" s="230"/>
    </row>
    <row r="218" spans="1:29" ht="15">
      <c r="A218" s="230" t="s">
        <v>700</v>
      </c>
      <c r="B218" s="811">
        <v>0.28999999999999998</v>
      </c>
      <c r="C218" s="230"/>
      <c r="D218" s="230"/>
      <c r="E218" s="230"/>
      <c r="F218" s="230"/>
      <c r="G218" s="230"/>
      <c r="H218" s="230"/>
      <c r="I218" s="230"/>
      <c r="J218" s="230" t="s">
        <v>701</v>
      </c>
      <c r="K218" s="811">
        <v>0.21</v>
      </c>
      <c r="L218" s="230"/>
      <c r="M218" s="230"/>
      <c r="N218" s="230"/>
      <c r="O218" s="230"/>
      <c r="P218" s="230"/>
      <c r="Q218" s="230"/>
      <c r="R218" s="230"/>
      <c r="S218" s="230"/>
      <c r="T218" s="230"/>
      <c r="U218" s="230"/>
      <c r="V218" s="230"/>
      <c r="W218" s="230"/>
    </row>
    <row r="219" spans="1:29" ht="15">
      <c r="A219" s="230"/>
      <c r="B219" s="230" t="s">
        <v>702</v>
      </c>
      <c r="C219" s="230"/>
      <c r="D219" s="230"/>
      <c r="E219" s="230"/>
      <c r="F219" s="230"/>
      <c r="G219" s="230" t="s">
        <v>703</v>
      </c>
      <c r="H219" s="230"/>
      <c r="I219" s="230"/>
      <c r="J219" s="230"/>
      <c r="K219" s="230"/>
      <c r="L219" s="230"/>
      <c r="M219" s="230"/>
      <c r="N219" s="230"/>
      <c r="O219" s="230"/>
      <c r="P219" s="230"/>
      <c r="Q219" s="230"/>
      <c r="R219" s="230"/>
      <c r="S219" s="230"/>
      <c r="T219" s="230"/>
      <c r="U219" s="230"/>
      <c r="V219" s="230"/>
      <c r="W219" s="230"/>
    </row>
    <row r="221" spans="1:29">
      <c r="C221" s="632">
        <v>2024</v>
      </c>
      <c r="D221" s="632">
        <f t="shared" ref="D221:AC221" si="24">C221+1</f>
        <v>2025</v>
      </c>
      <c r="E221" s="632">
        <f t="shared" si="24"/>
        <v>2026</v>
      </c>
      <c r="F221" s="632">
        <f t="shared" si="24"/>
        <v>2027</v>
      </c>
      <c r="G221" s="632">
        <f t="shared" si="24"/>
        <v>2028</v>
      </c>
      <c r="H221" s="632">
        <f t="shared" si="24"/>
        <v>2029</v>
      </c>
      <c r="I221" s="632">
        <f t="shared" si="24"/>
        <v>2030</v>
      </c>
      <c r="J221" s="632">
        <f t="shared" si="24"/>
        <v>2031</v>
      </c>
      <c r="K221" s="632">
        <f t="shared" si="24"/>
        <v>2032</v>
      </c>
      <c r="L221" s="632">
        <f t="shared" si="24"/>
        <v>2033</v>
      </c>
      <c r="M221" s="632">
        <f t="shared" si="24"/>
        <v>2034</v>
      </c>
      <c r="N221" s="632">
        <f t="shared" si="24"/>
        <v>2035</v>
      </c>
      <c r="O221" s="632">
        <f t="shared" si="24"/>
        <v>2036</v>
      </c>
      <c r="P221" s="632">
        <f t="shared" si="24"/>
        <v>2037</v>
      </c>
      <c r="Q221" s="632">
        <f t="shared" si="24"/>
        <v>2038</v>
      </c>
      <c r="R221" s="632">
        <f t="shared" si="24"/>
        <v>2039</v>
      </c>
      <c r="S221" s="632">
        <f t="shared" si="24"/>
        <v>2040</v>
      </c>
      <c r="T221" s="632">
        <f t="shared" si="24"/>
        <v>2041</v>
      </c>
      <c r="U221" s="632">
        <f t="shared" si="24"/>
        <v>2042</v>
      </c>
      <c r="V221" s="632">
        <f t="shared" si="24"/>
        <v>2043</v>
      </c>
      <c r="W221" s="632">
        <f t="shared" si="24"/>
        <v>2044</v>
      </c>
      <c r="X221" s="632">
        <f t="shared" si="24"/>
        <v>2045</v>
      </c>
      <c r="Y221" s="632">
        <f t="shared" si="24"/>
        <v>2046</v>
      </c>
      <c r="Z221" s="632">
        <f t="shared" si="24"/>
        <v>2047</v>
      </c>
      <c r="AA221" s="632">
        <f t="shared" si="24"/>
        <v>2048</v>
      </c>
      <c r="AB221" s="632">
        <f t="shared" si="24"/>
        <v>2049</v>
      </c>
      <c r="AC221" s="632">
        <f t="shared" si="24"/>
        <v>2050</v>
      </c>
    </row>
    <row r="222" spans="1:29" ht="15">
      <c r="B222" s="632" t="s">
        <v>704</v>
      </c>
      <c r="C222" s="811">
        <v>0.28999999999999998</v>
      </c>
      <c r="D222" s="811">
        <v>0.28999999999999998</v>
      </c>
      <c r="E222" s="811">
        <v>0.28999999999999998</v>
      </c>
      <c r="F222" s="811">
        <v>0.28999999999999998</v>
      </c>
      <c r="G222" s="811">
        <v>0.28999999999999998</v>
      </c>
      <c r="H222" s="230" t="s">
        <v>705</v>
      </c>
      <c r="I222" s="230" t="s">
        <v>706</v>
      </c>
      <c r="J222" s="230" t="s">
        <v>707</v>
      </c>
      <c r="K222" s="230" t="s">
        <v>708</v>
      </c>
      <c r="L222" s="230" t="s">
        <v>709</v>
      </c>
      <c r="M222" s="230" t="s">
        <v>710</v>
      </c>
      <c r="N222" s="230" t="s">
        <v>711</v>
      </c>
      <c r="O222" s="230" t="s">
        <v>712</v>
      </c>
      <c r="P222" s="230" t="s">
        <v>713</v>
      </c>
      <c r="Q222" s="230" t="s">
        <v>714</v>
      </c>
      <c r="R222" s="230" t="s">
        <v>715</v>
      </c>
      <c r="S222" s="230" t="s">
        <v>715</v>
      </c>
      <c r="T222" s="230" t="s">
        <v>715</v>
      </c>
      <c r="U222" s="230" t="s">
        <v>715</v>
      </c>
      <c r="V222" s="230" t="s">
        <v>715</v>
      </c>
      <c r="W222" s="230" t="s">
        <v>715</v>
      </c>
      <c r="X222" s="230" t="s">
        <v>715</v>
      </c>
      <c r="Y222" s="230" t="s">
        <v>715</v>
      </c>
      <c r="Z222" s="230" t="s">
        <v>715</v>
      </c>
      <c r="AA222" s="230" t="s">
        <v>715</v>
      </c>
      <c r="AB222" s="230" t="s">
        <v>715</v>
      </c>
      <c r="AC222" s="230" t="s">
        <v>715</v>
      </c>
    </row>
    <row r="223" spans="1:29">
      <c r="B223" s="817"/>
      <c r="J223" s="632" t="s">
        <v>716</v>
      </c>
      <c r="K223" s="632" t="s">
        <v>717</v>
      </c>
    </row>
    <row r="226" spans="3:3">
      <c r="C226" s="817"/>
    </row>
  </sheetData>
  <mergeCells count="12">
    <mergeCell ref="C16:G16"/>
    <mergeCell ref="J131:J132"/>
    <mergeCell ref="K130:K132"/>
    <mergeCell ref="L130:L132"/>
    <mergeCell ref="M130:M132"/>
    <mergeCell ref="S130:S132"/>
    <mergeCell ref="T130:T132"/>
    <mergeCell ref="N130:N132"/>
    <mergeCell ref="O130:O132"/>
    <mergeCell ref="Q130:Q132"/>
    <mergeCell ref="P130:P132"/>
    <mergeCell ref="R130:R132"/>
  </mergeCells>
  <hyperlinks>
    <hyperlink ref="E217" r:id="rId1" xr:uid="{4AC61AF8-FD75-41A2-9F36-38DBA5920454}"/>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85546875" defaultRowHeight="12.75"/>
  <cols>
    <col min="1" max="9" width="0" hidden="1" customWidth="1"/>
    <col min="11" max="11" width="21.85546875" bestFit="1" customWidth="1"/>
  </cols>
  <sheetData>
    <row r="2" spans="2:27">
      <c r="E2" s="10" t="s">
        <v>718</v>
      </c>
      <c r="F2" s="10" t="s">
        <v>719</v>
      </c>
      <c r="H2" s="10" t="s">
        <v>437</v>
      </c>
      <c r="K2" s="1232" t="s">
        <v>718</v>
      </c>
      <c r="L2" s="1234" t="s">
        <v>720</v>
      </c>
      <c r="M2" s="1235"/>
      <c r="N2" s="1235"/>
      <c r="O2" s="1235"/>
      <c r="P2" s="1236"/>
      <c r="Q2" s="1235" t="s">
        <v>374</v>
      </c>
      <c r="R2" s="1235"/>
      <c r="S2" s="1235"/>
      <c r="T2" s="1235"/>
      <c r="U2" s="1235"/>
      <c r="V2" s="1235"/>
      <c r="W2" s="1235"/>
      <c r="X2" s="1235"/>
      <c r="Y2" s="1235"/>
      <c r="Z2" s="1235"/>
      <c r="AA2" s="1236"/>
    </row>
    <row r="3" spans="2:27">
      <c r="E3" t="s">
        <v>721</v>
      </c>
      <c r="F3" t="s">
        <v>722</v>
      </c>
      <c r="H3" s="10" t="s">
        <v>377</v>
      </c>
      <c r="K3" s="1233"/>
      <c r="L3" s="73" t="s">
        <v>723</v>
      </c>
      <c r="M3" s="90" t="s">
        <v>724</v>
      </c>
      <c r="N3" s="90" t="s">
        <v>725</v>
      </c>
      <c r="O3" s="90" t="s">
        <v>726</v>
      </c>
      <c r="P3" s="91" t="s">
        <v>727</v>
      </c>
      <c r="Q3" s="90" t="s">
        <v>728</v>
      </c>
      <c r="R3" s="90" t="s">
        <v>729</v>
      </c>
      <c r="S3" s="90" t="s">
        <v>383</v>
      </c>
      <c r="T3" s="90" t="s">
        <v>730</v>
      </c>
      <c r="U3" s="90" t="s">
        <v>731</v>
      </c>
      <c r="V3" s="90" t="s">
        <v>732</v>
      </c>
      <c r="W3" s="90" t="s">
        <v>733</v>
      </c>
      <c r="X3" s="90" t="s">
        <v>734</v>
      </c>
      <c r="Y3" s="90" t="s">
        <v>735</v>
      </c>
      <c r="Z3" s="90" t="s">
        <v>736</v>
      </c>
      <c r="AA3" s="91" t="s">
        <v>426</v>
      </c>
    </row>
    <row r="4" spans="2:27">
      <c r="B4" s="74"/>
      <c r="E4" t="s">
        <v>721</v>
      </c>
      <c r="F4" t="s">
        <v>737</v>
      </c>
      <c r="H4" s="10" t="s">
        <v>443</v>
      </c>
      <c r="K4" s="92" t="s">
        <v>721</v>
      </c>
      <c r="L4" s="93" t="s">
        <v>437</v>
      </c>
      <c r="M4" t="s">
        <v>437</v>
      </c>
      <c r="N4" t="s">
        <v>377</v>
      </c>
      <c r="O4" t="s">
        <v>437</v>
      </c>
      <c r="P4" s="94" t="s">
        <v>437</v>
      </c>
      <c r="Q4" t="s">
        <v>377</v>
      </c>
      <c r="R4" t="s">
        <v>377</v>
      </c>
      <c r="S4" t="s">
        <v>437</v>
      </c>
      <c r="T4" t="s">
        <v>437</v>
      </c>
      <c r="U4" t="s">
        <v>443</v>
      </c>
      <c r="V4" t="s">
        <v>437</v>
      </c>
      <c r="W4" t="s">
        <v>437</v>
      </c>
      <c r="X4" t="s">
        <v>437</v>
      </c>
      <c r="Y4" t="s">
        <v>437</v>
      </c>
      <c r="Z4" t="s">
        <v>437</v>
      </c>
      <c r="AA4" s="94" t="s">
        <v>377</v>
      </c>
    </row>
    <row r="5" spans="2:27" ht="15">
      <c r="B5" s="86" t="s">
        <v>357</v>
      </c>
      <c r="E5" t="s">
        <v>721</v>
      </c>
      <c r="F5" t="s">
        <v>738</v>
      </c>
      <c r="H5" s="10" t="s">
        <v>739</v>
      </c>
      <c r="K5" s="92" t="s">
        <v>338</v>
      </c>
      <c r="L5" s="93" t="s">
        <v>437</v>
      </c>
      <c r="M5" t="s">
        <v>437</v>
      </c>
      <c r="N5" t="s">
        <v>377</v>
      </c>
      <c r="O5" t="s">
        <v>377</v>
      </c>
      <c r="P5" s="94" t="s">
        <v>437</v>
      </c>
      <c r="Q5" t="s">
        <v>377</v>
      </c>
      <c r="R5" t="s">
        <v>377</v>
      </c>
      <c r="S5" t="s">
        <v>437</v>
      </c>
      <c r="T5" t="s">
        <v>437</v>
      </c>
      <c r="U5" t="s">
        <v>377</v>
      </c>
      <c r="V5" t="s">
        <v>377</v>
      </c>
      <c r="W5" t="s">
        <v>377</v>
      </c>
      <c r="X5" t="s">
        <v>443</v>
      </c>
      <c r="Y5" t="s">
        <v>437</v>
      </c>
      <c r="Z5" t="s">
        <v>443</v>
      </c>
      <c r="AA5" s="94" t="s">
        <v>437</v>
      </c>
    </row>
    <row r="6" spans="2:27">
      <c r="B6" s="88" t="s">
        <v>740</v>
      </c>
      <c r="E6" t="s">
        <v>721</v>
      </c>
      <c r="F6" t="s">
        <v>741</v>
      </c>
      <c r="K6" s="92" t="s">
        <v>742</v>
      </c>
      <c r="L6" s="93" t="s">
        <v>443</v>
      </c>
      <c r="M6" t="s">
        <v>739</v>
      </c>
      <c r="N6" t="s">
        <v>443</v>
      </c>
      <c r="O6" t="s">
        <v>443</v>
      </c>
      <c r="P6" s="94" t="s">
        <v>443</v>
      </c>
      <c r="Q6" t="s">
        <v>377</v>
      </c>
      <c r="R6" t="s">
        <v>443</v>
      </c>
      <c r="S6" t="s">
        <v>443</v>
      </c>
      <c r="T6" t="s">
        <v>437</v>
      </c>
      <c r="U6" t="s">
        <v>377</v>
      </c>
      <c r="V6" t="s">
        <v>377</v>
      </c>
      <c r="W6" t="s">
        <v>437</v>
      </c>
      <c r="X6" t="s">
        <v>443</v>
      </c>
      <c r="Y6" t="s">
        <v>437</v>
      </c>
      <c r="Z6" t="s">
        <v>739</v>
      </c>
      <c r="AA6" s="94" t="s">
        <v>437</v>
      </c>
    </row>
    <row r="7" spans="2:27">
      <c r="B7" s="88" t="s">
        <v>743</v>
      </c>
      <c r="E7" t="s">
        <v>721</v>
      </c>
      <c r="F7" t="s">
        <v>744</v>
      </c>
      <c r="K7" s="92" t="s">
        <v>725</v>
      </c>
      <c r="L7" s="93" t="s">
        <v>739</v>
      </c>
      <c r="M7" t="s">
        <v>739</v>
      </c>
      <c r="N7" t="s">
        <v>377</v>
      </c>
      <c r="O7" t="s">
        <v>739</v>
      </c>
      <c r="P7" s="94" t="s">
        <v>443</v>
      </c>
      <c r="Q7" t="s">
        <v>443</v>
      </c>
      <c r="R7" t="s">
        <v>377</v>
      </c>
      <c r="S7" t="s">
        <v>377</v>
      </c>
      <c r="T7" t="s">
        <v>377</v>
      </c>
      <c r="U7" t="s">
        <v>377</v>
      </c>
      <c r="V7" t="s">
        <v>443</v>
      </c>
      <c r="W7" t="s">
        <v>377</v>
      </c>
      <c r="X7" t="s">
        <v>377</v>
      </c>
      <c r="Y7" t="s">
        <v>443</v>
      </c>
      <c r="Z7" t="s">
        <v>443</v>
      </c>
      <c r="AA7" s="94" t="s">
        <v>437</v>
      </c>
    </row>
    <row r="8" spans="2:27">
      <c r="B8" s="88"/>
      <c r="K8" s="92" t="s">
        <v>745</v>
      </c>
      <c r="L8" s="93" t="s">
        <v>437</v>
      </c>
      <c r="M8" t="s">
        <v>437</v>
      </c>
      <c r="N8" t="s">
        <v>437</v>
      </c>
      <c r="O8" t="s">
        <v>377</v>
      </c>
      <c r="P8" s="94" t="s">
        <v>377</v>
      </c>
      <c r="Q8" t="s">
        <v>437</v>
      </c>
      <c r="R8" t="s">
        <v>377</v>
      </c>
      <c r="S8" t="s">
        <v>377</v>
      </c>
      <c r="T8" t="s">
        <v>443</v>
      </c>
      <c r="U8" t="s">
        <v>377</v>
      </c>
      <c r="V8" t="s">
        <v>437</v>
      </c>
      <c r="W8" t="s">
        <v>437</v>
      </c>
      <c r="X8" t="s">
        <v>377</v>
      </c>
      <c r="Y8" t="s">
        <v>377</v>
      </c>
      <c r="Z8" t="s">
        <v>443</v>
      </c>
      <c r="AA8" s="94" t="s">
        <v>437</v>
      </c>
    </row>
    <row r="9" spans="2:27">
      <c r="B9" s="88" t="s">
        <v>363</v>
      </c>
      <c r="E9" t="s">
        <v>721</v>
      </c>
      <c r="F9" t="s">
        <v>746</v>
      </c>
      <c r="K9" s="92" t="s">
        <v>747</v>
      </c>
      <c r="L9" s="93" t="s">
        <v>437</v>
      </c>
      <c r="M9" t="s">
        <v>437</v>
      </c>
      <c r="N9" t="s">
        <v>437</v>
      </c>
      <c r="O9" t="s">
        <v>437</v>
      </c>
      <c r="P9" s="94" t="s">
        <v>437</v>
      </c>
      <c r="Q9" t="s">
        <v>437</v>
      </c>
      <c r="R9" t="s">
        <v>437</v>
      </c>
      <c r="S9" t="s">
        <v>377</v>
      </c>
      <c r="T9" t="s">
        <v>443</v>
      </c>
      <c r="U9" t="s">
        <v>377</v>
      </c>
      <c r="V9" t="s">
        <v>437</v>
      </c>
      <c r="W9" t="s">
        <v>437</v>
      </c>
      <c r="X9" t="s">
        <v>437</v>
      </c>
      <c r="Y9" t="s">
        <v>437</v>
      </c>
      <c r="Z9" t="s">
        <v>377</v>
      </c>
      <c r="AA9" s="94" t="s">
        <v>437</v>
      </c>
    </row>
    <row r="10" spans="2:27">
      <c r="B10" s="88"/>
      <c r="K10" s="92" t="s">
        <v>748</v>
      </c>
      <c r="L10" s="93" t="s">
        <v>437</v>
      </c>
      <c r="M10" t="s">
        <v>377</v>
      </c>
      <c r="N10" t="s">
        <v>437</v>
      </c>
      <c r="O10" t="s">
        <v>377</v>
      </c>
      <c r="P10" s="94" t="s">
        <v>443</v>
      </c>
      <c r="Q10" t="s">
        <v>437</v>
      </c>
      <c r="R10" t="s">
        <v>437</v>
      </c>
      <c r="S10" t="s">
        <v>437</v>
      </c>
      <c r="T10" t="s">
        <v>437</v>
      </c>
      <c r="U10" t="s">
        <v>437</v>
      </c>
      <c r="V10" t="s">
        <v>437</v>
      </c>
      <c r="W10" t="s">
        <v>437</v>
      </c>
      <c r="X10" t="s">
        <v>437</v>
      </c>
      <c r="Y10" t="s">
        <v>377</v>
      </c>
      <c r="Z10" t="s">
        <v>437</v>
      </c>
      <c r="AA10" s="94" t="s">
        <v>437</v>
      </c>
    </row>
    <row r="11" spans="2:27">
      <c r="B11" s="88" t="s">
        <v>367</v>
      </c>
      <c r="E11" t="s">
        <v>721</v>
      </c>
      <c r="F11" t="s">
        <v>749</v>
      </c>
      <c r="K11" s="92" t="s">
        <v>750</v>
      </c>
      <c r="L11" s="93" t="s">
        <v>437</v>
      </c>
      <c r="M11" t="s">
        <v>377</v>
      </c>
      <c r="N11" t="s">
        <v>437</v>
      </c>
      <c r="O11" t="s">
        <v>437</v>
      </c>
      <c r="P11" s="94" t="s">
        <v>437</v>
      </c>
      <c r="Q11" t="s">
        <v>437</v>
      </c>
      <c r="R11" t="s">
        <v>437</v>
      </c>
      <c r="S11" t="s">
        <v>377</v>
      </c>
      <c r="T11" t="s">
        <v>437</v>
      </c>
      <c r="U11" t="s">
        <v>443</v>
      </c>
      <c r="V11" t="s">
        <v>437</v>
      </c>
      <c r="W11" t="s">
        <v>437</v>
      </c>
      <c r="X11" t="s">
        <v>437</v>
      </c>
      <c r="Y11" t="s">
        <v>437</v>
      </c>
      <c r="Z11" t="s">
        <v>437</v>
      </c>
      <c r="AA11" s="94" t="s">
        <v>437</v>
      </c>
    </row>
    <row r="12" spans="2:27">
      <c r="B12" s="87" t="s">
        <v>751</v>
      </c>
      <c r="E12" t="s">
        <v>721</v>
      </c>
      <c r="F12" t="s">
        <v>752</v>
      </c>
      <c r="K12" s="92" t="s">
        <v>753</v>
      </c>
      <c r="L12" s="93" t="s">
        <v>739</v>
      </c>
      <c r="M12" t="s">
        <v>739</v>
      </c>
      <c r="N12" t="s">
        <v>739</v>
      </c>
      <c r="O12" t="s">
        <v>443</v>
      </c>
      <c r="P12" s="94" t="s">
        <v>443</v>
      </c>
      <c r="Q12" t="s">
        <v>437</v>
      </c>
      <c r="R12" t="s">
        <v>377</v>
      </c>
      <c r="S12" t="s">
        <v>443</v>
      </c>
      <c r="T12" t="s">
        <v>739</v>
      </c>
      <c r="U12" t="s">
        <v>377</v>
      </c>
      <c r="V12" t="s">
        <v>739</v>
      </c>
      <c r="W12" t="s">
        <v>377</v>
      </c>
      <c r="X12" t="s">
        <v>739</v>
      </c>
      <c r="Y12" t="s">
        <v>739</v>
      </c>
      <c r="Z12" t="s">
        <v>739</v>
      </c>
      <c r="AA12" s="94" t="s">
        <v>443</v>
      </c>
    </row>
    <row r="13" spans="2:27" ht="15">
      <c r="B13" s="86" t="s">
        <v>374</v>
      </c>
      <c r="E13" t="s">
        <v>721</v>
      </c>
      <c r="F13" t="s">
        <v>754</v>
      </c>
      <c r="K13" s="92" t="s">
        <v>755</v>
      </c>
      <c r="L13" s="93" t="s">
        <v>377</v>
      </c>
      <c r="M13" t="s">
        <v>437</v>
      </c>
      <c r="N13" t="s">
        <v>443</v>
      </c>
      <c r="O13" t="s">
        <v>437</v>
      </c>
      <c r="P13" s="94" t="s">
        <v>437</v>
      </c>
      <c r="Q13" t="s">
        <v>437</v>
      </c>
      <c r="R13" t="s">
        <v>437</v>
      </c>
      <c r="S13" t="s">
        <v>437</v>
      </c>
      <c r="T13" t="s">
        <v>437</v>
      </c>
      <c r="U13" t="s">
        <v>443</v>
      </c>
      <c r="V13" t="s">
        <v>437</v>
      </c>
      <c r="W13" t="s">
        <v>437</v>
      </c>
      <c r="X13" t="s">
        <v>437</v>
      </c>
      <c r="Y13" t="s">
        <v>437</v>
      </c>
      <c r="Z13" t="s">
        <v>377</v>
      </c>
      <c r="AA13" s="94" t="s">
        <v>739</v>
      </c>
    </row>
    <row r="14" spans="2:27">
      <c r="B14" s="78" t="s">
        <v>756</v>
      </c>
      <c r="E14" t="s">
        <v>721</v>
      </c>
      <c r="F14" t="s">
        <v>757</v>
      </c>
      <c r="K14" s="92" t="s">
        <v>758</v>
      </c>
      <c r="L14" s="93" t="s">
        <v>739</v>
      </c>
      <c r="M14" t="s">
        <v>739</v>
      </c>
      <c r="N14" t="s">
        <v>739</v>
      </c>
      <c r="O14" t="s">
        <v>739</v>
      </c>
      <c r="P14" s="94" t="s">
        <v>443</v>
      </c>
      <c r="Q14" t="s">
        <v>443</v>
      </c>
      <c r="R14" t="s">
        <v>443</v>
      </c>
      <c r="S14" t="s">
        <v>377</v>
      </c>
      <c r="T14" t="s">
        <v>443</v>
      </c>
      <c r="U14" t="s">
        <v>437</v>
      </c>
      <c r="V14" t="s">
        <v>739</v>
      </c>
      <c r="W14" t="s">
        <v>377</v>
      </c>
      <c r="X14" t="s">
        <v>377</v>
      </c>
      <c r="Y14" t="s">
        <v>739</v>
      </c>
      <c r="Z14" t="s">
        <v>443</v>
      </c>
      <c r="AA14" s="94" t="s">
        <v>377</v>
      </c>
    </row>
    <row r="15" spans="2:27">
      <c r="B15" s="78" t="s">
        <v>759</v>
      </c>
      <c r="E15" t="s">
        <v>338</v>
      </c>
      <c r="F15" t="s">
        <v>760</v>
      </c>
      <c r="K15" s="92" t="s">
        <v>761</v>
      </c>
      <c r="L15" s="93" t="s">
        <v>437</v>
      </c>
      <c r="M15" t="s">
        <v>437</v>
      </c>
      <c r="N15" t="s">
        <v>377</v>
      </c>
      <c r="O15" t="s">
        <v>437</v>
      </c>
      <c r="P15" s="94" t="s">
        <v>437</v>
      </c>
      <c r="Q15" t="s">
        <v>377</v>
      </c>
      <c r="R15" t="s">
        <v>437</v>
      </c>
      <c r="S15" t="s">
        <v>437</v>
      </c>
      <c r="T15" t="s">
        <v>437</v>
      </c>
      <c r="U15" t="s">
        <v>443</v>
      </c>
      <c r="V15" t="s">
        <v>437</v>
      </c>
      <c r="W15" t="s">
        <v>377</v>
      </c>
      <c r="X15" t="s">
        <v>437</v>
      </c>
      <c r="Y15" t="s">
        <v>377</v>
      </c>
      <c r="Z15" t="s">
        <v>437</v>
      </c>
      <c r="AA15" s="94" t="s">
        <v>437</v>
      </c>
    </row>
    <row r="16" spans="2:27">
      <c r="B16" s="81" t="s">
        <v>762</v>
      </c>
      <c r="E16" t="s">
        <v>338</v>
      </c>
      <c r="F16" t="s">
        <v>763</v>
      </c>
      <c r="K16" s="95" t="s">
        <v>764</v>
      </c>
      <c r="L16" s="96" t="s">
        <v>739</v>
      </c>
      <c r="M16" s="97" t="s">
        <v>443</v>
      </c>
      <c r="N16" s="97" t="s">
        <v>443</v>
      </c>
      <c r="O16" s="97" t="s">
        <v>377</v>
      </c>
      <c r="P16" s="98" t="s">
        <v>443</v>
      </c>
      <c r="Q16" s="97" t="s">
        <v>437</v>
      </c>
      <c r="R16" s="97" t="s">
        <v>377</v>
      </c>
      <c r="S16" s="97" t="s">
        <v>377</v>
      </c>
      <c r="T16" s="97" t="s">
        <v>437</v>
      </c>
      <c r="U16" s="97" t="s">
        <v>377</v>
      </c>
      <c r="V16" s="97" t="s">
        <v>377</v>
      </c>
      <c r="W16" s="97" t="s">
        <v>377</v>
      </c>
      <c r="X16" s="97" t="s">
        <v>377</v>
      </c>
      <c r="Y16" s="97" t="s">
        <v>437</v>
      </c>
      <c r="Z16" s="97" t="s">
        <v>377</v>
      </c>
      <c r="AA16" s="98" t="s">
        <v>437</v>
      </c>
    </row>
    <row r="17" spans="2:22">
      <c r="B17" s="81" t="s">
        <v>765</v>
      </c>
      <c r="E17" t="s">
        <v>338</v>
      </c>
      <c r="F17" t="s">
        <v>766</v>
      </c>
    </row>
    <row r="18" spans="2:22" hidden="1">
      <c r="B18" s="78" t="s">
        <v>767</v>
      </c>
      <c r="E18" t="s">
        <v>338</v>
      </c>
      <c r="F18" t="s">
        <v>768</v>
      </c>
    </row>
    <row r="19" spans="2:22" hidden="1">
      <c r="B19" s="78" t="s">
        <v>769</v>
      </c>
      <c r="E19" t="s">
        <v>338</v>
      </c>
      <c r="F19" t="s">
        <v>770</v>
      </c>
      <c r="L19" s="99" t="s">
        <v>721</v>
      </c>
      <c r="M19" s="100" t="s">
        <v>338</v>
      </c>
      <c r="N19" s="100" t="s">
        <v>742</v>
      </c>
      <c r="O19" s="100" t="s">
        <v>725</v>
      </c>
      <c r="P19" s="100" t="s">
        <v>747</v>
      </c>
      <c r="Q19" s="100" t="s">
        <v>750</v>
      </c>
      <c r="R19" s="100" t="s">
        <v>753</v>
      </c>
      <c r="S19" s="100" t="s">
        <v>755</v>
      </c>
      <c r="T19" s="100" t="s">
        <v>758</v>
      </c>
      <c r="U19" s="100" t="s">
        <v>761</v>
      </c>
      <c r="V19" s="101" t="s">
        <v>764</v>
      </c>
    </row>
    <row r="20" spans="2:22" hidden="1">
      <c r="B20" s="78" t="s">
        <v>401</v>
      </c>
      <c r="E20" t="s">
        <v>338</v>
      </c>
      <c r="F20" t="s">
        <v>771</v>
      </c>
      <c r="L20" s="93" t="s">
        <v>722</v>
      </c>
      <c r="M20" t="s">
        <v>760</v>
      </c>
      <c r="N20" t="s">
        <v>772</v>
      </c>
      <c r="O20" t="s">
        <v>773</v>
      </c>
      <c r="P20" t="s">
        <v>774</v>
      </c>
      <c r="Q20" t="s">
        <v>775</v>
      </c>
      <c r="R20" t="s">
        <v>776</v>
      </c>
      <c r="S20" t="s">
        <v>777</v>
      </c>
      <c r="T20" t="s">
        <v>778</v>
      </c>
      <c r="U20" t="s">
        <v>779</v>
      </c>
      <c r="V20" s="94" t="s">
        <v>780</v>
      </c>
    </row>
    <row r="21" spans="2:22" hidden="1">
      <c r="B21" s="78" t="s">
        <v>410</v>
      </c>
      <c r="E21" t="s">
        <v>338</v>
      </c>
      <c r="F21" t="s">
        <v>781</v>
      </c>
      <c r="L21" s="93" t="s">
        <v>737</v>
      </c>
      <c r="M21" t="s">
        <v>763</v>
      </c>
      <c r="N21" t="s">
        <v>782</v>
      </c>
      <c r="O21" t="s">
        <v>783</v>
      </c>
      <c r="P21" t="s">
        <v>784</v>
      </c>
      <c r="Q21" t="s">
        <v>785</v>
      </c>
      <c r="R21" t="s">
        <v>786</v>
      </c>
      <c r="S21" t="s">
        <v>787</v>
      </c>
      <c r="T21" t="s">
        <v>788</v>
      </c>
      <c r="U21" t="s">
        <v>789</v>
      </c>
      <c r="V21" s="94" t="s">
        <v>790</v>
      </c>
    </row>
    <row r="22" spans="2:22" hidden="1">
      <c r="B22" s="78" t="s">
        <v>417</v>
      </c>
      <c r="E22" t="s">
        <v>338</v>
      </c>
      <c r="F22" t="s">
        <v>791</v>
      </c>
      <c r="L22" s="93" t="s">
        <v>738</v>
      </c>
      <c r="M22" t="s">
        <v>766</v>
      </c>
      <c r="N22" t="s">
        <v>792</v>
      </c>
      <c r="O22" t="s">
        <v>793</v>
      </c>
      <c r="P22" t="s">
        <v>794</v>
      </c>
      <c r="Q22" t="s">
        <v>795</v>
      </c>
      <c r="R22" t="s">
        <v>796</v>
      </c>
      <c r="S22" t="s">
        <v>797</v>
      </c>
      <c r="T22" t="s">
        <v>798</v>
      </c>
      <c r="U22" t="s">
        <v>799</v>
      </c>
      <c r="V22" s="94" t="s">
        <v>800</v>
      </c>
    </row>
    <row r="23" spans="2:22" hidden="1">
      <c r="B23" s="78" t="s">
        <v>424</v>
      </c>
      <c r="E23" t="s">
        <v>338</v>
      </c>
      <c r="F23" t="s">
        <v>801</v>
      </c>
      <c r="L23" s="93" t="s">
        <v>741</v>
      </c>
      <c r="M23" t="s">
        <v>768</v>
      </c>
      <c r="N23" t="s">
        <v>802</v>
      </c>
      <c r="O23" t="s">
        <v>803</v>
      </c>
      <c r="P23" t="s">
        <v>804</v>
      </c>
      <c r="Q23" t="s">
        <v>805</v>
      </c>
      <c r="R23" t="s">
        <v>806</v>
      </c>
      <c r="S23" t="s">
        <v>807</v>
      </c>
      <c r="T23" t="s">
        <v>808</v>
      </c>
      <c r="U23" t="s">
        <v>809</v>
      </c>
      <c r="V23" s="94" t="s">
        <v>810</v>
      </c>
    </row>
    <row r="24" spans="2:22" hidden="1">
      <c r="B24" s="80" t="s">
        <v>426</v>
      </c>
      <c r="E24" t="s">
        <v>338</v>
      </c>
      <c r="F24" t="s">
        <v>811</v>
      </c>
      <c r="L24" s="93" t="s">
        <v>744</v>
      </c>
      <c r="M24" t="s">
        <v>770</v>
      </c>
      <c r="N24" t="s">
        <v>812</v>
      </c>
      <c r="O24" t="s">
        <v>813</v>
      </c>
      <c r="P24" t="s">
        <v>814</v>
      </c>
      <c r="Q24" t="s">
        <v>815</v>
      </c>
      <c r="R24" t="s">
        <v>816</v>
      </c>
      <c r="S24" t="s">
        <v>817</v>
      </c>
      <c r="T24" t="s">
        <v>818</v>
      </c>
      <c r="U24" t="s">
        <v>819</v>
      </c>
      <c r="V24" s="94" t="s">
        <v>820</v>
      </c>
    </row>
    <row r="25" spans="2:22" hidden="1">
      <c r="E25" t="s">
        <v>338</v>
      </c>
      <c r="F25" t="s">
        <v>821</v>
      </c>
      <c r="L25" s="93" t="s">
        <v>746</v>
      </c>
      <c r="M25" t="s">
        <v>771</v>
      </c>
      <c r="N25" t="s">
        <v>822</v>
      </c>
      <c r="P25" t="s">
        <v>823</v>
      </c>
      <c r="Q25" t="s">
        <v>824</v>
      </c>
      <c r="R25" t="s">
        <v>825</v>
      </c>
      <c r="S25" t="s">
        <v>826</v>
      </c>
      <c r="T25" t="s">
        <v>827</v>
      </c>
      <c r="U25" t="s">
        <v>828</v>
      </c>
      <c r="V25" s="94"/>
    </row>
    <row r="26" spans="2:22" hidden="1">
      <c r="E26" t="s">
        <v>338</v>
      </c>
      <c r="F26" t="s">
        <v>829</v>
      </c>
      <c r="L26" s="93" t="s">
        <v>749</v>
      </c>
      <c r="M26" t="s">
        <v>781</v>
      </c>
      <c r="N26" t="s">
        <v>830</v>
      </c>
      <c r="P26" t="s">
        <v>831</v>
      </c>
      <c r="Q26" t="s">
        <v>832</v>
      </c>
      <c r="R26" t="s">
        <v>833</v>
      </c>
      <c r="S26" t="s">
        <v>834</v>
      </c>
      <c r="T26" t="s">
        <v>835</v>
      </c>
      <c r="U26" t="s">
        <v>836</v>
      </c>
      <c r="V26" s="94"/>
    </row>
    <row r="27" spans="2:22" hidden="1">
      <c r="E27" t="s">
        <v>338</v>
      </c>
      <c r="F27" t="s">
        <v>837</v>
      </c>
      <c r="L27" s="93" t="s">
        <v>752</v>
      </c>
      <c r="M27" t="s">
        <v>791</v>
      </c>
      <c r="N27" t="s">
        <v>838</v>
      </c>
      <c r="P27" t="s">
        <v>839</v>
      </c>
      <c r="Q27" t="s">
        <v>840</v>
      </c>
      <c r="R27" t="s">
        <v>841</v>
      </c>
      <c r="S27" t="s">
        <v>842</v>
      </c>
      <c r="T27" t="s">
        <v>843</v>
      </c>
      <c r="U27" t="s">
        <v>844</v>
      </c>
      <c r="V27" s="94"/>
    </row>
    <row r="28" spans="2:22" hidden="1">
      <c r="E28" t="s">
        <v>338</v>
      </c>
      <c r="F28" t="s">
        <v>845</v>
      </c>
      <c r="L28" s="93" t="s">
        <v>754</v>
      </c>
      <c r="M28" t="s">
        <v>801</v>
      </c>
      <c r="N28" t="s">
        <v>846</v>
      </c>
      <c r="P28" t="s">
        <v>847</v>
      </c>
      <c r="Q28" t="s">
        <v>848</v>
      </c>
      <c r="R28" t="s">
        <v>849</v>
      </c>
      <c r="S28" t="s">
        <v>850</v>
      </c>
      <c r="T28" t="s">
        <v>851</v>
      </c>
      <c r="V28" s="94"/>
    </row>
    <row r="29" spans="2:22" hidden="1">
      <c r="E29" t="s">
        <v>338</v>
      </c>
      <c r="F29" t="s">
        <v>852</v>
      </c>
      <c r="L29" s="96" t="s">
        <v>757</v>
      </c>
      <c r="M29" s="97" t="s">
        <v>811</v>
      </c>
      <c r="N29" s="97" t="s">
        <v>853</v>
      </c>
      <c r="O29" s="97"/>
      <c r="P29" s="97" t="s">
        <v>854</v>
      </c>
      <c r="Q29" s="97" t="s">
        <v>855</v>
      </c>
      <c r="R29" s="97" t="s">
        <v>856</v>
      </c>
      <c r="S29" s="97" t="s">
        <v>857</v>
      </c>
      <c r="T29" s="97" t="s">
        <v>858</v>
      </c>
      <c r="U29" s="97"/>
      <c r="V29" s="98"/>
    </row>
    <row r="30" spans="2:22" hidden="1">
      <c r="E30" t="s">
        <v>338</v>
      </c>
      <c r="F30" t="s">
        <v>859</v>
      </c>
      <c r="M30" t="s">
        <v>821</v>
      </c>
      <c r="N30" t="s">
        <v>860</v>
      </c>
      <c r="P30" t="s">
        <v>861</v>
      </c>
      <c r="R30" t="s">
        <v>862</v>
      </c>
      <c r="S30" t="s">
        <v>863</v>
      </c>
      <c r="T30" t="s">
        <v>864</v>
      </c>
    </row>
    <row r="31" spans="2:22" hidden="1">
      <c r="E31" t="s">
        <v>338</v>
      </c>
      <c r="F31" t="s">
        <v>865</v>
      </c>
      <c r="M31" t="s">
        <v>829</v>
      </c>
      <c r="N31" t="s">
        <v>866</v>
      </c>
      <c r="P31" t="s">
        <v>867</v>
      </c>
      <c r="R31" t="s">
        <v>868</v>
      </c>
      <c r="S31" t="s">
        <v>869</v>
      </c>
    </row>
    <row r="32" spans="2:22" hidden="1">
      <c r="E32" t="s">
        <v>338</v>
      </c>
      <c r="F32" t="s">
        <v>870</v>
      </c>
      <c r="M32" t="s">
        <v>837</v>
      </c>
      <c r="P32" t="s">
        <v>871</v>
      </c>
      <c r="R32" t="s">
        <v>872</v>
      </c>
      <c r="S32" t="s">
        <v>873</v>
      </c>
    </row>
    <row r="33" spans="5:18" hidden="1">
      <c r="E33" t="s">
        <v>338</v>
      </c>
      <c r="F33" t="s">
        <v>874</v>
      </c>
      <c r="M33" t="s">
        <v>845</v>
      </c>
      <c r="R33" t="s">
        <v>875</v>
      </c>
    </row>
    <row r="34" spans="5:18" hidden="1">
      <c r="E34" t="s">
        <v>338</v>
      </c>
      <c r="F34" t="s">
        <v>876</v>
      </c>
      <c r="M34" t="s">
        <v>852</v>
      </c>
      <c r="R34" t="s">
        <v>877</v>
      </c>
    </row>
    <row r="35" spans="5:18" hidden="1">
      <c r="E35" t="s">
        <v>742</v>
      </c>
      <c r="F35" t="s">
        <v>772</v>
      </c>
      <c r="M35" t="s">
        <v>859</v>
      </c>
      <c r="R35" t="s">
        <v>878</v>
      </c>
    </row>
    <row r="36" spans="5:18" hidden="1">
      <c r="E36" t="s">
        <v>742</v>
      </c>
      <c r="F36" t="s">
        <v>782</v>
      </c>
      <c r="M36" t="s">
        <v>865</v>
      </c>
      <c r="R36" t="s">
        <v>879</v>
      </c>
    </row>
    <row r="37" spans="5:18" hidden="1">
      <c r="E37" t="s">
        <v>742</v>
      </c>
      <c r="F37" t="s">
        <v>792</v>
      </c>
      <c r="M37" t="s">
        <v>870</v>
      </c>
    </row>
    <row r="38" spans="5:18" hidden="1">
      <c r="E38" t="s">
        <v>742</v>
      </c>
      <c r="F38" t="s">
        <v>802</v>
      </c>
      <c r="M38" t="s">
        <v>874</v>
      </c>
    </row>
    <row r="39" spans="5:18" hidden="1">
      <c r="E39" t="s">
        <v>742</v>
      </c>
      <c r="F39" t="s">
        <v>812</v>
      </c>
      <c r="M39" t="s">
        <v>876</v>
      </c>
    </row>
    <row r="40" spans="5:18" hidden="1">
      <c r="E40" t="s">
        <v>742</v>
      </c>
      <c r="F40" t="s">
        <v>822</v>
      </c>
    </row>
    <row r="41" spans="5:18" hidden="1">
      <c r="E41" t="s">
        <v>742</v>
      </c>
      <c r="F41" t="s">
        <v>830</v>
      </c>
    </row>
    <row r="42" spans="5:18">
      <c r="E42" t="s">
        <v>742</v>
      </c>
      <c r="F42" t="s">
        <v>838</v>
      </c>
    </row>
    <row r="43" spans="5:18">
      <c r="E43" t="s">
        <v>742</v>
      </c>
      <c r="F43" t="s">
        <v>846</v>
      </c>
    </row>
    <row r="44" spans="5:18">
      <c r="E44" t="s">
        <v>742</v>
      </c>
      <c r="F44" t="s">
        <v>853</v>
      </c>
    </row>
    <row r="45" spans="5:18">
      <c r="E45" t="s">
        <v>742</v>
      </c>
      <c r="F45" t="s">
        <v>860</v>
      </c>
    </row>
    <row r="46" spans="5:18">
      <c r="E46" t="s">
        <v>742</v>
      </c>
      <c r="F46" t="s">
        <v>866</v>
      </c>
    </row>
    <row r="47" spans="5:18">
      <c r="E47" t="s">
        <v>725</v>
      </c>
      <c r="F47" t="s">
        <v>773</v>
      </c>
    </row>
    <row r="48" spans="5:18">
      <c r="E48" t="s">
        <v>725</v>
      </c>
      <c r="F48" t="s">
        <v>783</v>
      </c>
    </row>
    <row r="49" spans="5:6">
      <c r="E49" t="s">
        <v>725</v>
      </c>
      <c r="F49" t="s">
        <v>793</v>
      </c>
    </row>
    <row r="50" spans="5:6">
      <c r="E50" t="s">
        <v>725</v>
      </c>
      <c r="F50" t="s">
        <v>803</v>
      </c>
    </row>
    <row r="51" spans="5:6">
      <c r="E51" t="s">
        <v>725</v>
      </c>
      <c r="F51" t="s">
        <v>813</v>
      </c>
    </row>
    <row r="52" spans="5:6">
      <c r="E52" t="s">
        <v>747</v>
      </c>
      <c r="F52" t="s">
        <v>774</v>
      </c>
    </row>
    <row r="53" spans="5:6">
      <c r="E53" t="s">
        <v>747</v>
      </c>
      <c r="F53" t="s">
        <v>784</v>
      </c>
    </row>
    <row r="54" spans="5:6">
      <c r="E54" t="s">
        <v>747</v>
      </c>
      <c r="F54" t="s">
        <v>794</v>
      </c>
    </row>
    <row r="55" spans="5:6">
      <c r="E55" t="s">
        <v>747</v>
      </c>
      <c r="F55" t="s">
        <v>804</v>
      </c>
    </row>
    <row r="56" spans="5:6">
      <c r="E56" t="s">
        <v>747</v>
      </c>
      <c r="F56" t="s">
        <v>814</v>
      </c>
    </row>
    <row r="57" spans="5:6">
      <c r="E57" t="s">
        <v>747</v>
      </c>
      <c r="F57" t="s">
        <v>823</v>
      </c>
    </row>
    <row r="58" spans="5:6">
      <c r="E58" t="s">
        <v>747</v>
      </c>
      <c r="F58" t="s">
        <v>831</v>
      </c>
    </row>
    <row r="59" spans="5:6">
      <c r="E59" t="s">
        <v>747</v>
      </c>
      <c r="F59" t="s">
        <v>839</v>
      </c>
    </row>
    <row r="60" spans="5:6">
      <c r="E60" t="s">
        <v>747</v>
      </c>
      <c r="F60" t="s">
        <v>847</v>
      </c>
    </row>
    <row r="61" spans="5:6">
      <c r="E61" t="s">
        <v>747</v>
      </c>
      <c r="F61" t="s">
        <v>854</v>
      </c>
    </row>
    <row r="62" spans="5:6">
      <c r="E62" t="s">
        <v>747</v>
      </c>
      <c r="F62" t="s">
        <v>861</v>
      </c>
    </row>
    <row r="63" spans="5:6">
      <c r="E63" t="s">
        <v>747</v>
      </c>
      <c r="F63" t="s">
        <v>867</v>
      </c>
    </row>
    <row r="64" spans="5:6">
      <c r="E64" t="s">
        <v>747</v>
      </c>
      <c r="F64" t="s">
        <v>871</v>
      </c>
    </row>
    <row r="65" spans="5:6">
      <c r="E65" t="s">
        <v>750</v>
      </c>
      <c r="F65" t="s">
        <v>775</v>
      </c>
    </row>
    <row r="66" spans="5:6">
      <c r="E66" t="s">
        <v>750</v>
      </c>
      <c r="F66" t="s">
        <v>785</v>
      </c>
    </row>
    <row r="67" spans="5:6">
      <c r="E67" t="s">
        <v>750</v>
      </c>
      <c r="F67" t="s">
        <v>795</v>
      </c>
    </row>
    <row r="68" spans="5:6">
      <c r="E68" t="s">
        <v>750</v>
      </c>
      <c r="F68" t="s">
        <v>805</v>
      </c>
    </row>
    <row r="69" spans="5:6">
      <c r="E69" t="s">
        <v>750</v>
      </c>
      <c r="F69" t="s">
        <v>815</v>
      </c>
    </row>
    <row r="70" spans="5:6">
      <c r="E70" t="s">
        <v>750</v>
      </c>
      <c r="F70" t="s">
        <v>824</v>
      </c>
    </row>
    <row r="71" spans="5:6">
      <c r="E71" t="s">
        <v>750</v>
      </c>
      <c r="F71" t="s">
        <v>832</v>
      </c>
    </row>
    <row r="72" spans="5:6">
      <c r="E72" t="s">
        <v>750</v>
      </c>
      <c r="F72" t="s">
        <v>840</v>
      </c>
    </row>
    <row r="73" spans="5:6">
      <c r="E73" t="s">
        <v>750</v>
      </c>
      <c r="F73" t="s">
        <v>848</v>
      </c>
    </row>
    <row r="74" spans="5:6">
      <c r="E74" t="s">
        <v>750</v>
      </c>
      <c r="F74" t="s">
        <v>855</v>
      </c>
    </row>
    <row r="75" spans="5:6">
      <c r="E75" t="s">
        <v>753</v>
      </c>
      <c r="F75" t="s">
        <v>776</v>
      </c>
    </row>
    <row r="76" spans="5:6">
      <c r="E76" t="s">
        <v>753</v>
      </c>
      <c r="F76" t="s">
        <v>786</v>
      </c>
    </row>
    <row r="77" spans="5:6">
      <c r="E77" t="s">
        <v>753</v>
      </c>
      <c r="F77" t="s">
        <v>796</v>
      </c>
    </row>
    <row r="78" spans="5:6">
      <c r="E78" t="s">
        <v>753</v>
      </c>
      <c r="F78" t="s">
        <v>806</v>
      </c>
    </row>
    <row r="79" spans="5:6">
      <c r="E79" t="s">
        <v>753</v>
      </c>
      <c r="F79" t="s">
        <v>816</v>
      </c>
    </row>
    <row r="80" spans="5:6">
      <c r="E80" t="s">
        <v>753</v>
      </c>
      <c r="F80" t="s">
        <v>825</v>
      </c>
    </row>
    <row r="81" spans="5:6">
      <c r="E81" t="s">
        <v>753</v>
      </c>
      <c r="F81" t="s">
        <v>833</v>
      </c>
    </row>
    <row r="82" spans="5:6">
      <c r="E82" t="s">
        <v>753</v>
      </c>
      <c r="F82" t="s">
        <v>841</v>
      </c>
    </row>
    <row r="83" spans="5:6">
      <c r="E83" t="s">
        <v>753</v>
      </c>
      <c r="F83" t="s">
        <v>849</v>
      </c>
    </row>
    <row r="84" spans="5:6">
      <c r="E84" t="s">
        <v>753</v>
      </c>
      <c r="F84" t="s">
        <v>856</v>
      </c>
    </row>
    <row r="85" spans="5:6">
      <c r="E85" t="s">
        <v>753</v>
      </c>
      <c r="F85" t="s">
        <v>862</v>
      </c>
    </row>
    <row r="86" spans="5:6">
      <c r="E86" t="s">
        <v>753</v>
      </c>
      <c r="F86" t="s">
        <v>868</v>
      </c>
    </row>
    <row r="87" spans="5:6">
      <c r="E87" t="s">
        <v>753</v>
      </c>
      <c r="F87" t="s">
        <v>872</v>
      </c>
    </row>
    <row r="88" spans="5:6">
      <c r="E88" t="s">
        <v>753</v>
      </c>
      <c r="F88" t="s">
        <v>875</v>
      </c>
    </row>
    <row r="89" spans="5:6">
      <c r="E89" t="s">
        <v>753</v>
      </c>
      <c r="F89" t="s">
        <v>877</v>
      </c>
    </row>
    <row r="90" spans="5:6">
      <c r="E90" t="s">
        <v>753</v>
      </c>
      <c r="F90" t="s">
        <v>878</v>
      </c>
    </row>
    <row r="91" spans="5:6">
      <c r="E91" t="s">
        <v>753</v>
      </c>
      <c r="F91" t="s">
        <v>879</v>
      </c>
    </row>
    <row r="92" spans="5:6">
      <c r="E92" t="s">
        <v>755</v>
      </c>
      <c r="F92" t="s">
        <v>777</v>
      </c>
    </row>
    <row r="93" spans="5:6">
      <c r="E93" t="s">
        <v>755</v>
      </c>
      <c r="F93" t="s">
        <v>787</v>
      </c>
    </row>
    <row r="94" spans="5:6">
      <c r="E94" t="s">
        <v>755</v>
      </c>
      <c r="F94" t="s">
        <v>797</v>
      </c>
    </row>
    <row r="95" spans="5:6">
      <c r="E95" t="s">
        <v>755</v>
      </c>
      <c r="F95" t="s">
        <v>807</v>
      </c>
    </row>
    <row r="96" spans="5:6">
      <c r="E96" t="s">
        <v>755</v>
      </c>
      <c r="F96" t="s">
        <v>817</v>
      </c>
    </row>
    <row r="97" spans="5:6">
      <c r="E97" t="s">
        <v>755</v>
      </c>
      <c r="F97" t="s">
        <v>826</v>
      </c>
    </row>
    <row r="98" spans="5:6">
      <c r="E98" t="s">
        <v>755</v>
      </c>
      <c r="F98" t="s">
        <v>834</v>
      </c>
    </row>
    <row r="99" spans="5:6">
      <c r="E99" t="s">
        <v>755</v>
      </c>
      <c r="F99" t="s">
        <v>842</v>
      </c>
    </row>
    <row r="100" spans="5:6">
      <c r="E100" t="s">
        <v>755</v>
      </c>
      <c r="F100" t="s">
        <v>850</v>
      </c>
    </row>
    <row r="101" spans="5:6">
      <c r="E101" t="s">
        <v>755</v>
      </c>
      <c r="F101" t="s">
        <v>857</v>
      </c>
    </row>
    <row r="102" spans="5:6">
      <c r="E102" t="s">
        <v>755</v>
      </c>
      <c r="F102" t="s">
        <v>863</v>
      </c>
    </row>
    <row r="103" spans="5:6">
      <c r="E103" t="s">
        <v>755</v>
      </c>
      <c r="F103" t="s">
        <v>869</v>
      </c>
    </row>
    <row r="104" spans="5:6">
      <c r="E104" t="s">
        <v>755</v>
      </c>
      <c r="F104" t="s">
        <v>873</v>
      </c>
    </row>
    <row r="105" spans="5:6">
      <c r="E105" t="s">
        <v>758</v>
      </c>
      <c r="F105" t="s">
        <v>778</v>
      </c>
    </row>
    <row r="106" spans="5:6">
      <c r="E106" t="s">
        <v>758</v>
      </c>
      <c r="F106" t="s">
        <v>788</v>
      </c>
    </row>
    <row r="107" spans="5:6">
      <c r="E107" t="s">
        <v>758</v>
      </c>
      <c r="F107" t="s">
        <v>798</v>
      </c>
    </row>
    <row r="108" spans="5:6">
      <c r="E108" t="s">
        <v>758</v>
      </c>
      <c r="F108" t="s">
        <v>808</v>
      </c>
    </row>
    <row r="109" spans="5:6">
      <c r="E109" t="s">
        <v>758</v>
      </c>
      <c r="F109" t="s">
        <v>818</v>
      </c>
    </row>
    <row r="110" spans="5:6">
      <c r="E110" t="s">
        <v>758</v>
      </c>
      <c r="F110" t="s">
        <v>827</v>
      </c>
    </row>
    <row r="111" spans="5:6">
      <c r="E111" t="s">
        <v>758</v>
      </c>
      <c r="F111" t="s">
        <v>835</v>
      </c>
    </row>
    <row r="112" spans="5:6">
      <c r="E112" t="s">
        <v>758</v>
      </c>
      <c r="F112" t="s">
        <v>843</v>
      </c>
    </row>
    <row r="113" spans="5:6">
      <c r="E113" t="s">
        <v>758</v>
      </c>
      <c r="F113" t="s">
        <v>851</v>
      </c>
    </row>
    <row r="114" spans="5:6">
      <c r="E114" t="s">
        <v>758</v>
      </c>
      <c r="F114" t="s">
        <v>858</v>
      </c>
    </row>
    <row r="115" spans="5:6">
      <c r="E115" t="s">
        <v>758</v>
      </c>
      <c r="F115" t="s">
        <v>864</v>
      </c>
    </row>
    <row r="116" spans="5:6">
      <c r="E116" t="s">
        <v>761</v>
      </c>
      <c r="F116" t="s">
        <v>779</v>
      </c>
    </row>
    <row r="117" spans="5:6">
      <c r="E117" t="s">
        <v>761</v>
      </c>
      <c r="F117" t="s">
        <v>789</v>
      </c>
    </row>
    <row r="118" spans="5:6">
      <c r="E118" t="s">
        <v>761</v>
      </c>
      <c r="F118" t="s">
        <v>799</v>
      </c>
    </row>
    <row r="119" spans="5:6">
      <c r="E119" t="s">
        <v>761</v>
      </c>
      <c r="F119" t="s">
        <v>809</v>
      </c>
    </row>
    <row r="120" spans="5:6">
      <c r="E120" t="s">
        <v>761</v>
      </c>
      <c r="F120" t="s">
        <v>819</v>
      </c>
    </row>
    <row r="121" spans="5:6">
      <c r="E121" t="s">
        <v>761</v>
      </c>
      <c r="F121" t="s">
        <v>828</v>
      </c>
    </row>
    <row r="122" spans="5:6">
      <c r="E122" t="s">
        <v>761</v>
      </c>
      <c r="F122" t="s">
        <v>836</v>
      </c>
    </row>
    <row r="123" spans="5:6">
      <c r="E123" t="s">
        <v>761</v>
      </c>
      <c r="F123" t="s">
        <v>844</v>
      </c>
    </row>
    <row r="124" spans="5:6">
      <c r="E124" t="s">
        <v>764</v>
      </c>
      <c r="F124" t="s">
        <v>780</v>
      </c>
    </row>
    <row r="125" spans="5:6">
      <c r="E125" t="s">
        <v>764</v>
      </c>
      <c r="F125" t="s">
        <v>790</v>
      </c>
    </row>
    <row r="126" spans="5:6">
      <c r="E126" t="s">
        <v>764</v>
      </c>
      <c r="F126" t="s">
        <v>800</v>
      </c>
    </row>
    <row r="127" spans="5:6">
      <c r="E127" t="s">
        <v>764</v>
      </c>
      <c r="F127" t="s">
        <v>810</v>
      </c>
    </row>
    <row r="128" spans="5:6">
      <c r="E128" t="s">
        <v>764</v>
      </c>
      <c r="F128" t="s">
        <v>820</v>
      </c>
    </row>
  </sheetData>
  <mergeCells count="3">
    <mergeCell ref="K2:K3"/>
    <mergeCell ref="L2:P2"/>
    <mergeCell ref="Q2:AA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102"/>
  <sheetViews>
    <sheetView zoomScale="76" workbookViewId="0">
      <selection activeCell="B66" sqref="B66"/>
    </sheetView>
  </sheetViews>
  <sheetFormatPr defaultColWidth="11.42578125" defaultRowHeight="12.75"/>
  <cols>
    <col min="1" max="1" width="36.140625" style="10" customWidth="1"/>
    <col min="2" max="10" width="12.42578125" style="45" customWidth="1"/>
    <col min="11" max="12" width="12.42578125" style="52" customWidth="1"/>
    <col min="13" max="13" width="12.140625" style="52" bestFit="1" customWidth="1"/>
    <col min="14" max="16384" width="11.42578125" style="44"/>
  </cols>
  <sheetData>
    <row r="1" spans="1:25" ht="15.75">
      <c r="A1" s="1238" t="e" vm="1">
        <f>Inputs!H3</f>
        <v>#VALUE!</v>
      </c>
      <c r="B1" s="1238"/>
      <c r="C1" s="1238"/>
      <c r="D1" s="1238"/>
      <c r="E1" s="1238"/>
      <c r="F1" s="1238"/>
      <c r="G1" s="1238"/>
      <c r="H1" s="1238"/>
      <c r="I1" s="1238"/>
      <c r="J1" s="1238"/>
      <c r="K1" s="1238"/>
      <c r="L1" s="1238"/>
      <c r="M1" s="1238"/>
    </row>
    <row r="2" spans="1:25" ht="12">
      <c r="A2" s="1239" t="str">
        <f>Inputs!G2</f>
        <v>Figures in Millions of GBp</v>
      </c>
      <c r="B2" s="1239"/>
      <c r="C2" s="1239"/>
      <c r="D2" s="1239"/>
      <c r="E2" s="1239"/>
      <c r="F2" s="1239"/>
      <c r="G2" s="1239"/>
      <c r="H2" s="1239"/>
      <c r="I2" s="1239"/>
      <c r="J2" s="1239"/>
      <c r="K2" s="1239"/>
      <c r="L2" s="1239"/>
      <c r="M2" s="1239"/>
    </row>
    <row r="3" spans="1:25" ht="20.25">
      <c r="A3" s="1237" t="s">
        <v>880</v>
      </c>
      <c r="B3" s="1237"/>
      <c r="C3" s="1237"/>
      <c r="D3" s="1237"/>
      <c r="E3" s="1237"/>
      <c r="F3" s="1237"/>
      <c r="G3" s="1237"/>
      <c r="H3" s="1237"/>
      <c r="I3" s="1237"/>
      <c r="J3" s="1237"/>
      <c r="K3" s="1237"/>
      <c r="L3" s="1237"/>
      <c r="M3" s="1237"/>
    </row>
    <row r="4" spans="1:25">
      <c r="A4" s="117"/>
      <c r="B4" s="55">
        <f>OP!J20</f>
        <v>2023</v>
      </c>
      <c r="C4" s="46">
        <f>B4-1</f>
        <v>2022</v>
      </c>
      <c r="D4" s="46">
        <f t="shared" ref="D4:M4" si="0">C4-1</f>
        <v>2021</v>
      </c>
      <c r="E4" s="46">
        <f t="shared" si="0"/>
        <v>2020</v>
      </c>
      <c r="F4" s="46">
        <f t="shared" si="0"/>
        <v>2019</v>
      </c>
      <c r="G4" s="46">
        <f t="shared" si="0"/>
        <v>2018</v>
      </c>
      <c r="H4" s="46">
        <f t="shared" si="0"/>
        <v>2017</v>
      </c>
      <c r="I4" s="46">
        <f t="shared" si="0"/>
        <v>2016</v>
      </c>
      <c r="J4" s="46">
        <f>I4-1</f>
        <v>2015</v>
      </c>
      <c r="K4" s="46">
        <f t="shared" si="0"/>
        <v>2014</v>
      </c>
      <c r="L4" s="46">
        <f t="shared" si="0"/>
        <v>2013</v>
      </c>
      <c r="M4" s="46">
        <f t="shared" si="0"/>
        <v>2012</v>
      </c>
    </row>
    <row r="5" spans="1:25">
      <c r="A5" s="118" t="s">
        <v>118</v>
      </c>
      <c r="B5" s="56">
        <f>_xlfn.XLOOKUP($A5,Inputs!$A:$A,Inputs!B:B,,0)</f>
        <v>17113</v>
      </c>
      <c r="C5" s="56">
        <f>_xlfn.XLOOKUP($A5,Inputs!$A:$A,Inputs!C:C,,0)</f>
        <v>15452</v>
      </c>
      <c r="D5" s="56">
        <f>_xlfn.XLOOKUP($A5,Inputs!$A:$A,Inputs!D:D,,0)</f>
        <v>12733</v>
      </c>
      <c r="E5" s="56">
        <f>_xlfn.XLOOKUP($A5,Inputs!$A:$A,Inputs!E:E,,0)</f>
        <v>11752</v>
      </c>
      <c r="F5" s="56">
        <f>_xlfn.XLOOKUP($A5,Inputs!$A:$A,Inputs!F:F,,0)</f>
        <v>12867</v>
      </c>
      <c r="G5" s="56">
        <f>_xlfn.XLOOKUP($A5,Inputs!$A:$A,Inputs!G:G,,0)</f>
        <v>12163</v>
      </c>
      <c r="H5" s="56">
        <f>_xlfn.XLOOKUP($A5,Inputs!$A:$A,Inputs!H:H,,0)</f>
        <v>12050</v>
      </c>
      <c r="I5" s="56">
        <f>_xlfn.XLOOKUP($A5,Inputs!$A:$A,Inputs!I:I,,0)</f>
        <v>10485</v>
      </c>
      <c r="J5" s="56">
        <f>_xlfn.XLOOKUP($A5,Inputs!$A:$A,Inputs!J:J,,0)</f>
        <v>10813</v>
      </c>
      <c r="K5" s="56">
        <f>_xlfn.XLOOKUP($A5,Inputs!$A:$A,Inputs!K:K,,0)</f>
        <v>10258</v>
      </c>
      <c r="L5" s="56">
        <f>_xlfn.XLOOKUP($A5,Inputs!$A:$A,Inputs!L:L,,0)</f>
        <v>0</v>
      </c>
      <c r="M5" s="57">
        <f>_xlfn.XLOOKUP($A5,Inputs!$A:$A,Inputs!M:M,,0)</f>
        <v>0</v>
      </c>
    </row>
    <row r="6" spans="1:25">
      <c r="A6" s="119" t="s">
        <v>881</v>
      </c>
      <c r="B6" s="58">
        <f t="shared" ref="B6:L6" si="1">IFERROR(B5/C5-1,"-")</f>
        <v>0.10749417551126061</v>
      </c>
      <c r="C6" s="58">
        <f t="shared" si="1"/>
        <v>0.21353962145605898</v>
      </c>
      <c r="D6" s="58">
        <f t="shared" si="1"/>
        <v>8.3475153165418758E-2</v>
      </c>
      <c r="E6" s="58">
        <f t="shared" si="1"/>
        <v>-8.665578611953062E-2</v>
      </c>
      <c r="F6" s="58">
        <f t="shared" si="1"/>
        <v>5.7880457124064755E-2</v>
      </c>
      <c r="G6" s="58">
        <f t="shared" si="1"/>
        <v>9.3775933609958617E-3</v>
      </c>
      <c r="H6" s="58">
        <f t="shared" si="1"/>
        <v>0.14926084883166424</v>
      </c>
      <c r="I6" s="58">
        <f t="shared" si="1"/>
        <v>-3.0333857393877728E-2</v>
      </c>
      <c r="J6" s="58">
        <f t="shared" si="1"/>
        <v>5.4104113862351255E-2</v>
      </c>
      <c r="K6" s="58" t="str">
        <f t="shared" si="1"/>
        <v>-</v>
      </c>
      <c r="L6" s="58" t="str">
        <f t="shared" si="1"/>
        <v>-</v>
      </c>
      <c r="M6" s="59" t="str">
        <f>IFERROR(M5/#REF!-1,"-")</f>
        <v>-</v>
      </c>
      <c r="N6" s="445"/>
    </row>
    <row r="7" spans="1:25">
      <c r="A7" s="118" t="s">
        <v>882</v>
      </c>
      <c r="B7" s="56">
        <f>_xlfn.XLOOKUP($A7,Inputs!$A:$A,Inputs!B:B,,0)</f>
        <v>10214</v>
      </c>
      <c r="C7" s="56">
        <f>_xlfn.XLOOKUP($A7,Inputs!$A:$A,Inputs!C:C,,0)</f>
        <v>9479</v>
      </c>
      <c r="D7" s="56">
        <f>_xlfn.XLOOKUP($A7,Inputs!$A:$A,Inputs!D:D,,0)</f>
        <v>7695</v>
      </c>
      <c r="E7" s="56">
        <f>_xlfn.XLOOKUP($A7,Inputs!$A:$A,Inputs!E:E,,0)</f>
        <v>7098</v>
      </c>
      <c r="F7" s="56">
        <f>_xlfn.XLOOKUP($A7,Inputs!$A:$A,Inputs!F:F,,0)</f>
        <v>8001</v>
      </c>
      <c r="G7" s="56">
        <f>_xlfn.XLOOKUP($A7,Inputs!$A:$A,Inputs!G:G,,0)</f>
        <v>7529</v>
      </c>
      <c r="H7" s="56">
        <f>_xlfn.XLOOKUP($A7,Inputs!$A:$A,Inputs!H:H,,0)</f>
        <v>7370</v>
      </c>
      <c r="I7" s="56">
        <f>_xlfn.XLOOKUP($A7,Inputs!$A:$A,Inputs!I:I,,0)</f>
        <v>6234</v>
      </c>
      <c r="J7" s="56">
        <f>_xlfn.XLOOKUP($A7,Inputs!$A:$A,Inputs!J:J,,0)</f>
        <v>6203</v>
      </c>
      <c r="K7" s="56">
        <f>_xlfn.XLOOKUP($A7,Inputs!$A:$A,Inputs!K:K,,0)</f>
        <v>6229</v>
      </c>
      <c r="L7" s="56">
        <f>_xlfn.XLOOKUP($A7,Inputs!$A:$A,Inputs!L:L,,0)</f>
        <v>0</v>
      </c>
      <c r="M7" s="57">
        <f>_xlfn.XLOOKUP($A7,Inputs!$A:$A,Inputs!M:M,,0)</f>
        <v>0</v>
      </c>
    </row>
    <row r="8" spans="1:25">
      <c r="A8" s="119" t="s">
        <v>883</v>
      </c>
      <c r="B8" s="58">
        <f>IFERROR(B7/B$5,"-")</f>
        <v>0.59685619119967281</v>
      </c>
      <c r="C8" s="58">
        <f t="shared" ref="C8:M8" si="2">IFERROR(C7/C$5,"-")</f>
        <v>0.61344809733367844</v>
      </c>
      <c r="D8" s="58">
        <f t="shared" si="2"/>
        <v>0.60433519202073349</v>
      </c>
      <c r="E8" s="58">
        <f t="shared" si="2"/>
        <v>0.60398230088495575</v>
      </c>
      <c r="F8" s="58">
        <f t="shared" si="2"/>
        <v>0.62182326882723249</v>
      </c>
      <c r="G8" s="58">
        <f t="shared" si="2"/>
        <v>0.6190084683055167</v>
      </c>
      <c r="H8" s="58">
        <f t="shared" si="2"/>
        <v>0.61161825726141084</v>
      </c>
      <c r="I8" s="58">
        <f t="shared" si="2"/>
        <v>0.59456366237482117</v>
      </c>
      <c r="J8" s="58">
        <f t="shared" si="2"/>
        <v>0.57366133357995008</v>
      </c>
      <c r="K8" s="58">
        <f t="shared" si="2"/>
        <v>0.60723337882628192</v>
      </c>
      <c r="L8" s="58" t="str">
        <f t="shared" si="2"/>
        <v>-</v>
      </c>
      <c r="M8" s="59" t="str">
        <f t="shared" si="2"/>
        <v>-</v>
      </c>
    </row>
    <row r="9" spans="1:25">
      <c r="A9" s="118" t="s">
        <v>884</v>
      </c>
      <c r="B9" s="56">
        <f t="shared" ref="B9:M9" si="3">B5-B11</f>
        <v>12481</v>
      </c>
      <c r="C9" s="56">
        <f t="shared" si="3"/>
        <v>11043</v>
      </c>
      <c r="D9" s="56">
        <f t="shared" si="3"/>
        <v>9002</v>
      </c>
      <c r="E9" s="56">
        <f t="shared" si="3"/>
        <v>9615</v>
      </c>
      <c r="F9" s="56">
        <f t="shared" si="3"/>
        <v>8825</v>
      </c>
      <c r="G9" s="56">
        <f t="shared" si="3"/>
        <v>8472</v>
      </c>
      <c r="H9" s="56">
        <f t="shared" si="3"/>
        <v>8491</v>
      </c>
      <c r="I9" s="56">
        <f t="shared" si="3"/>
        <v>7644</v>
      </c>
      <c r="J9" s="56">
        <f t="shared" si="3"/>
        <v>8016</v>
      </c>
      <c r="K9" s="56">
        <f t="shared" si="3"/>
        <v>7551</v>
      </c>
      <c r="L9" s="56">
        <f t="shared" si="3"/>
        <v>0</v>
      </c>
      <c r="M9" s="57">
        <f t="shared" si="3"/>
        <v>0</v>
      </c>
    </row>
    <row r="10" spans="1:25">
      <c r="A10" s="119" t="s">
        <v>883</v>
      </c>
      <c r="B10" s="58">
        <f>IFERROR(B9/B$5,"-")</f>
        <v>0.72932858061123118</v>
      </c>
      <c r="C10" s="58">
        <f t="shared" ref="C10:M10" si="4">IFERROR(C9/C$5,"-")</f>
        <v>0.71466476831478121</v>
      </c>
      <c r="D10" s="58">
        <f t="shared" si="4"/>
        <v>0.7069818581638263</v>
      </c>
      <c r="E10" s="58">
        <f t="shared" si="4"/>
        <v>0.81815861130020417</v>
      </c>
      <c r="F10" s="58">
        <f t="shared" si="4"/>
        <v>0.68586306054247304</v>
      </c>
      <c r="G10" s="58">
        <f t="shared" si="4"/>
        <v>0.69653868289073417</v>
      </c>
      <c r="H10" s="58">
        <f t="shared" si="4"/>
        <v>0.70464730290456434</v>
      </c>
      <c r="I10" s="58">
        <f t="shared" si="4"/>
        <v>0.72904148783977107</v>
      </c>
      <c r="J10" s="58">
        <f t="shared" si="4"/>
        <v>0.74132988069915839</v>
      </c>
      <c r="K10" s="58">
        <f t="shared" si="4"/>
        <v>0.73610840319750437</v>
      </c>
      <c r="L10" s="58" t="str">
        <f t="shared" si="4"/>
        <v>-</v>
      </c>
      <c r="M10" s="59" t="str">
        <f t="shared" si="4"/>
        <v>-</v>
      </c>
    </row>
    <row r="11" spans="1:25">
      <c r="A11" s="118" t="s">
        <v>323</v>
      </c>
      <c r="B11" s="56">
        <f>_xlfn.XLOOKUP($A11,Inputs!$A:$A,Inputs!B:B,,0)</f>
        <v>4632</v>
      </c>
      <c r="C11" s="56">
        <f>_xlfn.XLOOKUP($A11,Inputs!$A:$A,Inputs!C:C,,0)</f>
        <v>4409</v>
      </c>
      <c r="D11" s="56">
        <f>_xlfn.XLOOKUP($A11,Inputs!$A:$A,Inputs!D:D,,0)</f>
        <v>3731</v>
      </c>
      <c r="E11" s="56">
        <f>_xlfn.XLOOKUP($A11,Inputs!$A:$A,Inputs!E:E,,0)</f>
        <v>2137</v>
      </c>
      <c r="F11" s="56">
        <f>_xlfn.XLOOKUP($A11,Inputs!$A:$A,Inputs!F:F,,0)</f>
        <v>4042</v>
      </c>
      <c r="G11" s="56">
        <f>_xlfn.XLOOKUP($A11,Inputs!$A:$A,Inputs!G:G,,0)</f>
        <v>3691</v>
      </c>
      <c r="H11" s="56">
        <f>_xlfn.XLOOKUP($A11,Inputs!$A:$A,Inputs!H:H,,0)</f>
        <v>3559</v>
      </c>
      <c r="I11" s="56">
        <f>_xlfn.XLOOKUP($A11,Inputs!$A:$A,Inputs!I:I,,0)</f>
        <v>2841</v>
      </c>
      <c r="J11" s="56">
        <f>_xlfn.XLOOKUP($A11,Inputs!$A:$A,Inputs!J:J,,0)</f>
        <v>2797</v>
      </c>
      <c r="K11" s="56">
        <f>_xlfn.XLOOKUP($A11,Inputs!$A:$A,Inputs!K:K,,0)</f>
        <v>2707</v>
      </c>
      <c r="L11" s="56">
        <f>_xlfn.XLOOKUP($A11,Inputs!$A:$A,Inputs!L:L,,0)</f>
        <v>0</v>
      </c>
      <c r="M11" s="57">
        <f>_xlfn.XLOOKUP($A11,Inputs!$A:$A,Inputs!M:M,,0)</f>
        <v>0</v>
      </c>
    </row>
    <row r="12" spans="1:25">
      <c r="A12" s="119" t="s">
        <v>119</v>
      </c>
      <c r="B12" s="58">
        <f t="shared" ref="B12:M12" si="5">IFERROR(B11/B$5,"-")</f>
        <v>0.27067141938876876</v>
      </c>
      <c r="C12" s="58">
        <f t="shared" si="5"/>
        <v>0.28533523168521874</v>
      </c>
      <c r="D12" s="58">
        <f t="shared" si="5"/>
        <v>0.2930181418361737</v>
      </c>
      <c r="E12" s="58">
        <f t="shared" si="5"/>
        <v>0.18184138869979577</v>
      </c>
      <c r="F12" s="58">
        <f t="shared" si="5"/>
        <v>0.31413693945752702</v>
      </c>
      <c r="G12" s="58">
        <f t="shared" si="5"/>
        <v>0.30346131710926583</v>
      </c>
      <c r="H12" s="58">
        <f t="shared" si="5"/>
        <v>0.29535269709543571</v>
      </c>
      <c r="I12" s="58">
        <f t="shared" si="5"/>
        <v>0.27095851216022893</v>
      </c>
      <c r="J12" s="58">
        <f t="shared" si="5"/>
        <v>0.25867011930084161</v>
      </c>
      <c r="K12" s="58">
        <f t="shared" si="5"/>
        <v>0.26389159680249563</v>
      </c>
      <c r="L12" s="58" t="str">
        <f t="shared" si="5"/>
        <v>-</v>
      </c>
      <c r="M12" s="59" t="str">
        <f t="shared" si="5"/>
        <v>-</v>
      </c>
    </row>
    <row r="13" spans="1:25">
      <c r="A13" s="118" t="s">
        <v>885</v>
      </c>
      <c r="B13" s="58">
        <f t="shared" ref="B13" si="6">IFERROR(B12/C12-1,"-")</f>
        <v>-5.139152361187227E-2</v>
      </c>
      <c r="C13" s="58">
        <f t="shared" ref="C13" si="7">IFERROR(C12/D12-1,"-")</f>
        <v>-2.6219912879150264E-2</v>
      </c>
      <c r="D13" s="58">
        <f>IFERROR(D12/E12-1,"-")</f>
        <v>0.61139410522167226</v>
      </c>
      <c r="E13" s="58">
        <f t="shared" ref="E13" si="8">IFERROR(E12/F12-1,"-")</f>
        <v>-0.42113974557143197</v>
      </c>
      <c r="F13" s="58">
        <f t="shared" ref="F13" si="9">IFERROR(F12/G12-1,"-")</f>
        <v>3.5179516288783796E-2</v>
      </c>
      <c r="G13" s="58">
        <f t="shared" ref="G13" si="10">IFERROR(G12/H12-1,"-")</f>
        <v>2.7454023929939009E-2</v>
      </c>
      <c r="H13" s="58">
        <f t="shared" ref="H13" si="11">IFERROR(H12/I12-1,"-")</f>
        <v>9.002922528885704E-2</v>
      </c>
      <c r="I13" s="58">
        <f t="shared" ref="I13" si="12">IFERROR(I12/J12-1,"-")</f>
        <v>4.7506039323759408E-2</v>
      </c>
      <c r="J13" s="58">
        <f t="shared" ref="J13" si="13">IFERROR(J12/K12-1,"-")</f>
        <v>-1.9786448545240809E-2</v>
      </c>
      <c r="K13" s="58" t="str">
        <f t="shared" ref="K13" si="14">IFERROR(K12/L12-1,"-")</f>
        <v>-</v>
      </c>
      <c r="L13" s="58" t="str">
        <f t="shared" ref="L13" si="15">IFERROR(L12/M12-1,"-")</f>
        <v>-</v>
      </c>
      <c r="M13" s="59" t="str">
        <f>IFERROR(M12/#REF!-1,"-")</f>
        <v>-</v>
      </c>
    </row>
    <row r="14" spans="1:25">
      <c r="A14" s="120" t="s">
        <v>324</v>
      </c>
      <c r="B14" s="56">
        <f>_xlfn.XLOOKUP($A14,Inputs!$A:$A,Inputs!B:B,,0)</f>
        <v>-594</v>
      </c>
      <c r="C14" s="56">
        <f>_xlfn.XLOOKUP($A14,Inputs!$A:$A,Inputs!C:C,,0)</f>
        <v>-422</v>
      </c>
      <c r="D14" s="56">
        <f>_xlfn.XLOOKUP($A14,Inputs!$A:$A,Inputs!D:D,,0)</f>
        <v>-373</v>
      </c>
      <c r="E14" s="56">
        <f>_xlfn.XLOOKUP($A14,Inputs!$A:$A,Inputs!E:E,,0)</f>
        <v>-353</v>
      </c>
      <c r="F14" s="56">
        <f>_xlfn.XLOOKUP($A14,Inputs!$A:$A,Inputs!F:F,,0)</f>
        <v>-263</v>
      </c>
      <c r="G14" s="56">
        <f>_xlfn.XLOOKUP($A14,Inputs!$A:$A,Inputs!G:G,,0)</f>
        <v>-260</v>
      </c>
      <c r="H14" s="56">
        <f>_xlfn.XLOOKUP($A14,Inputs!$A:$A,Inputs!H:H,,0)</f>
        <v>-329</v>
      </c>
      <c r="I14" s="56">
        <f>_xlfn.XLOOKUP($A14,Inputs!$A:$A,Inputs!I:I,,0)</f>
        <v>-327</v>
      </c>
      <c r="J14" s="56">
        <f>_xlfn.XLOOKUP($A14,Inputs!$A:$A,Inputs!J:J,,0)</f>
        <v>-412</v>
      </c>
      <c r="K14" s="56">
        <f>_xlfn.XLOOKUP($A14,Inputs!$A:$A,Inputs!K:K,,0)</f>
        <v>-388</v>
      </c>
      <c r="L14" s="56">
        <f>_xlfn.XLOOKUP($A14,Inputs!$A:$A,Inputs!L:L,,0)</f>
        <v>0</v>
      </c>
      <c r="M14" s="57">
        <f>_xlfn.XLOOKUP($A14,Inputs!$A:$A,Inputs!M:M,,0)</f>
        <v>0</v>
      </c>
    </row>
    <row r="15" spans="1:25">
      <c r="A15" s="118" t="s">
        <v>886</v>
      </c>
      <c r="B15" s="56">
        <f>_xlfn.XLOOKUP($A15,Inputs!$A:$A,Inputs!B:B,,0)</f>
        <v>698</v>
      </c>
      <c r="C15" s="56">
        <f>_xlfn.XLOOKUP($A15,Inputs!$A:$A,Inputs!C:C,,0)</f>
        <v>400</v>
      </c>
      <c r="D15" s="56">
        <f>_xlfn.XLOOKUP($A15,Inputs!$A:$A,Inputs!D:D,,0)</f>
        <v>348</v>
      </c>
      <c r="E15" s="56">
        <f>_xlfn.XLOOKUP($A15,Inputs!$A:$A,Inputs!E:E,,0)</f>
        <v>259</v>
      </c>
      <c r="F15" s="56">
        <f>_xlfn.XLOOKUP($A15,Inputs!$A:$A,Inputs!F:F,,0)</f>
        <v>456</v>
      </c>
      <c r="G15" s="56">
        <f>_xlfn.XLOOKUP($A15,Inputs!$A:$A,Inputs!G:G,,0)</f>
        <v>309</v>
      </c>
      <c r="H15" s="56">
        <f>_xlfn.XLOOKUP($A15,Inputs!$A:$A,Inputs!H:H,,0)</f>
        <v>274</v>
      </c>
      <c r="I15" s="56">
        <f>_xlfn.XLOOKUP($A15,Inputs!$A:$A,Inputs!I:I,,0)</f>
        <v>344</v>
      </c>
      <c r="J15" s="56">
        <f>_xlfn.XLOOKUP($A15,Inputs!$A:$A,Inputs!J:J,,0)</f>
        <v>548</v>
      </c>
      <c r="K15" s="56">
        <f>_xlfn.XLOOKUP($A15,Inputs!$A:$A,Inputs!K:K,,0)</f>
        <v>309</v>
      </c>
      <c r="L15" s="56">
        <f>_xlfn.XLOOKUP($A15,Inputs!$A:$A,Inputs!L:L,,0)</f>
        <v>0</v>
      </c>
      <c r="M15" s="57">
        <f>_xlfn.XLOOKUP($A15,Inputs!$A:$A,Inputs!M:M,,0)</f>
        <v>0</v>
      </c>
    </row>
    <row r="16" spans="1:25">
      <c r="A16" s="120" t="s">
        <v>56</v>
      </c>
      <c r="B16" s="56">
        <f>B11-B15</f>
        <v>3934</v>
      </c>
      <c r="C16" s="56">
        <f t="shared" ref="C16:M16" si="16">C11-C15</f>
        <v>4009</v>
      </c>
      <c r="D16" s="56">
        <f t="shared" si="16"/>
        <v>3383</v>
      </c>
      <c r="E16" s="56">
        <f t="shared" si="16"/>
        <v>1878</v>
      </c>
      <c r="F16" s="56">
        <f t="shared" si="16"/>
        <v>3586</v>
      </c>
      <c r="G16" s="56">
        <f t="shared" si="16"/>
        <v>3382</v>
      </c>
      <c r="H16" s="56">
        <f t="shared" si="16"/>
        <v>3285</v>
      </c>
      <c r="I16" s="56">
        <f t="shared" si="16"/>
        <v>2497</v>
      </c>
      <c r="J16" s="56">
        <f t="shared" si="16"/>
        <v>2249</v>
      </c>
      <c r="K16" s="56">
        <f t="shared" si="16"/>
        <v>2398</v>
      </c>
      <c r="L16" s="56">
        <f t="shared" si="16"/>
        <v>0</v>
      </c>
      <c r="M16" s="57">
        <f t="shared" si="16"/>
        <v>0</v>
      </c>
      <c r="N16" s="54"/>
      <c r="O16" s="54"/>
      <c r="P16" s="54"/>
      <c r="Q16" s="54"/>
      <c r="R16" s="54"/>
      <c r="S16" s="54"/>
      <c r="T16" s="54"/>
      <c r="U16" s="54"/>
      <c r="V16" s="54"/>
      <c r="W16" s="54"/>
      <c r="X16" s="54"/>
      <c r="Y16" s="54"/>
    </row>
    <row r="17" spans="1:18">
      <c r="A17" s="118" t="s">
        <v>51</v>
      </c>
      <c r="B17" s="56">
        <f>_xlfn.XLOOKUP($A17,Inputs!$A:$A,Inputs!B:B,,0)</f>
        <v>1066</v>
      </c>
      <c r="C17" s="56">
        <f>_xlfn.XLOOKUP($A17,Inputs!$A:$A,Inputs!C:C,,0)</f>
        <v>828</v>
      </c>
      <c r="D17" s="56">
        <f>_xlfn.XLOOKUP($A17,Inputs!$A:$A,Inputs!D:D,,0)</f>
        <v>447</v>
      </c>
      <c r="E17" s="56">
        <f>_xlfn.XLOOKUP($A17,Inputs!$A:$A,Inputs!E:E,,0)</f>
        <v>1839</v>
      </c>
      <c r="F17" s="56">
        <f>_xlfn.XLOOKUP($A17,Inputs!$A:$A,Inputs!F:F,,0)</f>
        <v>374</v>
      </c>
      <c r="G17" s="56">
        <f>_xlfn.XLOOKUP($A17,Inputs!$A:$A,Inputs!G:G,,0)</f>
        <v>493</v>
      </c>
      <c r="H17" s="56">
        <f>_xlfn.XLOOKUP($A17,Inputs!$A:$A,Inputs!H:H,,0)</f>
        <v>361</v>
      </c>
      <c r="I17" s="56">
        <f>_xlfn.XLOOKUP($A17,Inputs!$A:$A,Inputs!I:I,,0)</f>
        <v>473</v>
      </c>
      <c r="J17" s="56">
        <f>_xlfn.XLOOKUP($A17,Inputs!$A:$A,Inputs!J:J,,0)</f>
        <v>440</v>
      </c>
      <c r="K17" s="56">
        <f>_xlfn.XLOOKUP($A17,Inputs!$A:$A,Inputs!K:K,,0)</f>
        <v>629</v>
      </c>
      <c r="L17" s="56">
        <f>_xlfn.XLOOKUP($A17,Inputs!$A:$A,Inputs!L:L,,0)</f>
        <v>0</v>
      </c>
      <c r="M17" s="57">
        <f>_xlfn.XLOOKUP($A17,Inputs!$A:$A,Inputs!M:M,,0)</f>
        <v>0</v>
      </c>
      <c r="N17" s="286"/>
    </row>
    <row r="18" spans="1:18">
      <c r="A18" s="120" t="s">
        <v>887</v>
      </c>
      <c r="B18" s="56">
        <f>_xlfn.XLOOKUP($A18,Inputs!$A:$A,Inputs!B:B,,0)</f>
        <v>-27</v>
      </c>
      <c r="C18" s="56">
        <f>_xlfn.XLOOKUP($A18,Inputs!$A:$A,Inputs!C:C,,0)</f>
        <v>1139</v>
      </c>
      <c r="D18" s="56">
        <f>_xlfn.XLOOKUP($A18,Inputs!$A:$A,Inputs!D:D,,0)</f>
        <v>653</v>
      </c>
      <c r="E18" s="56">
        <f>_xlfn.XLOOKUP($A18,Inputs!$A:$A,Inputs!E:E,,0)</f>
        <v>-98</v>
      </c>
      <c r="F18" s="56">
        <f>_xlfn.XLOOKUP($A18,Inputs!$A:$A,Inputs!F:F,,0)</f>
        <v>214</v>
      </c>
      <c r="G18" s="56">
        <f>_xlfn.XLOOKUP($A18,Inputs!$A:$A,Inputs!G:G,,0)</f>
        <v>-19</v>
      </c>
      <c r="H18" s="56">
        <f>_xlfn.XLOOKUP($A18,Inputs!$A:$A,Inputs!H:H,,0)</f>
        <v>656</v>
      </c>
      <c r="I18" s="56">
        <f>_xlfn.XLOOKUP($A18,Inputs!$A:$A,Inputs!I:I,,0)</f>
        <v>-775</v>
      </c>
      <c r="J18" s="56">
        <f>_xlfn.XLOOKUP($A18,Inputs!$A:$A,Inputs!J:J,,0)</f>
        <v>0</v>
      </c>
      <c r="K18" s="56">
        <f>_xlfn.XLOOKUP($A18,Inputs!$A:$A,Inputs!K:K,,0)</f>
        <v>1576</v>
      </c>
      <c r="L18" s="56">
        <f>_xlfn.XLOOKUP($A18,Inputs!$A:$A,Inputs!L:L,,0)</f>
        <v>0</v>
      </c>
      <c r="M18" s="57">
        <f>_xlfn.XLOOKUP($A18,Inputs!$A:$A,Inputs!M:M,,0)</f>
        <v>0</v>
      </c>
    </row>
    <row r="19" spans="1:18">
      <c r="A19" s="118" t="s">
        <v>47</v>
      </c>
      <c r="B19" s="56">
        <f>B11-B15+B17</f>
        <v>5000</v>
      </c>
      <c r="C19" s="56">
        <f t="shared" ref="C19:M19" si="17">C11-C15+C17</f>
        <v>4837</v>
      </c>
      <c r="D19" s="56">
        <f t="shared" si="17"/>
        <v>3830</v>
      </c>
      <c r="E19" s="56">
        <f t="shared" si="17"/>
        <v>3717</v>
      </c>
      <c r="F19" s="56">
        <f t="shared" si="17"/>
        <v>3960</v>
      </c>
      <c r="G19" s="56">
        <f t="shared" si="17"/>
        <v>3875</v>
      </c>
      <c r="H19" s="56">
        <f t="shared" si="17"/>
        <v>3646</v>
      </c>
      <c r="I19" s="56">
        <f t="shared" si="17"/>
        <v>2970</v>
      </c>
      <c r="J19" s="56">
        <f t="shared" si="17"/>
        <v>2689</v>
      </c>
      <c r="K19" s="56">
        <f t="shared" si="17"/>
        <v>3027</v>
      </c>
      <c r="L19" s="56">
        <f t="shared" si="17"/>
        <v>0</v>
      </c>
      <c r="M19" s="57">
        <f t="shared" si="17"/>
        <v>0</v>
      </c>
    </row>
    <row r="20" spans="1:18">
      <c r="A20" s="119" t="s">
        <v>888</v>
      </c>
      <c r="B20" s="58">
        <f t="shared" ref="B20" si="18">IFERROR(B19/B$5,"-")</f>
        <v>0.29217553906386956</v>
      </c>
      <c r="C20" s="58">
        <f t="shared" ref="C20" si="19">IFERROR(C19/C$5,"-")</f>
        <v>0.31303391146777115</v>
      </c>
      <c r="D20" s="58">
        <f t="shared" ref="D20" si="20">IFERROR(D19/D$5,"-")</f>
        <v>0.30079321448205448</v>
      </c>
      <c r="E20" s="58">
        <f t="shared" ref="E20" si="21">IFERROR(E19/E$5,"-")</f>
        <v>0.31628658951667799</v>
      </c>
      <c r="F20" s="58">
        <f t="shared" ref="F20" si="22">IFERROR(F19/F$5,"-")</f>
        <v>0.30776404756353465</v>
      </c>
      <c r="G20" s="58">
        <f t="shared" ref="G20" si="23">IFERROR(G19/G$5,"-")</f>
        <v>0.31858916385760094</v>
      </c>
      <c r="H20" s="58">
        <f t="shared" ref="H20" si="24">IFERROR(H19/H$5,"-")</f>
        <v>0.30257261410788383</v>
      </c>
      <c r="I20" s="58">
        <f t="shared" ref="I20" si="25">IFERROR(I19/I$5,"-")</f>
        <v>0.2832618025751073</v>
      </c>
      <c r="J20" s="58">
        <f t="shared" ref="J20" si="26">IFERROR(J19/J$5,"-")</f>
        <v>0.24868214186627208</v>
      </c>
      <c r="K20" s="58">
        <f t="shared" ref="K20" si="27">IFERROR(K19/K$5,"-")</f>
        <v>0.29508676155195945</v>
      </c>
      <c r="L20" s="58" t="str">
        <f t="shared" ref="L20" si="28">IFERROR(L19/L$5,"-")</f>
        <v>-</v>
      </c>
      <c r="M20" s="59" t="str">
        <f t="shared" ref="M20" si="29">IFERROR(M19/M$5,"-")</f>
        <v>-</v>
      </c>
      <c r="P20" s="286"/>
      <c r="Q20" s="286"/>
      <c r="R20" s="286"/>
    </row>
    <row r="21" spans="1:18">
      <c r="A21" s="118" t="s">
        <v>325</v>
      </c>
      <c r="B21" s="56">
        <f>_xlfn.XLOOKUP($A21,Inputs!$A:$A,Inputs!B:B,,0)</f>
        <v>-970</v>
      </c>
      <c r="C21" s="56">
        <f>_xlfn.XLOOKUP($A21,Inputs!$A:$A,Inputs!C:C,,0)</f>
        <v>-1049</v>
      </c>
      <c r="D21" s="56">
        <f>_xlfn.XLOOKUP($A21,Inputs!$A:$A,Inputs!D:D,,0)</f>
        <v>-907</v>
      </c>
      <c r="E21" s="56">
        <f>_xlfn.XLOOKUP($A21,Inputs!$A:$A,Inputs!E:E,,0)</f>
        <v>-589</v>
      </c>
      <c r="F21" s="56">
        <f>_xlfn.XLOOKUP($A21,Inputs!$A:$A,Inputs!F:F,,0)</f>
        <v>-898</v>
      </c>
      <c r="G21" s="56">
        <f>_xlfn.XLOOKUP($A21,Inputs!$A:$A,Inputs!G:G,,0)</f>
        <v>-596</v>
      </c>
      <c r="H21" s="56">
        <f>_xlfn.XLOOKUP($A21,Inputs!$A:$A,Inputs!H:H,,0)</f>
        <v>-732</v>
      </c>
      <c r="I21" s="56">
        <f>_xlfn.XLOOKUP($A21,Inputs!$A:$A,Inputs!I:I,,0)</f>
        <v>-496</v>
      </c>
      <c r="J21" s="56">
        <f>_xlfn.XLOOKUP($A21,Inputs!$A:$A,Inputs!J:J,,0)</f>
        <v>-466</v>
      </c>
      <c r="K21" s="56">
        <f>_xlfn.XLOOKUP($A21,Inputs!$A:$A,Inputs!K:K,,0)</f>
        <v>-447</v>
      </c>
      <c r="L21" s="56">
        <f>_xlfn.XLOOKUP($A21,Inputs!$A:$A,Inputs!L:L,,0)</f>
        <v>0</v>
      </c>
      <c r="M21" s="57">
        <f>_xlfn.XLOOKUP($A21,Inputs!$A:$A,Inputs!M:M,,0)</f>
        <v>0</v>
      </c>
    </row>
    <row r="22" spans="1:18">
      <c r="A22" s="119" t="s">
        <v>889</v>
      </c>
      <c r="B22" s="58">
        <f>IFERROR(B21/B$5,"-")</f>
        <v>-5.6682054578390699E-2</v>
      </c>
      <c r="C22" s="58">
        <f t="shared" ref="C22" si="30">IFERROR(C21/C$5,"-")</f>
        <v>-6.7887652083872638E-2</v>
      </c>
      <c r="D22" s="58">
        <f t="shared" ref="D22" si="31">IFERROR(D21/D$5,"-")</f>
        <v>-7.1232231210241109E-2</v>
      </c>
      <c r="E22" s="58">
        <f t="shared" ref="E22" si="32">IFERROR(E21/E$5,"-")</f>
        <v>-5.011912865895167E-2</v>
      </c>
      <c r="F22" s="58">
        <f t="shared" ref="F22" si="33">IFERROR(F21/F$5,"-")</f>
        <v>-6.9790938058599525E-2</v>
      </c>
      <c r="G22" s="58">
        <f t="shared" ref="G22" si="34">IFERROR(G21/G$5,"-")</f>
        <v>-4.9001068815259397E-2</v>
      </c>
      <c r="H22" s="58">
        <f t="shared" ref="H22" si="35">IFERROR(H21/H$5,"-")</f>
        <v>-6.0746887966804983E-2</v>
      </c>
      <c r="I22" s="58">
        <f t="shared" ref="I22" si="36">IFERROR(I21/I$5,"-")</f>
        <v>-4.7305674773485934E-2</v>
      </c>
      <c r="J22" s="58">
        <f t="shared" ref="J22" si="37">IFERROR(J21/J$5,"-")</f>
        <v>-4.3096273004716544E-2</v>
      </c>
      <c r="K22" s="58">
        <f t="shared" ref="K22" si="38">IFERROR(K21/K$5,"-")</f>
        <v>-4.3575745759407293E-2</v>
      </c>
      <c r="L22" s="58" t="str">
        <f t="shared" ref="L22" si="39">IFERROR(L21/L$5,"-")</f>
        <v>-</v>
      </c>
      <c r="M22" s="59" t="str">
        <f t="shared" ref="M22" si="40">IFERROR(M21/M$5,"-")</f>
        <v>-</v>
      </c>
    </row>
    <row r="23" spans="1:18">
      <c r="A23" s="118" t="s">
        <v>60</v>
      </c>
      <c r="B23" s="56">
        <f>_xlfn.XLOOKUP($A23,Inputs!$A:$A,Inputs!B:B,,0)</f>
        <v>3766</v>
      </c>
      <c r="C23" s="56">
        <f>_xlfn.XLOOKUP($A23,Inputs!$A:$A,Inputs!C:C,,0)</f>
        <v>3338</v>
      </c>
      <c r="D23" s="56">
        <f>_xlfn.XLOOKUP($A23,Inputs!$A:$A,Inputs!D:D,,0)</f>
        <v>2799</v>
      </c>
      <c r="E23" s="56">
        <f>_xlfn.XLOOKUP($A23,Inputs!$A:$A,Inputs!E:E,,0)</f>
        <v>1454</v>
      </c>
      <c r="F23" s="56">
        <f>_xlfn.XLOOKUP($A23,Inputs!$A:$A,Inputs!F:F,,0)</f>
        <v>3337</v>
      </c>
      <c r="G23" s="56">
        <f>_xlfn.XLOOKUP($A23,Inputs!$A:$A,Inputs!G:G,,0)</f>
        <v>3144</v>
      </c>
      <c r="H23" s="56">
        <f>_xlfn.XLOOKUP($A23,Inputs!$A:$A,Inputs!H:H,,0)</f>
        <v>2772</v>
      </c>
      <c r="I23" s="56">
        <f>_xlfn.XLOOKUP($A23,Inputs!$A:$A,Inputs!I:I,,0)</f>
        <v>2362</v>
      </c>
      <c r="J23" s="56">
        <f>_xlfn.XLOOKUP($A23,Inputs!$A:$A,Inputs!J:J,,0)</f>
        <v>2467</v>
      </c>
      <c r="K23" s="56">
        <f>_xlfn.XLOOKUP($A23,Inputs!$A:$A,Inputs!K:K,,0)</f>
        <v>2181</v>
      </c>
      <c r="L23" s="56">
        <f>_xlfn.XLOOKUP($A23,Inputs!$A:$A,Inputs!L:L,,0)</f>
        <v>0</v>
      </c>
      <c r="M23" s="57">
        <f>_xlfn.XLOOKUP($A23,Inputs!$A:$A,Inputs!M:M,,0)</f>
        <v>0</v>
      </c>
    </row>
    <row r="24" spans="1:18">
      <c r="A24" s="119" t="s">
        <v>279</v>
      </c>
      <c r="B24" s="58">
        <f t="shared" ref="B24" si="41">IFERROR(B23/B$5,"-")</f>
        <v>0.22006661602290656</v>
      </c>
      <c r="C24" s="58">
        <f t="shared" ref="C24" si="42">IFERROR(C23/C$5,"-")</f>
        <v>0.21602381568728968</v>
      </c>
      <c r="D24" s="58">
        <f t="shared" ref="D24" si="43">IFERROR(D23/D$5,"-")</f>
        <v>0.21982250844262938</v>
      </c>
      <c r="E24" s="58">
        <f t="shared" ref="E24" si="44">IFERROR(E23/E$5,"-")</f>
        <v>0.12372362151123213</v>
      </c>
      <c r="F24" s="58">
        <f t="shared" ref="F24" si="45">IFERROR(F23/F$5,"-")</f>
        <v>0.25934561280795837</v>
      </c>
      <c r="G24" s="58">
        <f t="shared" ref="G24" si="46">IFERROR(G23/G$5,"-")</f>
        <v>0.25848885965633478</v>
      </c>
      <c r="H24" s="58">
        <f t="shared" ref="H24" si="47">IFERROR(H23/H$5,"-")</f>
        <v>0.23004149377593361</v>
      </c>
      <c r="I24" s="58">
        <f t="shared" ref="I24" si="48">IFERROR(I23/I$5,"-")</f>
        <v>0.22527420123986647</v>
      </c>
      <c r="J24" s="58">
        <f t="shared" ref="J24" si="49">IFERROR(J23/J$5,"-")</f>
        <v>0.22815129936187922</v>
      </c>
      <c r="K24" s="58">
        <f t="shared" ref="K24" si="50">IFERROR(K23/K$5,"-")</f>
        <v>0.21261454474556443</v>
      </c>
      <c r="L24" s="58" t="str">
        <f t="shared" ref="L24" si="51">IFERROR(L23/L$5,"-")</f>
        <v>-</v>
      </c>
      <c r="M24" s="59" t="str">
        <f t="shared" ref="M24" si="52">IFERROR(M23/M$5,"-")</f>
        <v>-</v>
      </c>
    </row>
    <row r="25" spans="1:18">
      <c r="A25" s="118" t="s">
        <v>881</v>
      </c>
      <c r="B25" s="58">
        <f t="shared" ref="B25" si="53">IFERROR(B24/C24-1,"-")</f>
        <v>1.8714604789080935E-2</v>
      </c>
      <c r="C25" s="58">
        <f t="shared" ref="C25" si="54">IFERROR(C24/D24-1,"-")</f>
        <v>-1.7280726993119111E-2</v>
      </c>
      <c r="D25" s="58">
        <f t="shared" ref="D25" si="55">IFERROR(D24/E24-1,"-")</f>
        <v>0.77672222779764821</v>
      </c>
      <c r="E25" s="58">
        <f t="shared" ref="E25" si="56">IFERROR(E24/F24-1,"-")</f>
        <v>-0.52293921546747868</v>
      </c>
      <c r="F25" s="58">
        <f t="shared" ref="F25" si="57">IFERROR(F24/G24-1,"-")</f>
        <v>3.3144683788797202E-3</v>
      </c>
      <c r="G25" s="58">
        <f t="shared" ref="G25" si="58">IFERROR(G24/H24-1,"-")</f>
        <v>0.12366188992021443</v>
      </c>
      <c r="H25" s="58">
        <f t="shared" ref="H25" si="59">IFERROR(H24/I24-1,"-")</f>
        <v>2.1162177070560562E-2</v>
      </c>
      <c r="I25" s="58">
        <f t="shared" ref="I25" si="60">IFERROR(I24/J24-1,"-")</f>
        <v>-1.2610483175242826E-2</v>
      </c>
      <c r="J25" s="58">
        <f t="shared" ref="J25" si="61">IFERROR(J24/K24-1,"-")</f>
        <v>7.307474958925142E-2</v>
      </c>
      <c r="K25" s="58" t="str">
        <f t="shared" ref="K25" si="62">IFERROR(K24/L24-1,"-")</f>
        <v>-</v>
      </c>
      <c r="L25" s="58" t="str">
        <f t="shared" ref="L25" si="63">IFERROR(L24/M24-1,"-")</f>
        <v>-</v>
      </c>
      <c r="M25" s="59" t="str">
        <f>IFERROR(M24/#REF!-1,"-")</f>
        <v>-</v>
      </c>
    </row>
    <row r="26" spans="1:18">
      <c r="A26" s="119" t="s">
        <v>890</v>
      </c>
      <c r="B26" s="60">
        <f>B39-C39</f>
        <v>-12</v>
      </c>
      <c r="C26" s="60">
        <f t="shared" ref="C26:M26" si="64">C39-D39</f>
        <v>-846</v>
      </c>
      <c r="D26" s="60">
        <f t="shared" si="64"/>
        <v>-464</v>
      </c>
      <c r="E26" s="60">
        <f t="shared" si="64"/>
        <v>-574</v>
      </c>
      <c r="F26" s="60">
        <f t="shared" si="64"/>
        <v>2391</v>
      </c>
      <c r="G26" s="60">
        <f t="shared" si="64"/>
        <v>58</v>
      </c>
      <c r="H26" s="60">
        <f t="shared" si="64"/>
        <v>-317</v>
      </c>
      <c r="I26" s="60">
        <f t="shared" si="64"/>
        <v>102</v>
      </c>
      <c r="J26" s="60">
        <f t="shared" si="64"/>
        <v>0</v>
      </c>
      <c r="K26" s="60">
        <f t="shared" si="64"/>
        <v>1089</v>
      </c>
      <c r="L26" s="60">
        <f t="shared" si="64"/>
        <v>0</v>
      </c>
      <c r="M26" s="57">
        <f t="shared" si="64"/>
        <v>0</v>
      </c>
    </row>
    <row r="27" spans="1:18">
      <c r="A27" s="118" t="s">
        <v>129</v>
      </c>
      <c r="B27" s="56">
        <f>_xlfn.XLOOKUP($A27,Inputs!$A:$A,Inputs!B:B,,0)</f>
        <v>-1761</v>
      </c>
      <c r="C27" s="56">
        <f>_xlfn.XLOOKUP($A27,Inputs!$A:$A,Inputs!C:C,,0)</f>
        <v>-1718</v>
      </c>
      <c r="D27" s="56">
        <f>_xlfn.XLOOKUP($A27,Inputs!$A:$A,Inputs!D:D,,0)</f>
        <v>-1646</v>
      </c>
      <c r="E27" s="56">
        <f>_xlfn.XLOOKUP($A27,Inputs!$A:$A,Inputs!E:E,,0)</f>
        <v>-1646</v>
      </c>
      <c r="F27" s="56">
        <f>_xlfn.XLOOKUP($A27,Inputs!$A:$A,Inputs!F:F,,0)</f>
        <v>-1623</v>
      </c>
      <c r="G27" s="56">
        <f>_xlfn.XLOOKUP($A27,Inputs!$A:$A,Inputs!G:G,,0)</f>
        <v>-1581</v>
      </c>
      <c r="H27" s="56">
        <f>_xlfn.XLOOKUP($A27,Inputs!$A:$A,Inputs!H:H,,0)</f>
        <v>-1515</v>
      </c>
      <c r="I27" s="56">
        <f>_xlfn.XLOOKUP($A27,Inputs!$A:$A,Inputs!I:I,,0)</f>
        <v>-1443</v>
      </c>
      <c r="J27" s="56">
        <f>_xlfn.XLOOKUP($A27,Inputs!$A:$A,Inputs!J:J,,0)</f>
        <v>-1341</v>
      </c>
      <c r="K27" s="56">
        <f>_xlfn.XLOOKUP($A27,Inputs!$A:$A,Inputs!K:K,,0)</f>
        <v>-1228</v>
      </c>
      <c r="L27" s="56">
        <f>_xlfn.XLOOKUP($A27,Inputs!$A:$A,Inputs!L:L,,0)</f>
        <v>0</v>
      </c>
      <c r="M27" s="57">
        <f>_xlfn.XLOOKUP($A27,Inputs!$A:$A,Inputs!M:M,,0)</f>
        <v>0</v>
      </c>
    </row>
    <row r="28" spans="1:18">
      <c r="A28" s="120" t="s">
        <v>891</v>
      </c>
      <c r="B28" s="56">
        <f>_xlfn.XLOOKUP($A28,Inputs!$A:$A,Inputs!B:B,,0)</f>
        <v>-1381</v>
      </c>
      <c r="C28" s="56">
        <f>_xlfn.XLOOKUP($A28,Inputs!$A:$A,Inputs!C:C,,0)</f>
        <v>-2299</v>
      </c>
      <c r="D28" s="56">
        <f>_xlfn.XLOOKUP($A28,Inputs!$A:$A,Inputs!D:D,,0)</f>
        <v>-109</v>
      </c>
      <c r="E28" s="56">
        <f>_xlfn.XLOOKUP($A28,Inputs!$A:$A,Inputs!E:E,,0)</f>
        <v>-1282</v>
      </c>
      <c r="F28" s="56">
        <f>_xlfn.XLOOKUP($A28,Inputs!$A:$A,Inputs!F:F,,0)</f>
        <v>-2775</v>
      </c>
      <c r="G28" s="56">
        <f>_xlfn.XLOOKUP($A28,Inputs!$A:$A,Inputs!G:G,,0)</f>
        <v>-1507</v>
      </c>
      <c r="H28" s="56">
        <f>_xlfn.XLOOKUP($A28,Inputs!$A:$A,Inputs!H:H,,0)</f>
        <v>0</v>
      </c>
      <c r="I28" s="56">
        <f>_xlfn.XLOOKUP($A28,Inputs!$A:$A,Inputs!I:I,,0)</f>
        <v>0</v>
      </c>
      <c r="J28" s="56">
        <f>_xlfn.XLOOKUP($A28,Inputs!$A:$A,Inputs!J:J,,0)</f>
        <v>0</v>
      </c>
      <c r="K28" s="56">
        <f>_xlfn.XLOOKUP($A28,Inputs!$A:$A,Inputs!K:K,,0)</f>
        <v>0</v>
      </c>
      <c r="L28" s="56">
        <f>_xlfn.XLOOKUP($A28,Inputs!$A:$A,Inputs!L:L,,0)</f>
        <v>0</v>
      </c>
      <c r="M28" s="57">
        <f>_xlfn.XLOOKUP($A28,Inputs!$A:$A,Inputs!M:M,,0)</f>
        <v>0</v>
      </c>
    </row>
    <row r="29" spans="1:18">
      <c r="A29" s="118" t="s">
        <v>121</v>
      </c>
      <c r="B29" s="60">
        <f>SUM(B26:B28)</f>
        <v>-3154</v>
      </c>
      <c r="C29" s="60">
        <f t="shared" ref="C29:M29" si="65">SUM(C26:C28)</f>
        <v>-4863</v>
      </c>
      <c r="D29" s="60">
        <f t="shared" si="65"/>
        <v>-2219</v>
      </c>
      <c r="E29" s="60">
        <f t="shared" si="65"/>
        <v>-3502</v>
      </c>
      <c r="F29" s="60">
        <f t="shared" si="65"/>
        <v>-2007</v>
      </c>
      <c r="G29" s="60">
        <f t="shared" si="65"/>
        <v>-3030</v>
      </c>
      <c r="H29" s="60">
        <f t="shared" si="65"/>
        <v>-1832</v>
      </c>
      <c r="I29" s="60">
        <f t="shared" si="65"/>
        <v>-1341</v>
      </c>
      <c r="J29" s="60">
        <f t="shared" si="65"/>
        <v>-1341</v>
      </c>
      <c r="K29" s="60">
        <f t="shared" si="65"/>
        <v>-139</v>
      </c>
      <c r="L29" s="60">
        <f t="shared" si="65"/>
        <v>0</v>
      </c>
      <c r="M29" s="57">
        <f t="shared" si="65"/>
        <v>0</v>
      </c>
    </row>
    <row r="30" spans="1:18">
      <c r="A30" s="120" t="s">
        <v>892</v>
      </c>
      <c r="B30" s="60">
        <f>+B29-(B58-C29)</f>
        <v>-24383</v>
      </c>
      <c r="C30" s="60">
        <f t="shared" ref="C30:M30" si="66">+C29-(C58-D29)</f>
        <v>-24405</v>
      </c>
      <c r="D30" s="60">
        <f t="shared" si="66"/>
        <v>-22606</v>
      </c>
      <c r="E30" s="60">
        <f t="shared" si="66"/>
        <v>-20880</v>
      </c>
      <c r="F30" s="60">
        <f t="shared" si="66"/>
        <v>-22656</v>
      </c>
      <c r="G30" s="60">
        <f t="shared" si="66"/>
        <v>-17630</v>
      </c>
      <c r="H30" s="60">
        <f t="shared" si="66"/>
        <v>-13354</v>
      </c>
      <c r="I30" s="60">
        <f t="shared" si="66"/>
        <v>-12064</v>
      </c>
      <c r="J30" s="60">
        <f t="shared" si="66"/>
        <v>-12064</v>
      </c>
      <c r="K30" s="60">
        <f t="shared" si="66"/>
        <v>-10723</v>
      </c>
      <c r="L30" s="60">
        <f t="shared" si="66"/>
        <v>0</v>
      </c>
      <c r="M30" s="57">
        <f t="shared" si="66"/>
        <v>0</v>
      </c>
    </row>
    <row r="31" spans="1:18">
      <c r="A31" s="118" t="s">
        <v>893</v>
      </c>
      <c r="B31" s="60">
        <f>+B30+B33</f>
        <v>-24875</v>
      </c>
      <c r="C31" s="60">
        <f t="shared" ref="C31:L31" si="67">+C30+C33</f>
        <v>-24748</v>
      </c>
      <c r="D31" s="60">
        <f t="shared" si="67"/>
        <v>-23098</v>
      </c>
      <c r="E31" s="60">
        <f t="shared" si="67"/>
        <v>-21010</v>
      </c>
      <c r="F31" s="60">
        <f t="shared" si="67"/>
        <v>-22713</v>
      </c>
      <c r="G31" s="60">
        <f t="shared" si="67"/>
        <v>-18241</v>
      </c>
      <c r="H31" s="60">
        <f t="shared" si="67"/>
        <v>-13434</v>
      </c>
      <c r="I31" s="60">
        <f t="shared" si="67"/>
        <v>-12081</v>
      </c>
      <c r="J31" s="60">
        <f t="shared" si="67"/>
        <v>-13350</v>
      </c>
      <c r="K31" s="60">
        <f t="shared" si="67"/>
        <v>-11252</v>
      </c>
      <c r="L31" s="60">
        <f t="shared" si="67"/>
        <v>0</v>
      </c>
      <c r="M31" s="57">
        <f t="shared" ref="M31" si="68">+M30+M33</f>
        <v>0</v>
      </c>
    </row>
    <row r="32" spans="1:18">
      <c r="A32" s="120" t="s">
        <v>126</v>
      </c>
      <c r="B32" s="56">
        <f>_xlfn.XLOOKUP($A32,Inputs!$A:$A,Inputs!B:B,,0)</f>
        <v>-1180</v>
      </c>
      <c r="C32" s="56">
        <f>_xlfn.XLOOKUP($A32,Inputs!$A:$A,Inputs!C:C,,0)</f>
        <v>-1097</v>
      </c>
      <c r="D32" s="56">
        <f>_xlfn.XLOOKUP($A32,Inputs!$A:$A,Inputs!D:D,,0)</f>
        <v>-626</v>
      </c>
      <c r="E32" s="56">
        <f>_xlfn.XLOOKUP($A32,Inputs!$A:$A,Inputs!E:E,,0)</f>
        <v>-700</v>
      </c>
      <c r="F32" s="56">
        <f>_xlfn.XLOOKUP($A32,Inputs!$A:$A,Inputs!F:F,,0)</f>
        <v>-671</v>
      </c>
      <c r="G32" s="56">
        <f>_xlfn.XLOOKUP($A32,Inputs!$A:$A,Inputs!G:G,,0)</f>
        <v>-584</v>
      </c>
      <c r="H32" s="56">
        <f>_xlfn.XLOOKUP($A32,Inputs!$A:$A,Inputs!H:H,,0)</f>
        <v>-518</v>
      </c>
      <c r="I32" s="56">
        <f>_xlfn.XLOOKUP($A32,Inputs!$A:$A,Inputs!I:I,,0)</f>
        <v>-506</v>
      </c>
      <c r="J32" s="56">
        <f>_xlfn.XLOOKUP($A32,Inputs!$A:$A,Inputs!J:J,,0)</f>
        <v>-638</v>
      </c>
      <c r="K32" s="56">
        <f>_xlfn.XLOOKUP($A32,Inputs!$A:$A,Inputs!K:K,,0)</f>
        <v>-642</v>
      </c>
      <c r="L32" s="56">
        <f>_xlfn.XLOOKUP($A32,Inputs!$A:$A,Inputs!L:L,,0)</f>
        <v>0</v>
      </c>
      <c r="M32" s="57">
        <f>_xlfn.XLOOKUP($A32,Inputs!$A:$A,Inputs!M:M,,0)</f>
        <v>0</v>
      </c>
    </row>
    <row r="33" spans="1:13">
      <c r="A33" s="118" t="s">
        <v>127</v>
      </c>
      <c r="B33" s="56">
        <f>_xlfn.XLOOKUP($A33,Inputs!$A:$A,Inputs!B:B,,0)</f>
        <v>-492</v>
      </c>
      <c r="C33" s="56">
        <f>_xlfn.XLOOKUP($A33,Inputs!$A:$A,Inputs!C:C,,0)</f>
        <v>-343</v>
      </c>
      <c r="D33" s="56">
        <f>_xlfn.XLOOKUP($A33,Inputs!$A:$A,Inputs!D:D,,0)</f>
        <v>-492</v>
      </c>
      <c r="E33" s="56">
        <f>_xlfn.XLOOKUP($A33,Inputs!$A:$A,Inputs!E:E,,0)</f>
        <v>-130</v>
      </c>
      <c r="F33" s="56">
        <f>_xlfn.XLOOKUP($A33,Inputs!$A:$A,Inputs!F:F,,0)</f>
        <v>-57</v>
      </c>
      <c r="G33" s="56">
        <f>_xlfn.XLOOKUP($A33,Inputs!$A:$A,Inputs!G:G,,0)</f>
        <v>-611</v>
      </c>
      <c r="H33" s="56">
        <f>_xlfn.XLOOKUP($A33,Inputs!$A:$A,Inputs!H:H,,0)</f>
        <v>-80</v>
      </c>
      <c r="I33" s="56">
        <f>_xlfn.XLOOKUP($A33,Inputs!$A:$A,Inputs!I:I,,0)</f>
        <v>-17</v>
      </c>
      <c r="J33" s="56">
        <f>_xlfn.XLOOKUP($A33,Inputs!$A:$A,Inputs!J:J,,0)</f>
        <v>-1286</v>
      </c>
      <c r="K33" s="56">
        <f>_xlfn.XLOOKUP($A33,Inputs!$A:$A,Inputs!K:K,,0)</f>
        <v>-529</v>
      </c>
      <c r="L33" s="56">
        <f>_xlfn.XLOOKUP($A33,Inputs!$A:$A,Inputs!L:L,,0)</f>
        <v>0</v>
      </c>
      <c r="M33" s="57">
        <f>_xlfn.XLOOKUP($A33,Inputs!$A:$A,Inputs!M:M,,0)</f>
        <v>0</v>
      </c>
    </row>
    <row r="34" spans="1:13">
      <c r="A34" s="119" t="s">
        <v>122</v>
      </c>
      <c r="B34" s="60">
        <f t="shared" ref="B34:M34" si="69">+B32+B33</f>
        <v>-1672</v>
      </c>
      <c r="C34" s="60">
        <f t="shared" si="69"/>
        <v>-1440</v>
      </c>
      <c r="D34" s="60">
        <f t="shared" si="69"/>
        <v>-1118</v>
      </c>
      <c r="E34" s="60">
        <f t="shared" si="69"/>
        <v>-830</v>
      </c>
      <c r="F34" s="60">
        <f t="shared" si="69"/>
        <v>-728</v>
      </c>
      <c r="G34" s="60">
        <f t="shared" si="69"/>
        <v>-1195</v>
      </c>
      <c r="H34" s="60">
        <f t="shared" si="69"/>
        <v>-598</v>
      </c>
      <c r="I34" s="60">
        <f t="shared" si="69"/>
        <v>-523</v>
      </c>
      <c r="J34" s="60">
        <f t="shared" si="69"/>
        <v>-1924</v>
      </c>
      <c r="K34" s="60">
        <f t="shared" si="69"/>
        <v>-1171</v>
      </c>
      <c r="L34" s="60">
        <f t="shared" si="69"/>
        <v>0</v>
      </c>
      <c r="M34" s="61">
        <f t="shared" si="69"/>
        <v>0</v>
      </c>
    </row>
    <row r="35" spans="1:13">
      <c r="A35" s="118" t="s">
        <v>120</v>
      </c>
      <c r="B35" s="60">
        <f t="shared" ref="B35:M35" si="70">+B27+B28</f>
        <v>-3142</v>
      </c>
      <c r="C35" s="60">
        <f t="shared" si="70"/>
        <v>-4017</v>
      </c>
      <c r="D35" s="60">
        <f t="shared" si="70"/>
        <v>-1755</v>
      </c>
      <c r="E35" s="60">
        <f t="shared" si="70"/>
        <v>-2928</v>
      </c>
      <c r="F35" s="60">
        <f t="shared" si="70"/>
        <v>-4398</v>
      </c>
      <c r="G35" s="60">
        <f t="shared" si="70"/>
        <v>-3088</v>
      </c>
      <c r="H35" s="60">
        <f t="shared" si="70"/>
        <v>-1515</v>
      </c>
      <c r="I35" s="60">
        <f t="shared" si="70"/>
        <v>-1443</v>
      </c>
      <c r="J35" s="60">
        <f t="shared" si="70"/>
        <v>-1341</v>
      </c>
      <c r="K35" s="60">
        <f t="shared" si="70"/>
        <v>-1228</v>
      </c>
      <c r="L35" s="60">
        <f t="shared" si="70"/>
        <v>0</v>
      </c>
      <c r="M35" s="61">
        <f t="shared" si="70"/>
        <v>0</v>
      </c>
    </row>
    <row r="36" spans="1:13">
      <c r="A36" s="120" t="s">
        <v>894</v>
      </c>
      <c r="B36" s="58">
        <f>IFERROR(B35/B23,"-")</f>
        <v>-0.83430695698353696</v>
      </c>
      <c r="C36" s="58">
        <f t="shared" ref="C36:M36" si="71">IFERROR(C35/C23,"-")</f>
        <v>-1.2034152186938287</v>
      </c>
      <c r="D36" s="58">
        <f t="shared" si="71"/>
        <v>-0.62700964630225076</v>
      </c>
      <c r="E36" s="58">
        <f t="shared" si="71"/>
        <v>-2.0137551581843192</v>
      </c>
      <c r="F36" s="58">
        <f t="shared" si="71"/>
        <v>-1.3179502547198083</v>
      </c>
      <c r="G36" s="58">
        <f t="shared" si="71"/>
        <v>-0.98218829516539441</v>
      </c>
      <c r="H36" s="58">
        <f t="shared" si="71"/>
        <v>-0.54653679653679654</v>
      </c>
      <c r="I36" s="58">
        <f t="shared" si="71"/>
        <v>-0.61092294665537683</v>
      </c>
      <c r="J36" s="58">
        <f t="shared" si="71"/>
        <v>-0.5435751925415484</v>
      </c>
      <c r="K36" s="58">
        <f t="shared" si="71"/>
        <v>-0.5630444750114626</v>
      </c>
      <c r="L36" s="58" t="str">
        <f t="shared" si="71"/>
        <v>-</v>
      </c>
      <c r="M36" s="59" t="str">
        <f t="shared" si="71"/>
        <v>-</v>
      </c>
    </row>
    <row r="37" spans="1:13">
      <c r="A37" s="6"/>
      <c r="B37" s="48"/>
      <c r="C37" s="48"/>
      <c r="D37" s="48"/>
      <c r="E37" s="48"/>
      <c r="F37" s="48"/>
      <c r="G37" s="48"/>
      <c r="H37" s="48"/>
      <c r="I37" s="48"/>
      <c r="J37" s="48"/>
      <c r="K37" s="48"/>
      <c r="L37" s="48"/>
      <c r="M37" s="48"/>
    </row>
    <row r="38" spans="1:13" ht="20.25">
      <c r="A38" s="1237" t="s">
        <v>895</v>
      </c>
      <c r="B38" s="1237"/>
      <c r="C38" s="1237"/>
      <c r="D38" s="1237"/>
      <c r="E38" s="1237"/>
      <c r="F38" s="1237"/>
      <c r="G38" s="1237"/>
      <c r="H38" s="1237"/>
      <c r="I38" s="1237"/>
      <c r="J38" s="1237"/>
      <c r="K38" s="1237"/>
      <c r="L38" s="1237"/>
      <c r="M38" s="1237"/>
    </row>
    <row r="39" spans="1:13">
      <c r="A39" s="121" t="s">
        <v>328</v>
      </c>
      <c r="B39" s="56">
        <f>_xlfn.XLOOKUP($A39,Inputs!$A:$A,Inputs!B:B,,0)</f>
        <v>1427</v>
      </c>
      <c r="C39" s="56">
        <f>_xlfn.XLOOKUP($A39,Inputs!$A:$A,Inputs!C:C,,0)</f>
        <v>1439</v>
      </c>
      <c r="D39" s="56">
        <f>_xlfn.XLOOKUP($A39,Inputs!$A:$A,Inputs!D:D,,0)</f>
        <v>2285</v>
      </c>
      <c r="E39" s="56">
        <f>_xlfn.XLOOKUP($A39,Inputs!$A:$A,Inputs!E:E,,0)</f>
        <v>2749</v>
      </c>
      <c r="F39" s="56">
        <f>_xlfn.XLOOKUP($A39,Inputs!$A:$A,Inputs!F:F,,0)</f>
        <v>3323</v>
      </c>
      <c r="G39" s="56">
        <f>_xlfn.XLOOKUP($A39,Inputs!$A:$A,Inputs!G:G,,0)</f>
        <v>932</v>
      </c>
      <c r="H39" s="56">
        <f>_xlfn.XLOOKUP($A39,Inputs!$A:$A,Inputs!H:H,,0)</f>
        <v>874</v>
      </c>
      <c r="I39" s="56">
        <f>_xlfn.XLOOKUP($A39,Inputs!$A:$A,Inputs!I:I,,0)</f>
        <v>1191</v>
      </c>
      <c r="J39" s="56">
        <f>_xlfn.XLOOKUP($A39,Inputs!$A:$A,Inputs!J:J,,0)</f>
        <v>1089</v>
      </c>
      <c r="K39" s="56">
        <f>_xlfn.XLOOKUP($A39,Inputs!$A:$A,Inputs!K:K,,0)</f>
        <v>1089</v>
      </c>
      <c r="L39" s="56">
        <f>_xlfn.XLOOKUP($A39,Inputs!$A:$A,Inputs!L:L,,0)</f>
        <v>0</v>
      </c>
      <c r="M39" s="57">
        <f>_xlfn.XLOOKUP($A39,Inputs!$A:$A,Inputs!M:M,,0)</f>
        <v>0</v>
      </c>
    </row>
    <row r="40" spans="1:13">
      <c r="A40" s="119" t="s">
        <v>896</v>
      </c>
      <c r="B40" s="56">
        <f>_xlfn.XLOOKUP($A40,Inputs!$A:$A,Inputs!B:B,,0)</f>
        <v>2698</v>
      </c>
      <c r="C40" s="56">
        <f>_xlfn.XLOOKUP($A40,Inputs!$A:$A,Inputs!C:C,,0)</f>
        <v>2045</v>
      </c>
      <c r="D40" s="56">
        <f>_xlfn.XLOOKUP($A40,Inputs!$A:$A,Inputs!D:D,,0)</f>
        <v>2177</v>
      </c>
      <c r="E40" s="56">
        <f>_xlfn.XLOOKUP($A40,Inputs!$A:$A,Inputs!E:E,,0)</f>
        <v>1836</v>
      </c>
      <c r="F40" s="56">
        <f>_xlfn.XLOOKUP($A40,Inputs!$A:$A,Inputs!F:F,,0)</f>
        <v>1523</v>
      </c>
      <c r="G40" s="56">
        <f>_xlfn.XLOOKUP($A40,Inputs!$A:$A,Inputs!G:G,,0)</f>
        <v>2194</v>
      </c>
      <c r="H40" s="56">
        <f>_xlfn.XLOOKUP($A40,Inputs!$A:$A,Inputs!H:H,,0)</f>
        <v>2172</v>
      </c>
      <c r="I40" s="56">
        <f>_xlfn.XLOOKUP($A40,Inputs!$A:$A,Inputs!I:I,,0)</f>
        <v>2170</v>
      </c>
      <c r="J40" s="56">
        <f>_xlfn.XLOOKUP($A40,Inputs!$A:$A,Inputs!J:J,,0)</f>
        <v>2196</v>
      </c>
      <c r="K40" s="56">
        <f>_xlfn.XLOOKUP($A40,Inputs!$A:$A,Inputs!K:K,,0)</f>
        <v>2196</v>
      </c>
      <c r="L40" s="56">
        <f>_xlfn.XLOOKUP($A40,Inputs!$A:$A,Inputs!L:L,,0)</f>
        <v>0</v>
      </c>
      <c r="M40" s="57">
        <f>_xlfn.XLOOKUP($A40,Inputs!$A:$A,Inputs!M:M,,0)</f>
        <v>0</v>
      </c>
    </row>
    <row r="41" spans="1:13">
      <c r="A41" s="121" t="s">
        <v>330</v>
      </c>
      <c r="B41" s="56">
        <f>_xlfn.XLOOKUP($A41,Inputs!$A:$A,Inputs!B:B,,0)</f>
        <v>7598</v>
      </c>
      <c r="C41" s="56">
        <f>_xlfn.XLOOKUP($A41,Inputs!$A:$A,Inputs!C:C,,0)</f>
        <v>7661</v>
      </c>
      <c r="D41" s="56">
        <f>_xlfn.XLOOKUP($A41,Inputs!$A:$A,Inputs!D:D,,0)</f>
        <v>7094</v>
      </c>
      <c r="E41" s="56">
        <f>_xlfn.XLOOKUP($A41,Inputs!$A:$A,Inputs!E:E,,0)</f>
        <v>6045</v>
      </c>
      <c r="F41" s="56">
        <f>_xlfn.XLOOKUP($A41,Inputs!$A:$A,Inputs!F:F,,0)</f>
        <v>5772</v>
      </c>
      <c r="G41" s="56">
        <f>_xlfn.XLOOKUP($A41,Inputs!$A:$A,Inputs!G:G,,0)</f>
        <v>5472</v>
      </c>
      <c r="H41" s="56">
        <f>_xlfn.XLOOKUP($A41,Inputs!$A:$A,Inputs!H:H,,0)</f>
        <v>5015</v>
      </c>
      <c r="I41" s="56">
        <f>_xlfn.XLOOKUP($A41,Inputs!$A:$A,Inputs!I:I,,0)</f>
        <v>4788</v>
      </c>
      <c r="J41" s="56">
        <f>_xlfn.XLOOKUP($A41,Inputs!$A:$A,Inputs!J:J,,0)</f>
        <v>4579</v>
      </c>
      <c r="K41" s="56">
        <f>_xlfn.XLOOKUP($A41,Inputs!$A:$A,Inputs!K:K,,0)</f>
        <v>4579</v>
      </c>
      <c r="L41" s="56">
        <f>_xlfn.XLOOKUP($A41,Inputs!$A:$A,Inputs!L:L,,0)</f>
        <v>0</v>
      </c>
      <c r="M41" s="57">
        <f>_xlfn.XLOOKUP($A41,Inputs!$A:$A,Inputs!M:M,,0)</f>
        <v>0</v>
      </c>
    </row>
    <row r="42" spans="1:13">
      <c r="A42" s="119" t="s">
        <v>897</v>
      </c>
      <c r="B42" s="56">
        <f>_xlfn.XLOOKUP($A42,Inputs!$A:$A,Inputs!B:B,,0)</f>
        <v>6246</v>
      </c>
      <c r="C42" s="56">
        <f>_xlfn.XLOOKUP($A42,Inputs!$A:$A,Inputs!C:C,,0)</f>
        <v>6298</v>
      </c>
      <c r="D42" s="56">
        <f>_xlfn.XLOOKUP($A42,Inputs!$A:$A,Inputs!D:D,,0)</f>
        <v>5942</v>
      </c>
      <c r="E42" s="56">
        <f>_xlfn.XLOOKUP($A42,Inputs!$A:$A,Inputs!E:E,,0)</f>
        <v>4915</v>
      </c>
      <c r="F42" s="56">
        <f>_xlfn.XLOOKUP($A42,Inputs!$A:$A,Inputs!F:F,,0)</f>
        <v>4977</v>
      </c>
      <c r="G42" s="56">
        <f>_xlfn.XLOOKUP($A42,Inputs!$A:$A,Inputs!G:G,,0)</f>
        <v>4489</v>
      </c>
      <c r="H42" s="56">
        <f>_xlfn.XLOOKUP($A42,Inputs!$A:$A,Inputs!H:H,,0)</f>
        <v>4112</v>
      </c>
      <c r="I42" s="56">
        <f>_xlfn.XLOOKUP($A42,Inputs!$A:$A,Inputs!I:I,,0)</f>
        <v>4035</v>
      </c>
      <c r="J42" s="56">
        <f>_xlfn.XLOOKUP($A42,Inputs!$A:$A,Inputs!J:J,,0)</f>
        <v>3891</v>
      </c>
      <c r="K42" s="56">
        <f>_xlfn.XLOOKUP($A42,Inputs!$A:$A,Inputs!K:K,,0)</f>
        <v>3891</v>
      </c>
      <c r="L42" s="56">
        <f>_xlfn.XLOOKUP($A42,Inputs!$A:$A,Inputs!L:L,,0)</f>
        <v>0</v>
      </c>
      <c r="M42" s="57">
        <f>_xlfn.XLOOKUP($A42,Inputs!$A:$A,Inputs!M:M,,0)</f>
        <v>0</v>
      </c>
    </row>
    <row r="43" spans="1:13">
      <c r="A43" s="121" t="s">
        <v>898</v>
      </c>
      <c r="B43" s="56">
        <f>_xlfn.XLOOKUP($A43,Inputs!$A:$A,Inputs!B:B,,0)</f>
        <v>13116</v>
      </c>
      <c r="C43" s="56">
        <f>_xlfn.XLOOKUP($A43,Inputs!$A:$A,Inputs!C:C,,0)</f>
        <v>14327</v>
      </c>
      <c r="D43" s="56">
        <f>_xlfn.XLOOKUP($A43,Inputs!$A:$A,Inputs!D:D,,0)</f>
        <v>15343</v>
      </c>
      <c r="E43" s="56">
        <f>_xlfn.XLOOKUP($A43,Inputs!$A:$A,Inputs!E:E,,0)</f>
        <v>13061</v>
      </c>
      <c r="F43" s="56">
        <f>_xlfn.XLOOKUP($A43,Inputs!$A:$A,Inputs!F:F,,0)</f>
        <v>14104</v>
      </c>
      <c r="G43" s="56">
        <f>_xlfn.XLOOKUP($A43,Inputs!$A:$A,Inputs!G:G,,0)</f>
        <v>14664</v>
      </c>
      <c r="H43" s="56">
        <f>_xlfn.XLOOKUP($A43,Inputs!$A:$A,Inputs!H:H,,0)</f>
        <v>14195</v>
      </c>
      <c r="I43" s="56">
        <f>_xlfn.XLOOKUP($A43,Inputs!$A:$A,Inputs!I:I,,0)</f>
        <v>13451</v>
      </c>
      <c r="J43" s="56">
        <f>_xlfn.XLOOKUP($A43,Inputs!$A:$A,Inputs!J:J,,0)</f>
        <v>13358</v>
      </c>
      <c r="K43" s="56">
        <f>_xlfn.XLOOKUP($A43,Inputs!$A:$A,Inputs!K:K,,0)</f>
        <v>13358</v>
      </c>
      <c r="L43" s="56">
        <f>_xlfn.XLOOKUP($A43,Inputs!$A:$A,Inputs!L:L,,0)</f>
        <v>0</v>
      </c>
      <c r="M43" s="57">
        <f>_xlfn.XLOOKUP($A43,Inputs!$A:$A,Inputs!M:M,,0)</f>
        <v>0</v>
      </c>
    </row>
    <row r="44" spans="1:13">
      <c r="A44" s="122" t="s">
        <v>36</v>
      </c>
      <c r="B44" s="62">
        <f>_xlfn.XLOOKUP($A44,Inputs!$A:$A,Inputs!B:B,,0)</f>
        <v>35330</v>
      </c>
      <c r="C44" s="62">
        <f>_xlfn.XLOOKUP($A44,Inputs!$A:$A,Inputs!C:C,,0)</f>
        <v>35621</v>
      </c>
      <c r="D44" s="62">
        <f>_xlfn.XLOOKUP($A44,Inputs!$A:$A,Inputs!D:D,,0)</f>
        <v>36516</v>
      </c>
      <c r="E44" s="62">
        <f>_xlfn.XLOOKUP($A44,Inputs!$A:$A,Inputs!E:E,,0)</f>
        <v>31953</v>
      </c>
      <c r="F44" s="62">
        <f>_xlfn.XLOOKUP($A44,Inputs!$A:$A,Inputs!F:F,,0)</f>
        <v>33308</v>
      </c>
      <c r="G44" s="62">
        <f>_xlfn.XLOOKUP($A44,Inputs!$A:$A,Inputs!G:G,,0)</f>
        <v>31296</v>
      </c>
      <c r="H44" s="62">
        <f>_xlfn.XLOOKUP($A44,Inputs!$A:$A,Inputs!H:H,,0)</f>
        <v>29715</v>
      </c>
      <c r="I44" s="62">
        <f>_xlfn.XLOOKUP($A44,Inputs!$A:$A,Inputs!I:I,,0)</f>
        <v>28848</v>
      </c>
      <c r="J44" s="62">
        <f>_xlfn.XLOOKUP($A44,Inputs!$A:$A,Inputs!J:J,,0)</f>
        <v>28491</v>
      </c>
      <c r="K44" s="62">
        <f>_xlfn.XLOOKUP($A44,Inputs!$A:$A,Inputs!K:K,,0)</f>
        <v>28491</v>
      </c>
      <c r="L44" s="62">
        <f>_xlfn.XLOOKUP($A44,Inputs!$A:$A,Inputs!L:L,,0)</f>
        <v>0</v>
      </c>
      <c r="M44" s="62">
        <f>_xlfn.XLOOKUP($A44,Inputs!$A:$A,Inputs!M:M,,0)</f>
        <v>0</v>
      </c>
    </row>
    <row r="45" spans="1:13">
      <c r="B45"/>
      <c r="C45"/>
      <c r="D45"/>
      <c r="E45"/>
      <c r="F45"/>
      <c r="G45"/>
      <c r="H45"/>
      <c r="I45"/>
      <c r="J45"/>
      <c r="K45"/>
      <c r="L45"/>
      <c r="M45"/>
    </row>
    <row r="46" spans="1:13">
      <c r="B46"/>
      <c r="C46"/>
      <c r="D46"/>
      <c r="E46"/>
      <c r="F46"/>
      <c r="G46"/>
      <c r="H46"/>
      <c r="I46"/>
      <c r="J46"/>
      <c r="K46"/>
      <c r="L46"/>
      <c r="M46"/>
    </row>
    <row r="47" spans="1:13" ht="20.25">
      <c r="A47" s="1237" t="s">
        <v>899</v>
      </c>
      <c r="B47" s="1237"/>
      <c r="C47" s="1237"/>
      <c r="D47" s="1237"/>
      <c r="E47" s="1237"/>
      <c r="F47" s="1237"/>
      <c r="G47" s="1237"/>
      <c r="H47" s="1237"/>
      <c r="I47" s="1237"/>
      <c r="J47" s="1237"/>
      <c r="K47" s="1237"/>
      <c r="L47" s="1237"/>
      <c r="M47" s="1237"/>
    </row>
    <row r="48" spans="1:13">
      <c r="A48" s="123" t="s">
        <v>334</v>
      </c>
      <c r="B48" s="62">
        <f>_xlfn.XLOOKUP($A48,Inputs!$A:$A,Inputs!B:B,,0)</f>
        <v>7551</v>
      </c>
      <c r="C48" s="62">
        <f>_xlfn.XLOOKUP($A48,Inputs!$A:$A,Inputs!C:C,,0)</f>
        <v>7614</v>
      </c>
      <c r="D48" s="62">
        <f>_xlfn.XLOOKUP($A48,Inputs!$A:$A,Inputs!D:D,,0)</f>
        <v>8442</v>
      </c>
      <c r="E48" s="62">
        <f>_xlfn.XLOOKUP($A48,Inputs!$A:$A,Inputs!E:E,,0)</f>
        <v>7142</v>
      </c>
      <c r="F48" s="62">
        <f>_xlfn.XLOOKUP($A48,Inputs!$A:$A,Inputs!F:F,,0)</f>
        <v>6496</v>
      </c>
      <c r="G48" s="62">
        <f>_xlfn.XLOOKUP($A48,Inputs!$A:$A,Inputs!G:G,,0)</f>
        <v>7003</v>
      </c>
      <c r="H48" s="62">
        <f>_xlfn.XLOOKUP($A48,Inputs!$A:$A,Inputs!H:H,,0)</f>
        <v>6360</v>
      </c>
      <c r="I48" s="62">
        <f>_xlfn.XLOOKUP($A48,Inputs!$A:$A,Inputs!I:I,,0)</f>
        <v>6660</v>
      </c>
      <c r="J48" s="62">
        <f>_xlfn.XLOOKUP($A48,Inputs!$A:$A,Inputs!J:J,,0)</f>
        <v>6187</v>
      </c>
      <c r="K48" s="62">
        <f>_xlfn.XLOOKUP($A48,Inputs!$A:$A,Inputs!K:K,,0)</f>
        <v>6187</v>
      </c>
      <c r="L48" s="62">
        <f>_xlfn.XLOOKUP($A48,Inputs!$A:$A,Inputs!L:L,,0)</f>
        <v>0</v>
      </c>
      <c r="M48" s="62">
        <f>_xlfn.XLOOKUP($A48,Inputs!$A:$A,Inputs!M:M,,0)</f>
        <v>0</v>
      </c>
    </row>
    <row r="49" spans="1:13">
      <c r="A49" s="124" t="s">
        <v>900</v>
      </c>
      <c r="B49" s="56">
        <f>_xlfn.XLOOKUP($A49,Inputs!$A:$A,Inputs!B:B,,0)</f>
        <v>0</v>
      </c>
      <c r="C49" s="56">
        <f>_xlfn.XLOOKUP($A49,Inputs!$A:$A,Inputs!C:C,,0)</f>
        <v>234</v>
      </c>
      <c r="D49" s="56">
        <f>_xlfn.XLOOKUP($A49,Inputs!$A:$A,Inputs!D:D,,0)</f>
        <v>74</v>
      </c>
      <c r="E49" s="56">
        <f>_xlfn.XLOOKUP($A49,Inputs!$A:$A,Inputs!E:E,,0)</f>
        <v>112</v>
      </c>
      <c r="F49" s="56">
        <f>_xlfn.XLOOKUP($A49,Inputs!$A:$A,Inputs!F:F,,0)</f>
        <v>170</v>
      </c>
      <c r="G49" s="56">
        <f>_xlfn.XLOOKUP($A49,Inputs!$A:$A,Inputs!G:G,,0)</f>
        <v>860</v>
      </c>
      <c r="H49" s="56">
        <f>_xlfn.XLOOKUP($A49,Inputs!$A:$A,Inputs!H:H,,0)</f>
        <v>279</v>
      </c>
      <c r="I49" s="56">
        <f>_xlfn.XLOOKUP($A49,Inputs!$A:$A,Inputs!I:I,,0)</f>
        <v>274</v>
      </c>
      <c r="J49" s="56">
        <f>_xlfn.XLOOKUP($A49,Inputs!$A:$A,Inputs!J:J,,0)</f>
        <v>280</v>
      </c>
      <c r="K49" s="56">
        <f>_xlfn.XLOOKUP($A49,Inputs!$A:$A,Inputs!K:K,,0)</f>
        <v>280</v>
      </c>
      <c r="L49" s="56">
        <f>_xlfn.XLOOKUP($A49,Inputs!$A:$A,Inputs!L:L,,0)</f>
        <v>0</v>
      </c>
      <c r="M49" s="56">
        <f>_xlfn.XLOOKUP($A49,Inputs!$A:$A,Inputs!M:M,,0)</f>
        <v>0</v>
      </c>
    </row>
    <row r="50" spans="1:13">
      <c r="A50" s="118" t="s">
        <v>901</v>
      </c>
      <c r="B50" s="56">
        <f>_xlfn.XLOOKUP($A50,Inputs!$A:$A,Inputs!B:B,,0)</f>
        <v>1686</v>
      </c>
      <c r="C50" s="56">
        <f>_xlfn.XLOOKUP($A50,Inputs!$A:$A,Inputs!C:C,,0)</f>
        <v>1542</v>
      </c>
      <c r="D50" s="56">
        <f>_xlfn.XLOOKUP($A50,Inputs!$A:$A,Inputs!D:D,,0)</f>
        <v>1533</v>
      </c>
      <c r="E50" s="56">
        <f>_xlfn.XLOOKUP($A50,Inputs!$A:$A,Inputs!E:E,,0)</f>
        <v>1832</v>
      </c>
      <c r="F50" s="56">
        <f>_xlfn.XLOOKUP($A50,Inputs!$A:$A,Inputs!F:F,,0)</f>
        <v>1931</v>
      </c>
      <c r="G50" s="56">
        <f>_xlfn.XLOOKUP($A50,Inputs!$A:$A,Inputs!G:G,,0)</f>
        <v>1142</v>
      </c>
      <c r="H50" s="56">
        <f>_xlfn.XLOOKUP($A50,Inputs!$A:$A,Inputs!H:H,,0)</f>
        <v>1580</v>
      </c>
      <c r="I50" s="56">
        <f>_xlfn.XLOOKUP($A50,Inputs!$A:$A,Inputs!I:I,,0)</f>
        <v>2211</v>
      </c>
      <c r="J50" s="56">
        <f>_xlfn.XLOOKUP($A50,Inputs!$A:$A,Inputs!J:J,,0)</f>
        <v>1807</v>
      </c>
      <c r="K50" s="56">
        <f>_xlfn.XLOOKUP($A50,Inputs!$A:$A,Inputs!K:K,,0)</f>
        <v>1807</v>
      </c>
      <c r="L50" s="56">
        <f>_xlfn.XLOOKUP($A50,Inputs!$A:$A,Inputs!L:L,,0)</f>
        <v>0</v>
      </c>
      <c r="M50" s="56">
        <f>_xlfn.XLOOKUP($A50,Inputs!$A:$A,Inputs!M:M,,0)</f>
        <v>0</v>
      </c>
    </row>
    <row r="51" spans="1:13">
      <c r="A51" s="119" t="s">
        <v>902</v>
      </c>
      <c r="B51" s="56">
        <f>_xlfn.XLOOKUP($A51,Inputs!$A:$A,Inputs!B:B,,0)</f>
        <v>608</v>
      </c>
      <c r="C51" s="56">
        <f>_xlfn.XLOOKUP($A51,Inputs!$A:$A,Inputs!C:C,,0)</f>
        <v>3179</v>
      </c>
      <c r="D51" s="56">
        <f>_xlfn.XLOOKUP($A51,Inputs!$A:$A,Inputs!D:D,,0)</f>
        <v>4130</v>
      </c>
      <c r="E51" s="56">
        <f>_xlfn.XLOOKUP($A51,Inputs!$A:$A,Inputs!E:E,,0)</f>
        <v>3184</v>
      </c>
      <c r="F51" s="56">
        <f>_xlfn.XLOOKUP($A51,Inputs!$A:$A,Inputs!F:F,,0)</f>
        <v>3062</v>
      </c>
      <c r="G51" s="56">
        <f>_xlfn.XLOOKUP($A51,Inputs!$A:$A,Inputs!G:G,,0)</f>
        <v>3307</v>
      </c>
      <c r="H51" s="56">
        <f>_xlfn.XLOOKUP($A51,Inputs!$A:$A,Inputs!H:H,,0)</f>
        <v>2987</v>
      </c>
      <c r="I51" s="56">
        <f>_xlfn.XLOOKUP($A51,Inputs!$A:$A,Inputs!I:I,,0)</f>
        <v>2810</v>
      </c>
      <c r="J51" s="56">
        <f>_xlfn.XLOOKUP($A51,Inputs!$A:$A,Inputs!J:J,,0)</f>
        <v>3012</v>
      </c>
      <c r="K51" s="56">
        <f>_xlfn.XLOOKUP($A51,Inputs!$A:$A,Inputs!K:K,,0)</f>
        <v>3184</v>
      </c>
      <c r="L51" s="56">
        <f>_xlfn.XLOOKUP($A51,Inputs!$A:$A,Inputs!L:L,,0)</f>
        <v>0</v>
      </c>
      <c r="M51" s="56">
        <f>_xlfn.XLOOKUP($A51,Inputs!$A:$A,Inputs!M:M,,0)</f>
        <v>0</v>
      </c>
    </row>
    <row r="52" spans="1:13">
      <c r="A52" s="123" t="s">
        <v>903</v>
      </c>
      <c r="B52" s="62">
        <f>_xlfn.XLOOKUP($A52,Inputs!$A:$A,Inputs!B:B,,0)</f>
        <v>20021</v>
      </c>
      <c r="C52" s="62">
        <f>_xlfn.XLOOKUP($A52,Inputs!$A:$A,Inputs!C:C,,0)</f>
        <v>20185</v>
      </c>
      <c r="D52" s="62">
        <f>_xlfn.XLOOKUP($A52,Inputs!$A:$A,Inputs!D:D,,0)</f>
        <v>20276</v>
      </c>
      <c r="E52" s="62">
        <f>_xlfn.XLOOKUP($A52,Inputs!$A:$A,Inputs!E:E,,0)</f>
        <v>17914</v>
      </c>
      <c r="F52" s="62">
        <f>_xlfn.XLOOKUP($A52,Inputs!$A:$A,Inputs!F:F,,0)</f>
        <v>20040</v>
      </c>
      <c r="G52" s="62">
        <f>_xlfn.XLOOKUP($A52,Inputs!$A:$A,Inputs!G:G,,0)</f>
        <v>15932</v>
      </c>
      <c r="H52" s="62">
        <f>_xlfn.XLOOKUP($A52,Inputs!$A:$A,Inputs!H:H,,0)</f>
        <v>13407</v>
      </c>
      <c r="I52" s="62">
        <f>_xlfn.XLOOKUP($A52,Inputs!$A:$A,Inputs!I:I,,0)</f>
        <v>11875</v>
      </c>
      <c r="J52" s="62">
        <f>_xlfn.XLOOKUP($A52,Inputs!$A:$A,Inputs!J:J,,0)</f>
        <v>13774</v>
      </c>
      <c r="K52" s="62">
        <f>_xlfn.XLOOKUP($A52,Inputs!$A:$A,Inputs!K:K,,0)</f>
        <v>13774</v>
      </c>
      <c r="L52" s="62">
        <f>_xlfn.XLOOKUP($A52,Inputs!$A:$A,Inputs!L:L,,0)</f>
        <v>0</v>
      </c>
      <c r="M52" s="62">
        <f>_xlfn.XLOOKUP($A52,Inputs!$A:$A,Inputs!M:M,,0)</f>
        <v>0</v>
      </c>
    </row>
    <row r="53" spans="1:13">
      <c r="A53" s="124" t="s">
        <v>904</v>
      </c>
      <c r="B53" s="56">
        <f>_xlfn.XLOOKUP($A53,Inputs!$A:$A,Inputs!B:B,,0)</f>
        <v>14680</v>
      </c>
      <c r="C53" s="56">
        <f>_xlfn.XLOOKUP($A53,Inputs!$A:$A,Inputs!C:C,,0)</f>
        <v>15174</v>
      </c>
      <c r="D53" s="56">
        <f>_xlfn.XLOOKUP($A53,Inputs!$A:$A,Inputs!D:D,,0)</f>
        <v>14888</v>
      </c>
      <c r="E53" s="56">
        <f>_xlfn.XLOOKUP($A53,Inputs!$A:$A,Inputs!E:E,,0)</f>
        <v>13146</v>
      </c>
      <c r="F53" s="56">
        <f>_xlfn.XLOOKUP($A53,Inputs!$A:$A,Inputs!F:F,,0)</f>
        <v>15154</v>
      </c>
      <c r="G53" s="56">
        <f>_xlfn.XLOOKUP($A53,Inputs!$A:$A,Inputs!G:G,,0)</f>
        <v>10681</v>
      </c>
      <c r="H53" s="56">
        <f>_xlfn.XLOOKUP($A53,Inputs!$A:$A,Inputs!H:H,,0)</f>
        <v>8198</v>
      </c>
      <c r="I53" s="56">
        <f>_xlfn.XLOOKUP($A53,Inputs!$A:$A,Inputs!I:I,,0)</f>
        <v>6740</v>
      </c>
      <c r="J53" s="56">
        <f>_xlfn.XLOOKUP($A53,Inputs!$A:$A,Inputs!J:J,,0)</f>
        <v>8284</v>
      </c>
      <c r="K53" s="56">
        <f>_xlfn.XLOOKUP($A53,Inputs!$A:$A,Inputs!K:K,,0)</f>
        <v>8284</v>
      </c>
      <c r="L53" s="56">
        <f>_xlfn.XLOOKUP($A53,Inputs!$A:$A,Inputs!L:L,,0)</f>
        <v>0</v>
      </c>
      <c r="M53" s="56">
        <f>_xlfn.XLOOKUP($A53,Inputs!$A:$A,Inputs!M:M,,0)</f>
        <v>0</v>
      </c>
    </row>
    <row r="54" spans="1:13">
      <c r="A54" s="118" t="s">
        <v>905</v>
      </c>
      <c r="B54" s="56">
        <f>_xlfn.XLOOKUP($A54,Inputs!$A:$A,Inputs!B:B,,0)</f>
        <v>0</v>
      </c>
      <c r="C54" s="56">
        <f>_xlfn.XLOOKUP($A54,Inputs!$A:$A,Inputs!C:C,,0)</f>
        <v>373</v>
      </c>
      <c r="D54" s="56">
        <f>_xlfn.XLOOKUP($A54,Inputs!$A:$A,Inputs!D:D,,0)</f>
        <v>390</v>
      </c>
      <c r="E54" s="56">
        <f>_xlfn.XLOOKUP($A54,Inputs!$A:$A,Inputs!E:E,,0)</f>
        <v>281</v>
      </c>
      <c r="F54" s="56">
        <f>_xlfn.XLOOKUP($A54,Inputs!$A:$A,Inputs!F:F,,0)</f>
        <v>364</v>
      </c>
      <c r="G54" s="56">
        <f>_xlfn.XLOOKUP($A54,Inputs!$A:$A,Inputs!G:G,,0)</f>
        <v>85</v>
      </c>
      <c r="H54" s="56">
        <f>_xlfn.XLOOKUP($A54,Inputs!$A:$A,Inputs!H:H,,0)</f>
        <v>124</v>
      </c>
      <c r="I54" s="56">
        <f>_xlfn.XLOOKUP($A54,Inputs!$A:$A,Inputs!I:I,,0)</f>
        <v>157</v>
      </c>
      <c r="J54" s="56">
        <f>_xlfn.XLOOKUP($A54,Inputs!$A:$A,Inputs!J:J,,0)</f>
        <v>213</v>
      </c>
      <c r="K54" s="56">
        <f>_xlfn.XLOOKUP($A54,Inputs!$A:$A,Inputs!K:K,,0)</f>
        <v>213</v>
      </c>
      <c r="L54" s="56">
        <f>_xlfn.XLOOKUP($A54,Inputs!$A:$A,Inputs!L:L,,0)</f>
        <v>0</v>
      </c>
      <c r="M54" s="56">
        <f>_xlfn.XLOOKUP($A54,Inputs!$A:$A,Inputs!M:M,,0)</f>
        <v>0</v>
      </c>
    </row>
    <row r="55" spans="1:13">
      <c r="A55" s="119" t="s">
        <v>906</v>
      </c>
      <c r="B55" s="56">
        <f>_xlfn.XLOOKUP($A55,Inputs!$A:$A,Inputs!B:B,,0)</f>
        <v>5341</v>
      </c>
      <c r="C55" s="56">
        <f>_xlfn.XLOOKUP($A55,Inputs!$A:$A,Inputs!C:C,,0)</f>
        <v>4638</v>
      </c>
      <c r="D55" s="56">
        <f>_xlfn.XLOOKUP($A55,Inputs!$A:$A,Inputs!D:D,,0)</f>
        <v>4998</v>
      </c>
      <c r="E55" s="56">
        <f>_xlfn.XLOOKUP($A55,Inputs!$A:$A,Inputs!E:E,,0)</f>
        <v>4487</v>
      </c>
      <c r="F55" s="56">
        <f>_xlfn.XLOOKUP($A55,Inputs!$A:$A,Inputs!F:F,,0)</f>
        <v>4522</v>
      </c>
      <c r="G55" s="56">
        <f>_xlfn.XLOOKUP($A55,Inputs!$A:$A,Inputs!G:G,,0)</f>
        <v>5166</v>
      </c>
      <c r="H55" s="56">
        <f>_xlfn.XLOOKUP($A55,Inputs!$A:$A,Inputs!H:H,,0)</f>
        <v>5085</v>
      </c>
      <c r="I55" s="56">
        <f>_xlfn.XLOOKUP($A55,Inputs!$A:$A,Inputs!I:I,,0)</f>
        <v>4978</v>
      </c>
      <c r="J55" s="56">
        <f>_xlfn.XLOOKUP($A55,Inputs!$A:$A,Inputs!J:J,,0)</f>
        <v>5277</v>
      </c>
      <c r="K55" s="56">
        <f>_xlfn.XLOOKUP($A55,Inputs!$A:$A,Inputs!K:K,,0)</f>
        <v>5277</v>
      </c>
      <c r="L55" s="56">
        <f>_xlfn.XLOOKUP($A55,Inputs!$A:$A,Inputs!L:L,,0)</f>
        <v>0</v>
      </c>
      <c r="M55" s="56">
        <f>_xlfn.XLOOKUP($A55,Inputs!$A:$A,Inputs!M:M,,0)</f>
        <v>0</v>
      </c>
    </row>
    <row r="56" spans="1:13">
      <c r="A56" s="123" t="s">
        <v>42</v>
      </c>
      <c r="B56" s="62">
        <f>_xlfn.XLOOKUP($A56,Inputs!$A:$A,Inputs!B:B,,0)</f>
        <v>27572</v>
      </c>
      <c r="C56" s="62">
        <f>_xlfn.XLOOKUP($A56,Inputs!$A:$A,Inputs!C:C,,0)</f>
        <v>27799</v>
      </c>
      <c r="D56" s="62">
        <f>_xlfn.XLOOKUP($A56,Inputs!$A:$A,Inputs!D:D,,0)</f>
        <v>28718</v>
      </c>
      <c r="E56" s="62">
        <f>_xlfn.XLOOKUP($A56,Inputs!$A:$A,Inputs!E:E,,0)</f>
        <v>25056</v>
      </c>
      <c r="F56" s="62">
        <f>_xlfn.XLOOKUP($A56,Inputs!$A:$A,Inputs!F:F,,0)</f>
        <v>26536</v>
      </c>
      <c r="G56" s="62">
        <f>_xlfn.XLOOKUP($A56,Inputs!$A:$A,Inputs!G:G,,0)</f>
        <v>22935</v>
      </c>
      <c r="H56" s="62">
        <f>_xlfn.XLOOKUP($A56,Inputs!$A:$A,Inputs!H:H,,0)</f>
        <v>19767</v>
      </c>
      <c r="I56" s="62">
        <f>_xlfn.XLOOKUP($A56,Inputs!$A:$A,Inputs!I:I,,0)</f>
        <v>18535</v>
      </c>
      <c r="J56" s="62">
        <f>_xlfn.XLOOKUP($A56,Inputs!$A:$A,Inputs!J:J,,0)</f>
        <v>19961</v>
      </c>
      <c r="K56" s="62">
        <f>_xlfn.XLOOKUP($A56,Inputs!$A:$A,Inputs!K:K,,0)</f>
        <v>19961</v>
      </c>
      <c r="L56" s="62">
        <f>_xlfn.XLOOKUP($A56,Inputs!$A:$A,Inputs!L:L,,0)</f>
        <v>0</v>
      </c>
      <c r="M56" s="62">
        <f>_xlfn.XLOOKUP($A56,Inputs!$A:$A,Inputs!M:M,,0)</f>
        <v>0</v>
      </c>
    </row>
    <row r="57" spans="1:13">
      <c r="B57"/>
      <c r="C57"/>
      <c r="D57"/>
      <c r="E57"/>
      <c r="F57"/>
      <c r="G57"/>
      <c r="H57"/>
      <c r="I57"/>
      <c r="J57"/>
      <c r="K57"/>
      <c r="L57"/>
      <c r="M57"/>
    </row>
    <row r="58" spans="1:13">
      <c r="A58" s="123" t="s">
        <v>335</v>
      </c>
      <c r="B58" s="62">
        <f>B49+B53+B50+B54</f>
        <v>16366</v>
      </c>
      <c r="C58" s="62">
        <f t="shared" ref="C58:M58" si="72">C49+C53+C50+C54</f>
        <v>17323</v>
      </c>
      <c r="D58" s="62">
        <f t="shared" si="72"/>
        <v>16885</v>
      </c>
      <c r="E58" s="62">
        <f t="shared" si="72"/>
        <v>15371</v>
      </c>
      <c r="F58" s="62">
        <f t="shared" si="72"/>
        <v>17619</v>
      </c>
      <c r="G58" s="62">
        <f t="shared" si="72"/>
        <v>12768</v>
      </c>
      <c r="H58" s="62">
        <f t="shared" si="72"/>
        <v>10181</v>
      </c>
      <c r="I58" s="62">
        <f t="shared" si="72"/>
        <v>9382</v>
      </c>
      <c r="J58" s="62">
        <f t="shared" si="72"/>
        <v>10584</v>
      </c>
      <c r="K58" s="62">
        <f t="shared" si="72"/>
        <v>10584</v>
      </c>
      <c r="L58" s="62">
        <f t="shared" si="72"/>
        <v>0</v>
      </c>
      <c r="M58" s="62">
        <f t="shared" si="72"/>
        <v>0</v>
      </c>
    </row>
    <row r="59" spans="1:13">
      <c r="A59" s="124" t="s">
        <v>63</v>
      </c>
      <c r="B59" s="58">
        <f>IFERROR(B58/B44,"-")</f>
        <v>0.46323238041324655</v>
      </c>
      <c r="C59" s="58">
        <f t="shared" ref="C59:M59" si="73">IFERROR(C58/C44,"-")</f>
        <v>0.48631425282838775</v>
      </c>
      <c r="D59" s="58">
        <f t="shared" si="73"/>
        <v>0.46240004381640926</v>
      </c>
      <c r="E59" s="58">
        <f t="shared" si="73"/>
        <v>0.48105029261728161</v>
      </c>
      <c r="F59" s="58">
        <f t="shared" si="73"/>
        <v>0.52897201873423805</v>
      </c>
      <c r="G59" s="58">
        <f t="shared" si="73"/>
        <v>0.40797546012269936</v>
      </c>
      <c r="H59" s="58">
        <f t="shared" si="73"/>
        <v>0.34262157159683659</v>
      </c>
      <c r="I59" s="58">
        <f t="shared" si="73"/>
        <v>0.3252218524681087</v>
      </c>
      <c r="J59" s="58">
        <f t="shared" si="73"/>
        <v>0.37148573233652732</v>
      </c>
      <c r="K59" s="58">
        <f t="shared" si="73"/>
        <v>0.37148573233652732</v>
      </c>
      <c r="L59" s="58" t="str">
        <f t="shared" si="73"/>
        <v>-</v>
      </c>
      <c r="M59" s="58" t="str">
        <f t="shared" si="73"/>
        <v>-</v>
      </c>
    </row>
    <row r="60" spans="1:13">
      <c r="A60" s="123" t="s">
        <v>907</v>
      </c>
      <c r="B60" s="62">
        <f>B58-B39</f>
        <v>14939</v>
      </c>
      <c r="C60" s="62">
        <f t="shared" ref="C60:M60" si="74">C58-C39</f>
        <v>15884</v>
      </c>
      <c r="D60" s="62">
        <f t="shared" si="74"/>
        <v>14600</v>
      </c>
      <c r="E60" s="62">
        <f t="shared" si="74"/>
        <v>12622</v>
      </c>
      <c r="F60" s="62">
        <f t="shared" si="74"/>
        <v>14296</v>
      </c>
      <c r="G60" s="62">
        <f t="shared" si="74"/>
        <v>11836</v>
      </c>
      <c r="H60" s="62">
        <f t="shared" si="74"/>
        <v>9307</v>
      </c>
      <c r="I60" s="62">
        <f t="shared" si="74"/>
        <v>8191</v>
      </c>
      <c r="J60" s="62">
        <f t="shared" si="74"/>
        <v>9495</v>
      </c>
      <c r="K60" s="62">
        <f t="shared" si="74"/>
        <v>9495</v>
      </c>
      <c r="L60" s="62">
        <f t="shared" si="74"/>
        <v>0</v>
      </c>
      <c r="M60" s="62">
        <f t="shared" si="74"/>
        <v>0</v>
      </c>
    </row>
    <row r="61" spans="1:13">
      <c r="B61"/>
      <c r="C61"/>
      <c r="D61"/>
      <c r="E61"/>
      <c r="F61"/>
      <c r="G61"/>
      <c r="H61"/>
      <c r="I61"/>
      <c r="J61"/>
      <c r="K61"/>
      <c r="L61"/>
      <c r="M61"/>
    </row>
    <row r="62" spans="1:13" s="49" customFormat="1">
      <c r="A62" s="123" t="s">
        <v>908</v>
      </c>
      <c r="B62" s="62">
        <f>_xlfn.XLOOKUP($A62,Inputs!$A:$A,Inputs!B:B,,0)</f>
        <v>1459</v>
      </c>
      <c r="C62" s="62">
        <f>_xlfn.XLOOKUP($A62,Inputs!$A:$A,Inputs!C:C,,0)</f>
        <v>1470</v>
      </c>
      <c r="D62" s="62">
        <f>_xlfn.XLOOKUP($A62,Inputs!$A:$A,Inputs!D:D,,0)</f>
        <v>1716</v>
      </c>
      <c r="E62" s="62">
        <f>_xlfn.XLOOKUP($A62,Inputs!$A:$A,Inputs!E:E,,0)</f>
        <v>1534</v>
      </c>
      <c r="F62" s="62">
        <f>_xlfn.XLOOKUP($A62,Inputs!$A:$A,Inputs!F:F,,0)</f>
        <v>1668</v>
      </c>
      <c r="G62" s="62">
        <f>_xlfn.XLOOKUP($A62,Inputs!$A:$A,Inputs!G:G,,0)</f>
        <v>1795</v>
      </c>
      <c r="H62" s="62">
        <f>_xlfn.XLOOKUP($A62,Inputs!$A:$A,Inputs!H:H,,0)</f>
        <v>1765</v>
      </c>
      <c r="I62" s="62">
        <f>_xlfn.XLOOKUP($A62,Inputs!$A:$A,Inputs!I:I,,0)</f>
        <v>1715</v>
      </c>
      <c r="J62" s="62">
        <f>_xlfn.XLOOKUP($A62,Inputs!$A:$A,Inputs!J:J,,0)</f>
        <v>1650</v>
      </c>
      <c r="K62" s="62">
        <f>_xlfn.XLOOKUP($A62,Inputs!$A:$A,Inputs!K:K,,0)</f>
        <v>1650</v>
      </c>
      <c r="L62" s="62">
        <f>_xlfn.XLOOKUP($A62,Inputs!$A:$A,Inputs!L:L,,0)</f>
        <v>0</v>
      </c>
      <c r="M62" s="62">
        <f>_xlfn.XLOOKUP($A62,Inputs!$A:$A,Inputs!M:M,,0)</f>
        <v>0</v>
      </c>
    </row>
    <row r="63" spans="1:13">
      <c r="B63"/>
      <c r="C63"/>
      <c r="D63"/>
      <c r="E63"/>
      <c r="F63"/>
      <c r="G63"/>
      <c r="H63"/>
      <c r="I63"/>
      <c r="J63"/>
      <c r="K63"/>
      <c r="L63"/>
      <c r="M63"/>
    </row>
    <row r="64" spans="1:13">
      <c r="A64" s="123" t="s">
        <v>909</v>
      </c>
      <c r="B64" s="62">
        <f>_xlfn.XLOOKUP($A64,Inputs!$A:$A,Inputs!B:B,,0)</f>
        <v>6299</v>
      </c>
      <c r="C64" s="62">
        <f>_xlfn.XLOOKUP($A64,Inputs!$A:$A,Inputs!C:C,,0)</f>
        <v>6352</v>
      </c>
      <c r="D64" s="62">
        <f>_xlfn.XLOOKUP($A64,Inputs!$A:$A,Inputs!D:D,,0)</f>
        <v>6082</v>
      </c>
      <c r="E64" s="62">
        <f>_xlfn.XLOOKUP($A64,Inputs!$A:$A,Inputs!E:E,,0)</f>
        <v>5363</v>
      </c>
      <c r="F64" s="62">
        <f>_xlfn.XLOOKUP($A64,Inputs!$A:$A,Inputs!F:F,,0)</f>
        <v>5104</v>
      </c>
      <c r="G64" s="62">
        <f>_xlfn.XLOOKUP($A64,Inputs!$A:$A,Inputs!G:G,,0)</f>
        <v>6566</v>
      </c>
      <c r="H64" s="62">
        <f>_xlfn.XLOOKUP($A64,Inputs!$A:$A,Inputs!H:H,,0)</f>
        <v>8183</v>
      </c>
      <c r="I64" s="62">
        <f>_xlfn.XLOOKUP($A64,Inputs!$A:$A,Inputs!I:I,,0)</f>
        <v>8598</v>
      </c>
      <c r="J64" s="62">
        <f>_xlfn.XLOOKUP($A64,Inputs!$A:$A,Inputs!J:J,,0)</f>
        <v>6880</v>
      </c>
      <c r="K64" s="62">
        <f>_xlfn.XLOOKUP($A64,Inputs!$A:$A,Inputs!K:K,,0)</f>
        <v>6880</v>
      </c>
      <c r="L64" s="62">
        <f>_xlfn.XLOOKUP($A64,Inputs!$A:$A,Inputs!L:L,,0)</f>
        <v>0</v>
      </c>
      <c r="M64" s="62">
        <f>_xlfn.XLOOKUP($A64,Inputs!$A:$A,Inputs!M:M,,0)</f>
        <v>0</v>
      </c>
    </row>
    <row r="65" spans="1:235">
      <c r="A65" s="885"/>
      <c r="B65" s="886"/>
      <c r="C65" s="886"/>
      <c r="D65" s="886"/>
      <c r="E65" s="886"/>
      <c r="F65" s="886"/>
      <c r="G65" s="886"/>
      <c r="H65" s="886"/>
      <c r="I65" s="886"/>
      <c r="J65" s="886"/>
      <c r="K65" s="886"/>
      <c r="L65" s="886"/>
      <c r="M65" s="886"/>
    </row>
    <row r="66" spans="1:235">
      <c r="A66" s="885"/>
      <c r="B66" s="887"/>
      <c r="C66" s="887"/>
      <c r="D66" s="887"/>
      <c r="E66" s="887"/>
      <c r="F66" s="887"/>
      <c r="G66" s="887"/>
      <c r="H66" s="887"/>
      <c r="I66" s="887"/>
      <c r="J66" s="887"/>
      <c r="K66" s="886"/>
      <c r="L66" s="886"/>
      <c r="M66" s="886"/>
    </row>
    <row r="67" spans="1:235">
      <c r="A67" s="885"/>
      <c r="B67" s="886"/>
      <c r="C67" s="886"/>
      <c r="D67" s="886"/>
      <c r="E67" s="886"/>
      <c r="F67" s="886"/>
      <c r="G67" s="886"/>
      <c r="H67" s="886"/>
      <c r="I67" s="886"/>
      <c r="J67" s="886"/>
      <c r="K67" s="886"/>
      <c r="L67" s="886"/>
      <c r="M67" s="886"/>
    </row>
    <row r="68" spans="1:235">
      <c r="K68" s="45"/>
      <c r="L68" s="45"/>
      <c r="M68" s="45"/>
    </row>
    <row r="69" spans="1:235" ht="20.25">
      <c r="A69" s="1237" t="s">
        <v>123</v>
      </c>
      <c r="B69" s="1237"/>
      <c r="C69" s="1237"/>
      <c r="D69" s="1237"/>
      <c r="E69" s="1237"/>
      <c r="F69" s="1237"/>
      <c r="G69" s="1237"/>
      <c r="H69" s="1237"/>
      <c r="I69" s="1237"/>
      <c r="J69" s="1237"/>
      <c r="K69" s="1237"/>
      <c r="L69" s="1237"/>
      <c r="M69" s="1237"/>
    </row>
    <row r="70" spans="1:235">
      <c r="A70" s="123" t="s">
        <v>124</v>
      </c>
      <c r="B70" s="62">
        <f>_xlfn.XLOOKUP($A70,Inputs!$A:$A,Inputs!B:B,,0)</f>
        <v>3024</v>
      </c>
      <c r="C70" s="62">
        <f>_xlfn.XLOOKUP($A70,Inputs!$A:$A,Inputs!C:C,,0)</f>
        <v>3935</v>
      </c>
      <c r="D70" s="62">
        <f>_xlfn.XLOOKUP($A70,Inputs!$A:$A,Inputs!D:D,,0)</f>
        <v>3654</v>
      </c>
      <c r="E70" s="62">
        <f>_xlfn.XLOOKUP($A70,Inputs!$A:$A,Inputs!E:E,,0)</f>
        <v>2320</v>
      </c>
      <c r="F70" s="62">
        <f>_xlfn.XLOOKUP($A70,Inputs!$A:$A,Inputs!F:F,,0)</f>
        <v>3248</v>
      </c>
      <c r="G70" s="62">
        <f>_xlfn.XLOOKUP($A70,Inputs!$A:$A,Inputs!G:G,,0)</f>
        <v>3084</v>
      </c>
      <c r="H70" s="62">
        <f>_xlfn.XLOOKUP($A70,Inputs!$A:$A,Inputs!H:H,,0)</f>
        <v>3132</v>
      </c>
      <c r="I70" s="62">
        <f>_xlfn.XLOOKUP($A70,Inputs!$A:$A,Inputs!I:I,,0)</f>
        <v>2548</v>
      </c>
      <c r="J70" s="62">
        <f>_xlfn.XLOOKUP($A70,Inputs!$A:$A,Inputs!J:J,,0)</f>
        <v>2551</v>
      </c>
      <c r="K70" s="62">
        <f>_xlfn.XLOOKUP($A70,Inputs!$A:$A,Inputs!K:K,,0)</f>
        <v>1790</v>
      </c>
      <c r="L70" s="62">
        <f>_xlfn.XLOOKUP($A70,Inputs!$A:$A,Inputs!L:L,,0)</f>
        <v>0</v>
      </c>
      <c r="M70" s="62">
        <f>_xlfn.XLOOKUP($A70,Inputs!$A:$A,Inputs!M:M,,0)</f>
        <v>0</v>
      </c>
    </row>
    <row r="71" spans="1:235">
      <c r="A71" s="123" t="s">
        <v>125</v>
      </c>
      <c r="B71" s="62">
        <f>_xlfn.XLOOKUP($A71,Inputs!$A:$A,Inputs!B:B,,0)</f>
        <v>-1197</v>
      </c>
      <c r="C71" s="62">
        <f>_xlfn.XLOOKUP($A71,Inputs!$A:$A,Inputs!C:C,,0)</f>
        <v>-1341</v>
      </c>
      <c r="D71" s="62">
        <f>_xlfn.XLOOKUP($A71,Inputs!$A:$A,Inputs!D:D,,0)</f>
        <v>-1091</v>
      </c>
      <c r="E71" s="62">
        <f>_xlfn.XLOOKUP($A71,Inputs!$A:$A,Inputs!E:E,,0)</f>
        <v>-805</v>
      </c>
      <c r="F71" s="62">
        <f>_xlfn.XLOOKUP($A71,Inputs!$A:$A,Inputs!F:F,,0)</f>
        <v>-270</v>
      </c>
      <c r="G71" s="62">
        <f>_xlfn.XLOOKUP($A71,Inputs!$A:$A,Inputs!G:G,,0)</f>
        <v>-1151</v>
      </c>
      <c r="H71" s="62">
        <f>_xlfn.XLOOKUP($A71,Inputs!$A:$A,Inputs!H:H,,0)</f>
        <v>-552</v>
      </c>
      <c r="I71" s="62">
        <f>_xlfn.XLOOKUP($A71,Inputs!$A:$A,Inputs!I:I,,0)</f>
        <v>596</v>
      </c>
      <c r="J71" s="62">
        <f>_xlfn.XLOOKUP($A71,Inputs!$A:$A,Inputs!J:J,,0)</f>
        <v>-894</v>
      </c>
      <c r="K71" s="62">
        <f>_xlfn.XLOOKUP($A71,Inputs!$A:$A,Inputs!K:K,,0)</f>
        <v>-1089</v>
      </c>
      <c r="L71" s="62">
        <f>_xlfn.XLOOKUP($A71,Inputs!$A:$A,Inputs!L:L,,0)</f>
        <v>0</v>
      </c>
      <c r="M71" s="62">
        <f>_xlfn.XLOOKUP($A71,Inputs!$A:$A,Inputs!M:M,,0)</f>
        <v>0</v>
      </c>
    </row>
    <row r="72" spans="1:235">
      <c r="A72" s="119" t="s">
        <v>126</v>
      </c>
      <c r="B72" s="56">
        <f>_xlfn.XLOOKUP($A72,Inputs!$A:$A,Inputs!B:B,,0)</f>
        <v>-1180</v>
      </c>
      <c r="C72" s="56">
        <f>_xlfn.XLOOKUP($A72,Inputs!$A:$A,Inputs!C:C,,0)</f>
        <v>-1097</v>
      </c>
      <c r="D72" s="56">
        <f>_xlfn.XLOOKUP($A72,Inputs!$A:$A,Inputs!D:D,,0)</f>
        <v>-626</v>
      </c>
      <c r="E72" s="56">
        <f>_xlfn.XLOOKUP($A72,Inputs!$A:$A,Inputs!E:E,,0)</f>
        <v>-700</v>
      </c>
      <c r="F72" s="56">
        <f>_xlfn.XLOOKUP($A72,Inputs!$A:$A,Inputs!F:F,,0)</f>
        <v>-671</v>
      </c>
      <c r="G72" s="56">
        <f>_xlfn.XLOOKUP($A72,Inputs!$A:$A,Inputs!G:G,,0)</f>
        <v>-584</v>
      </c>
      <c r="H72" s="56">
        <f>_xlfn.XLOOKUP($A72,Inputs!$A:$A,Inputs!H:H,,0)</f>
        <v>-518</v>
      </c>
      <c r="I72" s="56">
        <f>_xlfn.XLOOKUP($A72,Inputs!$A:$A,Inputs!I:I,,0)</f>
        <v>-506</v>
      </c>
      <c r="J72" s="56">
        <f>_xlfn.XLOOKUP($A72,Inputs!$A:$A,Inputs!J:J,,0)</f>
        <v>-638</v>
      </c>
      <c r="K72" s="56">
        <f>_xlfn.XLOOKUP($A72,Inputs!$A:$A,Inputs!K:K,,0)</f>
        <v>-642</v>
      </c>
      <c r="L72" s="56">
        <f>_xlfn.XLOOKUP($A72,Inputs!$A:$A,Inputs!L:L,,0)</f>
        <v>0</v>
      </c>
      <c r="M72" s="56">
        <f>_xlfn.XLOOKUP($A72,Inputs!$A:$A,Inputs!M:M,,0)</f>
        <v>0</v>
      </c>
    </row>
    <row r="73" spans="1:235">
      <c r="A73" s="119" t="s">
        <v>127</v>
      </c>
      <c r="B73" s="56">
        <f>_xlfn.XLOOKUP($A73,Inputs!$A:$A,Inputs!B:B,,0)</f>
        <v>-492</v>
      </c>
      <c r="C73" s="56">
        <f>_xlfn.XLOOKUP($A73,Inputs!$A:$A,Inputs!C:C,,0)</f>
        <v>-343</v>
      </c>
      <c r="D73" s="56">
        <f>_xlfn.XLOOKUP($A73,Inputs!$A:$A,Inputs!D:D,,0)</f>
        <v>-492</v>
      </c>
      <c r="E73" s="56">
        <f>_xlfn.XLOOKUP($A73,Inputs!$A:$A,Inputs!E:E,,0)</f>
        <v>-130</v>
      </c>
      <c r="F73" s="56">
        <f>_xlfn.XLOOKUP($A73,Inputs!$A:$A,Inputs!F:F,,0)</f>
        <v>-57</v>
      </c>
      <c r="G73" s="56">
        <f>_xlfn.XLOOKUP($A73,Inputs!$A:$A,Inputs!G:G,,0)</f>
        <v>-611</v>
      </c>
      <c r="H73" s="56">
        <f>_xlfn.XLOOKUP($A73,Inputs!$A:$A,Inputs!H:H,,0)</f>
        <v>-80</v>
      </c>
      <c r="I73" s="56">
        <f>_xlfn.XLOOKUP($A73,Inputs!$A:$A,Inputs!I:I,,0)</f>
        <v>-17</v>
      </c>
      <c r="J73" s="56">
        <f>_xlfn.XLOOKUP($A73,Inputs!$A:$A,Inputs!J:J,,0)</f>
        <v>-1286</v>
      </c>
      <c r="K73" s="56">
        <f>_xlfn.XLOOKUP($A73,Inputs!$A:$A,Inputs!K:K,,0)</f>
        <v>-529</v>
      </c>
      <c r="L73" s="56">
        <f>_xlfn.XLOOKUP($A73,Inputs!$A:$A,Inputs!L:L,,0)</f>
        <v>0</v>
      </c>
      <c r="M73" s="56">
        <f>_xlfn.XLOOKUP($A73,Inputs!$A:$A,Inputs!M:M,,0)</f>
        <v>0</v>
      </c>
      <c r="IA73" s="45"/>
    </row>
    <row r="74" spans="1:235">
      <c r="A74" s="123" t="s">
        <v>128</v>
      </c>
      <c r="B74" s="62">
        <f>_xlfn.XLOOKUP($A74,Inputs!$A:$A,Inputs!B:B,,0)</f>
        <v>-2408</v>
      </c>
      <c r="C74" s="62">
        <f>_xlfn.XLOOKUP($A74,Inputs!$A:$A,Inputs!C:C,,0)</f>
        <v>-3259</v>
      </c>
      <c r="D74" s="62">
        <f>_xlfn.XLOOKUP($A74,Inputs!$A:$A,Inputs!D:D,,0)</f>
        <v>-2794</v>
      </c>
      <c r="E74" s="62">
        <f>_xlfn.XLOOKUP($A74,Inputs!$A:$A,Inputs!E:E,,0)</f>
        <v>1037</v>
      </c>
      <c r="F74" s="62">
        <f>_xlfn.XLOOKUP($A74,Inputs!$A:$A,Inputs!F:F,,0)</f>
        <v>-2924</v>
      </c>
      <c r="G74" s="62">
        <f>_xlfn.XLOOKUP($A74,Inputs!$A:$A,Inputs!G:G,,0)</f>
        <v>-2118</v>
      </c>
      <c r="H74" s="62">
        <f>_xlfn.XLOOKUP($A74,Inputs!$A:$A,Inputs!H:H,,0)</f>
        <v>-2458</v>
      </c>
      <c r="I74" s="62">
        <f>_xlfn.XLOOKUP($A74,Inputs!$A:$A,Inputs!I:I,,0)</f>
        <v>-2801</v>
      </c>
      <c r="J74" s="62">
        <f>_xlfn.XLOOKUP($A74,Inputs!$A:$A,Inputs!J:J,,0)</f>
        <v>-1734</v>
      </c>
      <c r="K74" s="62">
        <f>_xlfn.XLOOKUP($A74,Inputs!$A:$A,Inputs!K:K,,0)</f>
        <v>-1622</v>
      </c>
      <c r="L74" s="62">
        <f>_xlfn.XLOOKUP($A74,Inputs!$A:$A,Inputs!L:L,,0)</f>
        <v>0</v>
      </c>
      <c r="M74" s="62">
        <f>_xlfn.XLOOKUP($A74,Inputs!$A:$A,Inputs!M:M,,0)</f>
        <v>0</v>
      </c>
      <c r="IA74" s="45"/>
    </row>
    <row r="75" spans="1:235">
      <c r="A75" s="119" t="s">
        <v>129</v>
      </c>
      <c r="B75" s="56">
        <f>_xlfn.XLOOKUP($A75,Inputs!$A:$A,Inputs!B:B,,0)</f>
        <v>-1761</v>
      </c>
      <c r="C75" s="56">
        <f>_xlfn.XLOOKUP($A75,Inputs!$A:$A,Inputs!C:C,,0)</f>
        <v>-1718</v>
      </c>
      <c r="D75" s="56">
        <f>_xlfn.XLOOKUP($A75,Inputs!$A:$A,Inputs!D:D,,0)</f>
        <v>-1646</v>
      </c>
      <c r="E75" s="56">
        <f>_xlfn.XLOOKUP($A75,Inputs!$A:$A,Inputs!E:E,,0)</f>
        <v>-1646</v>
      </c>
      <c r="F75" s="56">
        <f>_xlfn.XLOOKUP($A75,Inputs!$A:$A,Inputs!F:F,,0)</f>
        <v>-1623</v>
      </c>
      <c r="G75" s="56">
        <f>_xlfn.XLOOKUP($A75,Inputs!$A:$A,Inputs!G:G,,0)</f>
        <v>-1581</v>
      </c>
      <c r="H75" s="56">
        <f>_xlfn.XLOOKUP($A75,Inputs!$A:$A,Inputs!H:H,,0)</f>
        <v>-1515</v>
      </c>
      <c r="I75" s="56">
        <f>_xlfn.XLOOKUP($A75,Inputs!$A:$A,Inputs!I:I,,0)</f>
        <v>-1443</v>
      </c>
      <c r="J75" s="56">
        <f>_xlfn.XLOOKUP($A75,Inputs!$A:$A,Inputs!J:J,,0)</f>
        <v>-1341</v>
      </c>
      <c r="K75" s="56">
        <f>_xlfn.XLOOKUP($A75,Inputs!$A:$A,Inputs!K:K,,0)</f>
        <v>-1228</v>
      </c>
      <c r="L75" s="56">
        <f>_xlfn.XLOOKUP($A75,Inputs!$A:$A,Inputs!L:L,,0)</f>
        <v>0</v>
      </c>
      <c r="M75" s="56">
        <f>_xlfn.XLOOKUP($A75,Inputs!$A:$A,Inputs!M:M,,0)</f>
        <v>0</v>
      </c>
      <c r="IA75" s="45"/>
    </row>
    <row r="76" spans="1:235">
      <c r="A76" s="119" t="s">
        <v>891</v>
      </c>
      <c r="B76" s="56">
        <f>_xlfn.XLOOKUP($A76,Inputs!$A:$A,Inputs!B:B,,0)</f>
        <v>-1381</v>
      </c>
      <c r="C76" s="56">
        <f>_xlfn.XLOOKUP($A76,Inputs!$A:$A,Inputs!C:C,,0)</f>
        <v>-2299</v>
      </c>
      <c r="D76" s="56">
        <f>_xlfn.XLOOKUP($A76,Inputs!$A:$A,Inputs!D:D,,0)</f>
        <v>-109</v>
      </c>
      <c r="E76" s="56">
        <f>_xlfn.XLOOKUP($A76,Inputs!$A:$A,Inputs!E:E,,0)</f>
        <v>-1282</v>
      </c>
      <c r="F76" s="56">
        <f>_xlfn.XLOOKUP($A76,Inputs!$A:$A,Inputs!F:F,,0)</f>
        <v>-2775</v>
      </c>
      <c r="G76" s="56">
        <f>_xlfn.XLOOKUP($A76,Inputs!$A:$A,Inputs!G:G,,0)</f>
        <v>-1507</v>
      </c>
      <c r="H76" s="56">
        <f>_xlfn.XLOOKUP($A76,Inputs!$A:$A,Inputs!H:H,,0)</f>
        <v>0</v>
      </c>
      <c r="I76" s="56">
        <f>_xlfn.XLOOKUP($A76,Inputs!$A:$A,Inputs!I:I,,0)</f>
        <v>0</v>
      </c>
      <c r="J76" s="56">
        <f>_xlfn.XLOOKUP($A76,Inputs!$A:$A,Inputs!J:J,,0)</f>
        <v>0</v>
      </c>
      <c r="K76" s="56">
        <f>_xlfn.XLOOKUP($A76,Inputs!$A:$A,Inputs!K:K,,0)</f>
        <v>0</v>
      </c>
      <c r="L76" s="56">
        <f>_xlfn.XLOOKUP($A76,Inputs!$A:$A,Inputs!L:L,,0)</f>
        <v>0</v>
      </c>
      <c r="M76" s="56">
        <f>_xlfn.XLOOKUP($A76,Inputs!$A:$A,Inputs!M:M,,0)</f>
        <v>0</v>
      </c>
    </row>
    <row r="77" spans="1:235">
      <c r="A77" s="123" t="s">
        <v>132</v>
      </c>
      <c r="B77" s="62">
        <f>_xlfn.XLOOKUP($A77,Inputs!$A:$A,Inputs!B:B,,0)</f>
        <v>-227</v>
      </c>
      <c r="C77" s="62">
        <f>_xlfn.XLOOKUP($A77,Inputs!$A:$A,Inputs!C:C,,0)</f>
        <v>239</v>
      </c>
      <c r="D77" s="62">
        <f>_xlfn.XLOOKUP($A77,Inputs!$A:$A,Inputs!D:D,,0)</f>
        <v>-285</v>
      </c>
      <c r="E77" s="62">
        <f>_xlfn.XLOOKUP($A77,Inputs!$A:$A,Inputs!E:E,,0)</f>
        <v>-120</v>
      </c>
      <c r="F77" s="62">
        <f>_xlfn.XLOOKUP($A77,Inputs!$A:$A,Inputs!F:F,,0)</f>
        <v>-26</v>
      </c>
      <c r="G77" s="62">
        <f>_xlfn.XLOOKUP($A77,Inputs!$A:$A,Inputs!G:G,,0)</f>
        <v>-39</v>
      </c>
      <c r="H77" s="62">
        <f>_xlfn.XLOOKUP($A77,Inputs!$A:$A,Inputs!H:H,,0)</f>
        <v>-14</v>
      </c>
      <c r="I77" s="62">
        <f>_xlfn.XLOOKUP($A77,Inputs!$A:$A,Inputs!I:I,,0)</f>
        <v>84</v>
      </c>
      <c r="J77" s="62">
        <f>_xlfn.XLOOKUP($A77,Inputs!$A:$A,Inputs!J:J,,0)</f>
        <v>-73</v>
      </c>
      <c r="K77" s="62">
        <f>_xlfn.XLOOKUP($A77,Inputs!$A:$A,Inputs!K:K,,0)</f>
        <v>-192</v>
      </c>
      <c r="L77" s="62">
        <f>_xlfn.XLOOKUP($A77,Inputs!$A:$A,Inputs!L:L,,0)</f>
        <v>0</v>
      </c>
      <c r="M77" s="62">
        <f>_xlfn.XLOOKUP($A77,Inputs!$A:$A,Inputs!M:M,,0)</f>
        <v>0</v>
      </c>
    </row>
    <row r="78" spans="1:235">
      <c r="A78" s="123" t="s">
        <v>910</v>
      </c>
      <c r="B78" s="62">
        <f>_xlfn.XLOOKUP($A78,Inputs!$A:$A,Inputs!B:B,,0)</f>
        <v>-808</v>
      </c>
      <c r="C78" s="62">
        <f>_xlfn.XLOOKUP($A78,Inputs!$A:$A,Inputs!C:C,,0)</f>
        <v>-426</v>
      </c>
      <c r="D78" s="62">
        <f>_xlfn.XLOOKUP($A78,Inputs!$A:$A,Inputs!D:D,,0)</f>
        <v>-516</v>
      </c>
      <c r="E78" s="62">
        <f>_xlfn.XLOOKUP($A78,Inputs!$A:$A,Inputs!E:E,,0)</f>
        <v>2432</v>
      </c>
      <c r="F78" s="62">
        <f>_xlfn.XLOOKUP($A78,Inputs!$A:$A,Inputs!F:F,,0)</f>
        <v>28</v>
      </c>
      <c r="G78" s="62">
        <f>_xlfn.XLOOKUP($A78,Inputs!$A:$A,Inputs!G:G,,0)</f>
        <v>-224</v>
      </c>
      <c r="H78" s="62">
        <f>_xlfn.XLOOKUP($A78,Inputs!$A:$A,Inputs!H:H,,0)</f>
        <v>108</v>
      </c>
      <c r="I78" s="62">
        <f>_xlfn.XLOOKUP($A78,Inputs!$A:$A,Inputs!I:I,,0)</f>
        <v>427</v>
      </c>
      <c r="J78" s="62">
        <f>_xlfn.XLOOKUP($A78,Inputs!$A:$A,Inputs!J:J,,0)</f>
        <v>-150</v>
      </c>
      <c r="K78" s="62">
        <f>_xlfn.XLOOKUP($A78,Inputs!$A:$A,Inputs!K:K,,0)</f>
        <v>-1113</v>
      </c>
      <c r="L78" s="62">
        <f>_xlfn.XLOOKUP($A78,Inputs!$A:$A,Inputs!L:L,,0)</f>
        <v>0</v>
      </c>
      <c r="M78" s="62">
        <f>_xlfn.XLOOKUP($A78,Inputs!$A:$A,Inputs!M:M,,0)</f>
        <v>0</v>
      </c>
    </row>
    <row r="79" spans="1:235">
      <c r="K79" s="45"/>
      <c r="L79" s="45"/>
      <c r="M79" s="45"/>
    </row>
    <row r="80" spans="1:235" ht="20.25">
      <c r="A80" s="1237" t="s">
        <v>911</v>
      </c>
      <c r="B80" s="1237"/>
      <c r="C80" s="1237"/>
      <c r="D80" s="1237"/>
      <c r="E80" s="1237"/>
      <c r="F80" s="1237"/>
      <c r="G80" s="1237"/>
      <c r="H80" s="1237"/>
      <c r="I80" s="1237"/>
      <c r="J80" s="1237"/>
      <c r="K80" s="1237"/>
      <c r="L80" s="1237"/>
      <c r="M80" s="1237"/>
    </row>
    <row r="81" spans="1:13">
      <c r="A81" s="118" t="s">
        <v>912</v>
      </c>
      <c r="B81" s="56" t="e">
        <f>_xlfn.XLOOKUP($A81,Inputs!$A:$A,Inputs!B:B,,0)</f>
        <v>#N/A</v>
      </c>
      <c r="C81" s="56" t="e">
        <f>_xlfn.XLOOKUP($A81,Inputs!$A:$A,Inputs!C:C,,0)</f>
        <v>#N/A</v>
      </c>
      <c r="D81" s="56" t="e">
        <f>_xlfn.XLOOKUP($A81,Inputs!$A:$A,Inputs!D:D,,0)</f>
        <v>#N/A</v>
      </c>
      <c r="E81" s="56" t="e">
        <f>_xlfn.XLOOKUP($A81,Inputs!$A:$A,Inputs!E:E,,0)</f>
        <v>#N/A</v>
      </c>
      <c r="F81" s="56" t="e">
        <f>_xlfn.XLOOKUP($A81,Inputs!$A:$A,Inputs!F:F,,0)</f>
        <v>#N/A</v>
      </c>
      <c r="G81" s="56" t="e">
        <f>_xlfn.XLOOKUP($A81,Inputs!$A:$A,Inputs!G:G,,0)</f>
        <v>#N/A</v>
      </c>
      <c r="H81" s="56" t="e">
        <f>_xlfn.XLOOKUP($A81,Inputs!$A:$A,Inputs!H:H,,0)</f>
        <v>#N/A</v>
      </c>
      <c r="I81" s="56" t="e">
        <f>_xlfn.XLOOKUP($A81,Inputs!$A:$A,Inputs!I:I,,0)</f>
        <v>#N/A</v>
      </c>
      <c r="J81" s="56" t="e">
        <f>_xlfn.XLOOKUP($A81,Inputs!$A:$A,Inputs!J:J,,0)</f>
        <v>#N/A</v>
      </c>
      <c r="K81" s="56" t="e">
        <f>_xlfn.XLOOKUP($A81,Inputs!$A:$A,Inputs!K:K,,0)</f>
        <v>#N/A</v>
      </c>
      <c r="L81" s="56" t="e">
        <f>_xlfn.XLOOKUP($A81,Inputs!$A:$A,Inputs!L:L,,0)</f>
        <v>#N/A</v>
      </c>
      <c r="M81" s="56" t="e">
        <f>_xlfn.XLOOKUP($A81,Inputs!$A:$A,Inputs!M:M,,0)</f>
        <v>#N/A</v>
      </c>
    </row>
    <row r="82" spans="1:13">
      <c r="A82" s="124" t="s">
        <v>913</v>
      </c>
      <c r="B82" s="56" t="e">
        <f>_xlfn.XLOOKUP($A82,Inputs!$A:$A,Inputs!B:B,,0)</f>
        <v>#N/A</v>
      </c>
      <c r="C82" s="56" t="e">
        <f>_xlfn.XLOOKUP($A82,Inputs!$A:$A,Inputs!C:C,,0)</f>
        <v>#N/A</v>
      </c>
      <c r="D82" s="56" t="e">
        <f>_xlfn.XLOOKUP($A82,Inputs!$A:$A,Inputs!D:D,,0)</f>
        <v>#N/A</v>
      </c>
      <c r="E82" s="56" t="e">
        <f>_xlfn.XLOOKUP($A82,Inputs!$A:$A,Inputs!E:E,,0)</f>
        <v>#N/A</v>
      </c>
      <c r="F82" s="56" t="e">
        <f>_xlfn.XLOOKUP($A82,Inputs!$A:$A,Inputs!F:F,,0)</f>
        <v>#N/A</v>
      </c>
      <c r="G82" s="56" t="e">
        <f>_xlfn.XLOOKUP($A82,Inputs!$A:$A,Inputs!G:G,,0)</f>
        <v>#N/A</v>
      </c>
      <c r="H82" s="56" t="e">
        <f>_xlfn.XLOOKUP($A82,Inputs!$A:$A,Inputs!H:H,,0)</f>
        <v>#N/A</v>
      </c>
      <c r="I82" s="56" t="e">
        <f>_xlfn.XLOOKUP($A82,Inputs!$A:$A,Inputs!I:I,,0)</f>
        <v>#N/A</v>
      </c>
      <c r="J82" s="56" t="e">
        <f>_xlfn.XLOOKUP($A82,Inputs!$A:$A,Inputs!J:J,,0)</f>
        <v>#N/A</v>
      </c>
      <c r="K82" s="56" t="e">
        <f>_xlfn.XLOOKUP($A82,Inputs!$A:$A,Inputs!K:K,,0)</f>
        <v>#N/A</v>
      </c>
      <c r="L82" s="56" t="e">
        <f>_xlfn.XLOOKUP($A82,Inputs!$A:$A,Inputs!L:L,,0)</f>
        <v>#N/A</v>
      </c>
      <c r="M82" s="56" t="e">
        <f>_xlfn.XLOOKUP($A82,Inputs!$A:$A,Inputs!M:M,,0)</f>
        <v>#N/A</v>
      </c>
    </row>
    <row r="83" spans="1:13">
      <c r="A83" s="118" t="s">
        <v>40</v>
      </c>
      <c r="B83" s="56">
        <f>_xlfn.XLOOKUP($A83,Inputs!$A:$A,Inputs!B:B,,0)</f>
        <v>0.98672566371681425</v>
      </c>
      <c r="C83" s="56" t="str">
        <f>_xlfn.XLOOKUP($A83,Inputs!$A:$A,Inputs!C:C,,0)</f>
        <v>Yahoo finance</v>
      </c>
      <c r="D83" s="56">
        <f>_xlfn.XLOOKUP($A83,Inputs!$A:$A,Inputs!D:D,,0)</f>
        <v>0</v>
      </c>
      <c r="E83" s="56">
        <f>_xlfn.XLOOKUP($A83,Inputs!$A:$A,Inputs!E:E,,0)</f>
        <v>0</v>
      </c>
      <c r="F83" s="56">
        <f>_xlfn.XLOOKUP($A83,Inputs!$A:$A,Inputs!F:F,,0)</f>
        <v>0</v>
      </c>
      <c r="G83" s="56">
        <f>_xlfn.XLOOKUP($A83,Inputs!$A:$A,Inputs!G:G,,0)</f>
        <v>0</v>
      </c>
      <c r="H83" s="56">
        <f>_xlfn.XLOOKUP($A83,Inputs!$A:$A,Inputs!H:H,,0)</f>
        <v>0</v>
      </c>
      <c r="I83" s="56">
        <f>_xlfn.XLOOKUP($A83,Inputs!$A:$A,Inputs!I:I,,0)</f>
        <v>0</v>
      </c>
      <c r="J83" s="56">
        <f>_xlfn.XLOOKUP($A83,Inputs!$A:$A,Inputs!J:J,,0)</f>
        <v>0</v>
      </c>
      <c r="K83" s="56">
        <f>_xlfn.XLOOKUP($A83,Inputs!$A:$A,Inputs!K:K,,0)</f>
        <v>0</v>
      </c>
      <c r="L83" s="56">
        <f>_xlfn.XLOOKUP($A83,Inputs!$A:$A,Inputs!L:L,,0)</f>
        <v>0</v>
      </c>
      <c r="M83" s="56">
        <f>_xlfn.XLOOKUP($A83,Inputs!$A:$A,Inputs!M:M,,0)</f>
        <v>0</v>
      </c>
    </row>
    <row r="84" spans="1:13">
      <c r="A84" s="124" t="s">
        <v>44</v>
      </c>
      <c r="B84" s="56">
        <f>_xlfn.XLOOKUP($A84,Inputs!$A:$A,Inputs!B:B,,0)</f>
        <v>1.6000000000000001E-3</v>
      </c>
      <c r="C84" s="56" t="str">
        <f>_xlfn.XLOOKUP($A84,Inputs!$A:$A,Inputs!C:C,,0)</f>
        <v>Yahoo finance</v>
      </c>
      <c r="D84" s="56">
        <f>_xlfn.XLOOKUP($A84,Inputs!$A:$A,Inputs!D:D,,0)</f>
        <v>0</v>
      </c>
      <c r="E84" s="56">
        <f>_xlfn.XLOOKUP($A84,Inputs!$A:$A,Inputs!E:E,,0)</f>
        <v>0</v>
      </c>
      <c r="F84" s="56">
        <f>_xlfn.XLOOKUP($A84,Inputs!$A:$A,Inputs!F:F,,0)</f>
        <v>0</v>
      </c>
      <c r="G84" s="56">
        <f>_xlfn.XLOOKUP($A84,Inputs!$A:$A,Inputs!G:G,,0)</f>
        <v>0</v>
      </c>
      <c r="H84" s="56">
        <f>_xlfn.XLOOKUP($A84,Inputs!$A:$A,Inputs!H:H,,0)</f>
        <v>0</v>
      </c>
      <c r="I84" s="56">
        <f>_xlfn.XLOOKUP($A84,Inputs!$A:$A,Inputs!I:I,,0)</f>
        <v>0</v>
      </c>
      <c r="J84" s="56">
        <f>_xlfn.XLOOKUP($A84,Inputs!$A:$A,Inputs!J:J,,0)</f>
        <v>0</v>
      </c>
      <c r="K84" s="56">
        <f>_xlfn.XLOOKUP($A84,Inputs!$A:$A,Inputs!K:K,,0)</f>
        <v>0</v>
      </c>
      <c r="L84" s="56">
        <f>_xlfn.XLOOKUP($A84,Inputs!$A:$A,Inputs!L:L,,0)</f>
        <v>0</v>
      </c>
      <c r="M84" s="56">
        <f>_xlfn.XLOOKUP($A84,Inputs!$A:$A,Inputs!M:M,,0)</f>
        <v>0</v>
      </c>
    </row>
    <row r="85" spans="1:13">
      <c r="A85" s="118" t="s">
        <v>914</v>
      </c>
      <c r="B85" s="56" t="str">
        <f>_xlfn.XLOOKUP($A85,Inputs!$A:$A,Inputs!B:B,,0)</f>
        <v>A-</v>
      </c>
      <c r="C85" s="56" t="str">
        <f>_xlfn.XLOOKUP($A85,Inputs!$A:$A,Inputs!C:C,,0)</f>
        <v>10-K</v>
      </c>
      <c r="D85" s="56">
        <f>_xlfn.XLOOKUP($A85,Inputs!$A:$A,Inputs!D:D,,0)</f>
        <v>0</v>
      </c>
      <c r="E85" s="56">
        <f>_xlfn.XLOOKUP($A85,Inputs!$A:$A,Inputs!E:E,,0)</f>
        <v>0</v>
      </c>
      <c r="F85" s="56">
        <f>_xlfn.XLOOKUP($A85,Inputs!$A:$A,Inputs!F:F,,0)</f>
        <v>0</v>
      </c>
      <c r="G85" s="56">
        <f>_xlfn.XLOOKUP($A85,Inputs!$A:$A,Inputs!G:G,,0)</f>
        <v>0</v>
      </c>
      <c r="H85" s="56">
        <f>_xlfn.XLOOKUP($A85,Inputs!$A:$A,Inputs!H:H,,0)</f>
        <v>0</v>
      </c>
      <c r="I85" s="56">
        <f>_xlfn.XLOOKUP($A85,Inputs!$A:$A,Inputs!I:I,,0)</f>
        <v>0</v>
      </c>
      <c r="J85" s="56">
        <f>_xlfn.XLOOKUP($A85,Inputs!$A:$A,Inputs!J:J,,0)</f>
        <v>0</v>
      </c>
      <c r="K85" s="56">
        <f>_xlfn.XLOOKUP($A85,Inputs!$A:$A,Inputs!K:K,,0)</f>
        <v>0</v>
      </c>
      <c r="L85" s="56">
        <f>_xlfn.XLOOKUP($A85,Inputs!$A:$A,Inputs!L:L,,0)</f>
        <v>0</v>
      </c>
      <c r="M85" s="56">
        <f>_xlfn.XLOOKUP($A85,Inputs!$A:$A,Inputs!M:M,,0)</f>
        <v>0</v>
      </c>
    </row>
    <row r="86" spans="1:13">
      <c r="A86" s="118" t="s">
        <v>915</v>
      </c>
      <c r="B86" s="56" t="e">
        <f>_xlfn.XLOOKUP($A86,Inputs!$A:$A,Inputs!B:B,,0)</f>
        <v>#N/A</v>
      </c>
      <c r="C86" s="56" t="e">
        <f>_xlfn.XLOOKUP($A86,Inputs!$A:$A,Inputs!C:C,,0)</f>
        <v>#N/A</v>
      </c>
      <c r="D86" s="56" t="e">
        <f>_xlfn.XLOOKUP($A86,Inputs!$A:$A,Inputs!D:D,,0)</f>
        <v>#N/A</v>
      </c>
      <c r="E86" s="56" t="e">
        <f>_xlfn.XLOOKUP($A86,Inputs!$A:$A,Inputs!E:E,,0)</f>
        <v>#N/A</v>
      </c>
      <c r="F86" s="56" t="e">
        <f>_xlfn.XLOOKUP($A86,Inputs!$A:$A,Inputs!F:F,,0)</f>
        <v>#N/A</v>
      </c>
      <c r="G86" s="56" t="e">
        <f>_xlfn.XLOOKUP($A86,Inputs!$A:$A,Inputs!G:G,,0)</f>
        <v>#N/A</v>
      </c>
      <c r="H86" s="56" t="e">
        <f>_xlfn.XLOOKUP($A86,Inputs!$A:$A,Inputs!H:H,,0)</f>
        <v>#N/A</v>
      </c>
      <c r="I86" s="56" t="e">
        <f>_xlfn.XLOOKUP($A86,Inputs!$A:$A,Inputs!I:I,,0)</f>
        <v>#N/A</v>
      </c>
      <c r="J86" s="56" t="e">
        <f>_xlfn.XLOOKUP($A86,Inputs!$A:$A,Inputs!J:J,,0)</f>
        <v>#N/A</v>
      </c>
      <c r="K86" s="56" t="e">
        <f>_xlfn.XLOOKUP($A86,Inputs!$A:$A,Inputs!K:K,,0)</f>
        <v>#N/A</v>
      </c>
      <c r="L86" s="56" t="e">
        <f>_xlfn.XLOOKUP($A86,Inputs!$A:$A,Inputs!L:L,,0)</f>
        <v>#N/A</v>
      </c>
      <c r="M86" s="56" t="e">
        <f>_xlfn.XLOOKUP($A86,Inputs!$A:$A,Inputs!M:M,,0)</f>
        <v>#N/A</v>
      </c>
    </row>
    <row r="87" spans="1:13">
      <c r="A87" s="124" t="s">
        <v>916</v>
      </c>
      <c r="B87" s="56">
        <f>_xlfn.XLOOKUP($A87,Inputs!$A:$A,Inputs!B:B,,0)</f>
        <v>4.1349999999999998</v>
      </c>
      <c r="C87" s="56" t="str">
        <f>_xlfn.XLOOKUP($A87,Inputs!$A:$A,Inputs!C:C,,0)</f>
        <v>Yahoo Finance</v>
      </c>
      <c r="D87" s="56">
        <f>_xlfn.XLOOKUP($A87,Inputs!$A:$A,Inputs!D:D,,0)</f>
        <v>0</v>
      </c>
      <c r="E87" s="56">
        <f>_xlfn.XLOOKUP($A87,Inputs!$A:$A,Inputs!E:E,,0)</f>
        <v>0</v>
      </c>
      <c r="F87" s="56">
        <f>_xlfn.XLOOKUP($A87,Inputs!$A:$A,Inputs!F:F,,0)</f>
        <v>0</v>
      </c>
      <c r="G87" s="56">
        <f>_xlfn.XLOOKUP($A87,Inputs!$A:$A,Inputs!G:G,,0)</f>
        <v>0</v>
      </c>
      <c r="H87" s="56">
        <f>_xlfn.XLOOKUP($A87,Inputs!$A:$A,Inputs!H:H,,0)</f>
        <v>0</v>
      </c>
      <c r="I87" s="56">
        <f>_xlfn.XLOOKUP($A87,Inputs!$A:$A,Inputs!I:I,,0)</f>
        <v>0</v>
      </c>
      <c r="J87" s="56">
        <f>_xlfn.XLOOKUP($A87,Inputs!$A:$A,Inputs!J:J,,0)</f>
        <v>0</v>
      </c>
      <c r="K87" s="56">
        <f>_xlfn.XLOOKUP($A87,Inputs!$A:$A,Inputs!K:K,,0)</f>
        <v>0</v>
      </c>
      <c r="L87" s="56">
        <f>_xlfn.XLOOKUP($A87,Inputs!$A:$A,Inputs!L:L,,0)</f>
        <v>0</v>
      </c>
      <c r="M87" s="56">
        <f>_xlfn.XLOOKUP($A87,Inputs!$A:$A,Inputs!M:M,,0)</f>
        <v>0</v>
      </c>
    </row>
    <row r="88" spans="1:13">
      <c r="B88" s="47"/>
      <c r="C88" s="47"/>
      <c r="D88" s="47"/>
      <c r="E88" s="47"/>
      <c r="F88" s="47"/>
      <c r="G88" s="47"/>
      <c r="H88" s="47"/>
      <c r="I88" s="47"/>
      <c r="J88" s="47"/>
      <c r="K88" s="47"/>
      <c r="L88" s="47"/>
      <c r="M88" s="47"/>
    </row>
    <row r="89" spans="1:13">
      <c r="B89" s="46">
        <v>2020</v>
      </c>
      <c r="C89" s="46">
        <v>2021</v>
      </c>
      <c r="D89" s="46">
        <v>2022</v>
      </c>
      <c r="G89" s="46"/>
      <c r="H89" s="47"/>
      <c r="I89" s="47"/>
      <c r="J89" s="47"/>
      <c r="K89" s="47"/>
      <c r="L89" s="47"/>
      <c r="M89" s="47"/>
    </row>
    <row r="90" spans="1:13">
      <c r="A90" s="118" t="s">
        <v>917</v>
      </c>
      <c r="B90" s="60">
        <v>0</v>
      </c>
      <c r="C90" s="60">
        <v>0</v>
      </c>
      <c r="D90" s="61">
        <v>0</v>
      </c>
      <c r="G90" s="47"/>
      <c r="H90" s="47"/>
      <c r="I90" s="47"/>
      <c r="J90" s="47"/>
      <c r="K90" s="47"/>
      <c r="L90" s="47"/>
      <c r="M90" s="47"/>
    </row>
    <row r="91" spans="1:13">
      <c r="A91" s="124" t="s">
        <v>65</v>
      </c>
      <c r="B91" s="60">
        <v>0</v>
      </c>
      <c r="C91" s="60">
        <v>0</v>
      </c>
      <c r="D91" s="61">
        <v>0</v>
      </c>
    </row>
    <row r="93" spans="1:13">
      <c r="A93" s="13" t="s">
        <v>918</v>
      </c>
      <c r="B93" s="46" t="s">
        <v>919</v>
      </c>
      <c r="C93" s="46" t="s">
        <v>920</v>
      </c>
      <c r="D93" s="46" t="s">
        <v>921</v>
      </c>
      <c r="E93" s="46" t="s">
        <v>922</v>
      </c>
      <c r="G93" s="46"/>
    </row>
    <row r="94" spans="1:13">
      <c r="B94" s="63" t="e">
        <f>VLOOKUP($A94,Inputs!$A$5:$M$98,MATCH(B$4,Inputs!$B$5:$M$5,0)+1,FALSE)</f>
        <v>#N/A</v>
      </c>
      <c r="C94" s="63" t="e">
        <f>VLOOKUP($A94,Inputs!$A$5:$M$98,MATCH(C$4,Inputs!$B$5:$M$5,0)+1,FALSE)</f>
        <v>#N/A</v>
      </c>
      <c r="D94" s="63" t="e">
        <f>VLOOKUP($A94,Inputs!$A$5:$M$98,MATCH(D$4,Inputs!$B$5:$M$5,0)+1,FALSE)</f>
        <v>#N/A</v>
      </c>
      <c r="E94" s="63" t="e">
        <f>VLOOKUP($A94,Inputs!$A$5:$M$98,MATCH(E$4,Inputs!$B$5:$M$5,0)+1,FALSE)</f>
        <v>#N/A</v>
      </c>
    </row>
    <row r="95" spans="1:13">
      <c r="B95" s="64"/>
      <c r="C95" s="64"/>
      <c r="D95" s="2"/>
      <c r="E95" s="64"/>
      <c r="F95" s="2"/>
    </row>
    <row r="96" spans="1:13">
      <c r="B96" s="64"/>
      <c r="C96" s="64"/>
      <c r="D96" s="2"/>
      <c r="E96" s="64"/>
      <c r="F96" s="2"/>
    </row>
    <row r="97" spans="2:6">
      <c r="B97" s="64"/>
      <c r="C97" s="64"/>
      <c r="D97" s="2"/>
      <c r="E97" s="64"/>
      <c r="F97" s="2"/>
    </row>
    <row r="98" spans="2:6">
      <c r="B98" s="64"/>
      <c r="C98" s="64"/>
      <c r="D98" s="2"/>
      <c r="E98" s="64"/>
      <c r="F98" s="2"/>
    </row>
    <row r="99" spans="2:6">
      <c r="B99" s="64"/>
      <c r="C99" s="64"/>
      <c r="D99" s="2"/>
      <c r="E99" s="64"/>
      <c r="F99" s="2"/>
    </row>
    <row r="100" spans="2:6">
      <c r="B100" s="64"/>
      <c r="C100" s="64"/>
      <c r="D100" s="2"/>
      <c r="E100" s="64"/>
      <c r="F100" s="2"/>
    </row>
    <row r="101" spans="2:6">
      <c r="B101" s="64"/>
      <c r="C101" s="64"/>
      <c r="D101" s="2"/>
      <c r="E101" s="64"/>
      <c r="F101" s="2"/>
    </row>
    <row r="102" spans="2:6">
      <c r="B102" s="64"/>
      <c r="C102" s="64"/>
      <c r="D102" s="2"/>
      <c r="E102" s="64"/>
      <c r="F102" s="2"/>
    </row>
  </sheetData>
  <mergeCells count="7">
    <mergeCell ref="A80:M80"/>
    <mergeCell ref="A1:M1"/>
    <mergeCell ref="A2:M2"/>
    <mergeCell ref="A3:M3"/>
    <mergeCell ref="A38:M38"/>
    <mergeCell ref="A47:M47"/>
    <mergeCell ref="A69:M69"/>
  </mergeCells>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zoomScale="77" zoomScaleNormal="100" workbookViewId="0">
      <selection activeCell="H10" sqref="H10"/>
    </sheetView>
  </sheetViews>
  <sheetFormatPr defaultColWidth="10.42578125" defaultRowHeight="14.25"/>
  <cols>
    <col min="1" max="1" width="40.140625" style="22" bestFit="1" customWidth="1"/>
    <col min="2" max="2" width="15.7109375" style="22" bestFit="1" customWidth="1"/>
    <col min="3" max="5" width="13.42578125" style="22" customWidth="1"/>
    <col min="6" max="6" width="13.140625" style="22" customWidth="1"/>
    <col min="7" max="9" width="13.85546875" style="22" customWidth="1"/>
    <col min="10" max="10" width="14.140625" style="22" customWidth="1"/>
    <col min="11" max="11" width="15.140625" style="24" customWidth="1"/>
    <col min="12" max="12" width="17" style="24" customWidth="1"/>
    <col min="13" max="13" width="14.140625" style="22" customWidth="1"/>
    <col min="14" max="14" width="21.42578125" style="22" bestFit="1" customWidth="1"/>
    <col min="15" max="15" width="32.140625" style="22" customWidth="1"/>
    <col min="16" max="16" width="11.42578125" style="22" customWidth="1"/>
    <col min="17" max="23" width="0" style="22" hidden="1" customWidth="1"/>
    <col min="24" max="24" width="15.42578125" style="22" bestFit="1" customWidth="1"/>
    <col min="25" max="25" width="17.42578125" style="22" bestFit="1" customWidth="1"/>
    <col min="26" max="33" width="0" style="22" hidden="1" customWidth="1"/>
    <col min="34" max="16384" width="10.42578125" style="22"/>
  </cols>
  <sheetData>
    <row r="1" spans="1:33" ht="15">
      <c r="B1" s="51"/>
      <c r="C1" s="51"/>
      <c r="D1" s="51"/>
      <c r="E1" s="51"/>
      <c r="F1" s="51"/>
      <c r="G1" s="51"/>
      <c r="H1" s="51"/>
      <c r="I1" s="51"/>
      <c r="J1" s="51"/>
      <c r="K1" s="51"/>
      <c r="L1" s="51"/>
      <c r="M1" s="51"/>
      <c r="N1"/>
      <c r="O1"/>
    </row>
    <row r="2" spans="1:33">
      <c r="G2" s="1242" t="s">
        <v>923</v>
      </c>
      <c r="H2" s="1242"/>
      <c r="I2" s="1242"/>
      <c r="J2" s="1242"/>
      <c r="K2" s="25"/>
      <c r="L2" s="25"/>
      <c r="M2" s="25"/>
      <c r="N2" s="25"/>
      <c r="O2" s="25"/>
    </row>
    <row r="3" spans="1:33">
      <c r="G3" s="22" t="s">
        <v>924</v>
      </c>
      <c r="H3" s="22" t="e" vm="1">
        <v>#VALUE!</v>
      </c>
      <c r="M3"/>
      <c r="N3"/>
      <c r="O3"/>
    </row>
    <row r="4" spans="1:33">
      <c r="D4" s="1242" t="s">
        <v>925</v>
      </c>
      <c r="E4" s="1242"/>
      <c r="F4" s="1242"/>
      <c r="G4" s="1242"/>
      <c r="H4" s="1242"/>
      <c r="I4" s="1242"/>
      <c r="J4" s="1242"/>
      <c r="K4" s="1242"/>
      <c r="L4" s="1242"/>
      <c r="M4" s="1242"/>
      <c r="N4"/>
      <c r="O4"/>
    </row>
    <row r="5" spans="1:33" ht="15">
      <c r="A5" s="51" t="s">
        <v>926</v>
      </c>
      <c r="B5" s="368">
        <v>2023</v>
      </c>
      <c r="C5" s="368">
        <f>B5-1</f>
        <v>2022</v>
      </c>
      <c r="D5" s="368">
        <f t="shared" ref="D5:M5" si="0">C5-1</f>
        <v>2021</v>
      </c>
      <c r="E5" s="368">
        <f t="shared" si="0"/>
        <v>2020</v>
      </c>
      <c r="F5" s="368">
        <f t="shared" si="0"/>
        <v>2019</v>
      </c>
      <c r="G5" s="368">
        <f t="shared" si="0"/>
        <v>2018</v>
      </c>
      <c r="H5" s="368">
        <f t="shared" si="0"/>
        <v>2017</v>
      </c>
      <c r="I5" s="368">
        <f t="shared" si="0"/>
        <v>2016</v>
      </c>
      <c r="J5" s="368">
        <f t="shared" si="0"/>
        <v>2015</v>
      </c>
      <c r="K5" s="368">
        <f t="shared" si="0"/>
        <v>2014</v>
      </c>
      <c r="L5" s="368">
        <f t="shared" si="0"/>
        <v>2013</v>
      </c>
      <c r="M5" s="368">
        <f t="shared" si="0"/>
        <v>2012</v>
      </c>
      <c r="N5"/>
      <c r="O5"/>
      <c r="Q5" s="9" t="s">
        <v>927</v>
      </c>
      <c r="R5" s="1243" t="s">
        <v>928</v>
      </c>
      <c r="S5" s="1243"/>
      <c r="T5" s="22" t="s">
        <v>929</v>
      </c>
      <c r="Z5" s="51">
        <v>2016</v>
      </c>
      <c r="AA5" s="51">
        <v>2015</v>
      </c>
      <c r="AB5" s="51">
        <v>2014</v>
      </c>
      <c r="AC5" s="51">
        <v>2013</v>
      </c>
      <c r="AD5" s="51">
        <v>2012</v>
      </c>
      <c r="AE5" s="51">
        <v>2011</v>
      </c>
      <c r="AF5" s="51">
        <v>2010</v>
      </c>
      <c r="AG5" s="51">
        <v>2009</v>
      </c>
    </row>
    <row r="6" spans="1:33">
      <c r="A6" s="26" t="s">
        <v>118</v>
      </c>
      <c r="B6" s="275">
        <v>17113</v>
      </c>
      <c r="C6" s="275">
        <v>15452</v>
      </c>
      <c r="D6" s="275">
        <v>12733</v>
      </c>
      <c r="E6" s="275">
        <v>11752</v>
      </c>
      <c r="F6" s="275">
        <v>12867</v>
      </c>
      <c r="G6" s="275">
        <v>12163</v>
      </c>
      <c r="H6" s="275">
        <v>12050</v>
      </c>
      <c r="I6" s="275">
        <v>10485</v>
      </c>
      <c r="J6" s="275">
        <v>10813</v>
      </c>
      <c r="K6" s="275">
        <v>10258</v>
      </c>
      <c r="L6" s="275"/>
      <c r="M6" s="275"/>
      <c r="N6" s="28" t="s">
        <v>930</v>
      </c>
      <c r="O6" t="s">
        <v>931</v>
      </c>
      <c r="P6"/>
      <c r="Q6" s="22" t="s">
        <v>932</v>
      </c>
      <c r="R6" s="22" t="s">
        <v>932</v>
      </c>
      <c r="X6" s="29"/>
      <c r="Y6" s="29"/>
      <c r="Z6" s="27">
        <v>38537</v>
      </c>
      <c r="AA6" s="27">
        <v>47011</v>
      </c>
      <c r="AB6" s="27">
        <v>55184</v>
      </c>
      <c r="AC6" s="27">
        <v>55656</v>
      </c>
      <c r="AD6" s="27">
        <v>65875</v>
      </c>
      <c r="AE6" s="27">
        <v>60138</v>
      </c>
      <c r="AF6" s="27">
        <v>42588</v>
      </c>
      <c r="AG6" s="27">
        <v>32396</v>
      </c>
    </row>
    <row r="7" spans="1:33">
      <c r="A7" s="26" t="s">
        <v>882</v>
      </c>
      <c r="B7" s="275">
        <v>10214</v>
      </c>
      <c r="C7" s="275">
        <v>9479</v>
      </c>
      <c r="D7" s="275">
        <v>7695</v>
      </c>
      <c r="E7" s="275">
        <v>7098</v>
      </c>
      <c r="F7" s="275">
        <v>8001</v>
      </c>
      <c r="G7" s="275">
        <v>7529</v>
      </c>
      <c r="H7" s="275">
        <v>7370</v>
      </c>
      <c r="I7" s="275">
        <v>6234</v>
      </c>
      <c r="J7" s="275">
        <v>6203</v>
      </c>
      <c r="K7" s="275">
        <v>6229</v>
      </c>
      <c r="L7" s="275"/>
      <c r="M7" s="275"/>
      <c r="N7" s="28" t="s">
        <v>930</v>
      </c>
      <c r="O7" t="str">
        <f>+A7</f>
        <v>Gross Profit</v>
      </c>
      <c r="P7"/>
      <c r="Q7" s="22" t="s">
        <v>932</v>
      </c>
      <c r="R7" s="22" t="s">
        <v>933</v>
      </c>
      <c r="Z7" s="31">
        <f>Z6-28044</f>
        <v>10493</v>
      </c>
      <c r="AA7" s="31">
        <f>AA6-33546</f>
        <v>13465</v>
      </c>
      <c r="AB7" s="31">
        <f>AB6-40718</f>
        <v>14466</v>
      </c>
      <c r="AC7" s="31">
        <f>AC6-40727</f>
        <v>14929</v>
      </c>
      <c r="AD7" s="32">
        <f>+AD6-47055</f>
        <v>18820</v>
      </c>
      <c r="AE7" s="32">
        <f>+AE6-43578</f>
        <v>16560</v>
      </c>
      <c r="AF7" s="32">
        <f>+AF6-30367</f>
        <v>12221</v>
      </c>
      <c r="AG7" s="32">
        <f>+AG6-23886</f>
        <v>8510</v>
      </c>
    </row>
    <row r="8" spans="1:33">
      <c r="A8" s="26" t="s">
        <v>323</v>
      </c>
      <c r="B8" s="275">
        <v>4632</v>
      </c>
      <c r="C8" s="275">
        <v>4409</v>
      </c>
      <c r="D8" s="275">
        <v>3731</v>
      </c>
      <c r="E8" s="275">
        <v>2137</v>
      </c>
      <c r="F8" s="275">
        <v>4042</v>
      </c>
      <c r="G8" s="275">
        <v>3691</v>
      </c>
      <c r="H8" s="275">
        <v>3559</v>
      </c>
      <c r="I8" s="275">
        <v>2841</v>
      </c>
      <c r="J8" s="275">
        <v>2797</v>
      </c>
      <c r="K8" s="275">
        <v>2707</v>
      </c>
      <c r="L8" s="275"/>
      <c r="M8" s="275"/>
      <c r="N8" s="28" t="s">
        <v>930</v>
      </c>
      <c r="O8" t="s">
        <v>323</v>
      </c>
      <c r="P8"/>
      <c r="Q8" s="22" t="s">
        <v>932</v>
      </c>
      <c r="R8" s="33" t="s">
        <v>934</v>
      </c>
      <c r="Z8" s="31">
        <f>Z7-4383</f>
        <v>6110</v>
      </c>
      <c r="AA8" s="31">
        <f>AA7-4951</f>
        <v>8514</v>
      </c>
      <c r="AB8" s="31">
        <f>AB7-6529</f>
        <v>7937</v>
      </c>
      <c r="AC8" s="31">
        <f>AC7-5547</f>
        <v>9382</v>
      </c>
      <c r="AD8" s="32">
        <f>AD7-5919-2466-797-580-485</f>
        <v>8573</v>
      </c>
      <c r="AE8" s="32">
        <f>+AE7-5203-2297-826-1081</f>
        <v>7153</v>
      </c>
      <c r="AF8" s="32">
        <f>+AF7-4248-1905-914-1191</f>
        <v>3963</v>
      </c>
      <c r="AG8" s="32">
        <f>+AG7-3645-1421-1045-1822</f>
        <v>577</v>
      </c>
    </row>
    <row r="9" spans="1:33">
      <c r="A9" s="26" t="s">
        <v>886</v>
      </c>
      <c r="B9" s="275">
        <v>698</v>
      </c>
      <c r="C9" s="275">
        <v>400</v>
      </c>
      <c r="D9" s="275">
        <v>348</v>
      </c>
      <c r="E9" s="275">
        <v>259</v>
      </c>
      <c r="F9" s="275">
        <v>456</v>
      </c>
      <c r="G9" s="275">
        <v>309</v>
      </c>
      <c r="H9" s="275">
        <v>274</v>
      </c>
      <c r="I9" s="275">
        <v>344</v>
      </c>
      <c r="J9" s="275">
        <v>548</v>
      </c>
      <c r="K9" s="275">
        <v>309</v>
      </c>
      <c r="L9" s="275"/>
      <c r="M9" s="275"/>
      <c r="N9" s="28" t="s">
        <v>930</v>
      </c>
      <c r="O9" t="s">
        <v>935</v>
      </c>
      <c r="P9"/>
      <c r="Q9" s="22" t="s">
        <v>932</v>
      </c>
      <c r="R9" s="22" t="s">
        <v>936</v>
      </c>
      <c r="S9" s="22" t="s">
        <v>937</v>
      </c>
      <c r="T9" s="22" t="s">
        <v>938</v>
      </c>
      <c r="U9" s="22" t="s">
        <v>939</v>
      </c>
      <c r="V9" s="22" t="s">
        <v>940</v>
      </c>
      <c r="Z9" s="31">
        <f>1853+596+595+1904+6+8</f>
        <v>4962</v>
      </c>
      <c r="AA9" s="31">
        <f>2119+587+2023+11</f>
        <v>4740</v>
      </c>
      <c r="AB9" s="31">
        <f>2380+624+1619-8+16</f>
        <v>4631</v>
      </c>
      <c r="AC9" s="31">
        <f>2046+727+981+6+14</f>
        <v>3774</v>
      </c>
      <c r="AD9" s="32">
        <f>-14+41</f>
        <v>27</v>
      </c>
      <c r="AE9" s="31">
        <v>53</v>
      </c>
      <c r="AF9" s="31">
        <f>58+24</f>
        <v>82</v>
      </c>
      <c r="AG9" s="31">
        <f>12-68</f>
        <v>-56</v>
      </c>
    </row>
    <row r="10" spans="1:33">
      <c r="A10" s="26" t="s">
        <v>324</v>
      </c>
      <c r="B10" s="275">
        <f>340-934</f>
        <v>-594</v>
      </c>
      <c r="C10" s="275">
        <f>497-919</f>
        <v>-422</v>
      </c>
      <c r="D10" s="275">
        <f>278-651</f>
        <v>-373</v>
      </c>
      <c r="E10" s="275">
        <f>-719+366</f>
        <v>-353</v>
      </c>
      <c r="F10" s="275">
        <f>442-705</f>
        <v>-263</v>
      </c>
      <c r="G10" s="275">
        <f>243-503</f>
        <v>-260</v>
      </c>
      <c r="H10" s="275">
        <f>235-564</f>
        <v>-329</v>
      </c>
      <c r="I10" s="275">
        <f>262-589</f>
        <v>-327</v>
      </c>
      <c r="J10" s="275">
        <f>244-656</f>
        <v>-412</v>
      </c>
      <c r="K10" s="275">
        <f>241-629</f>
        <v>-388</v>
      </c>
      <c r="L10" s="275"/>
      <c r="M10" s="275"/>
      <c r="N10" s="28" t="s">
        <v>930</v>
      </c>
      <c r="O10" t="s">
        <v>941</v>
      </c>
      <c r="P10"/>
      <c r="Q10" s="22" t="s">
        <v>932</v>
      </c>
      <c r="R10" s="22" t="s">
        <v>942</v>
      </c>
      <c r="Z10" s="31">
        <f>505+518</f>
        <v>1023</v>
      </c>
      <c r="AA10" s="31">
        <f>507-161</f>
        <v>346</v>
      </c>
      <c r="AB10" s="31">
        <f>484-322</f>
        <v>162</v>
      </c>
      <c r="AC10" s="31">
        <f>465+35</f>
        <v>500</v>
      </c>
      <c r="AD10" s="32">
        <f>467-130</f>
        <v>337</v>
      </c>
      <c r="AE10" s="31">
        <f>396+32</f>
        <v>428</v>
      </c>
      <c r="AF10" s="31">
        <f>343-130</f>
        <v>213</v>
      </c>
      <c r="AG10" s="31">
        <f>389-381</f>
        <v>8</v>
      </c>
    </row>
    <row r="11" spans="1:33">
      <c r="A11" s="26" t="s">
        <v>325</v>
      </c>
      <c r="B11" s="275">
        <v>-970</v>
      </c>
      <c r="C11" s="275">
        <v>-1049</v>
      </c>
      <c r="D11" s="275">
        <v>-907</v>
      </c>
      <c r="E11" s="275">
        <v>-589</v>
      </c>
      <c r="F11" s="275">
        <v>-898</v>
      </c>
      <c r="G11" s="275">
        <v>-596</v>
      </c>
      <c r="H11" s="275">
        <v>-732</v>
      </c>
      <c r="I11" s="275">
        <v>-496</v>
      </c>
      <c r="J11" s="275">
        <v>-466</v>
      </c>
      <c r="K11" s="275">
        <v>-447</v>
      </c>
      <c r="L11" s="275"/>
      <c r="M11" s="275"/>
      <c r="N11" s="28" t="s">
        <v>930</v>
      </c>
      <c r="O11" t="s">
        <v>325</v>
      </c>
      <c r="P11"/>
      <c r="Q11" s="22" t="s">
        <v>932</v>
      </c>
      <c r="R11" s="22" t="s">
        <v>943</v>
      </c>
      <c r="Z11" s="27">
        <v>192</v>
      </c>
      <c r="AA11" s="27">
        <v>916</v>
      </c>
      <c r="AB11" s="27">
        <v>692</v>
      </c>
      <c r="AC11" s="27">
        <v>1319</v>
      </c>
      <c r="AD11" s="30">
        <f>2528</f>
        <v>2528</v>
      </c>
      <c r="AE11" s="27">
        <f>1720</f>
        <v>1720</v>
      </c>
      <c r="AF11" s="27">
        <f>968</f>
        <v>968</v>
      </c>
      <c r="AG11" s="27">
        <f>-270</f>
        <v>-270</v>
      </c>
    </row>
    <row r="12" spans="1:33">
      <c r="A12" s="26" t="s">
        <v>60</v>
      </c>
      <c r="B12" s="275">
        <v>3766</v>
      </c>
      <c r="C12" s="275">
        <v>3338</v>
      </c>
      <c r="D12" s="275">
        <v>2799</v>
      </c>
      <c r="E12" s="275">
        <v>1454</v>
      </c>
      <c r="F12" s="275">
        <v>3337</v>
      </c>
      <c r="G12" s="275">
        <v>3144</v>
      </c>
      <c r="H12" s="275">
        <v>2772</v>
      </c>
      <c r="I12" s="275">
        <v>2362</v>
      </c>
      <c r="J12" s="275">
        <v>2467</v>
      </c>
      <c r="K12" s="275">
        <v>2181</v>
      </c>
      <c r="L12" s="275"/>
      <c r="M12" s="275"/>
      <c r="N12" s="28" t="s">
        <v>930</v>
      </c>
      <c r="O12" t="s">
        <v>60</v>
      </c>
      <c r="P12"/>
      <c r="Q12" s="22" t="s">
        <v>944</v>
      </c>
      <c r="R12" s="22" t="s">
        <v>945</v>
      </c>
      <c r="Z12" s="27">
        <v>-67</v>
      </c>
      <c r="AA12" s="27">
        <v>2512</v>
      </c>
      <c r="AB12" s="27">
        <v>2452</v>
      </c>
      <c r="AC12" s="27">
        <v>3789</v>
      </c>
      <c r="AD12" s="27">
        <v>5681</v>
      </c>
      <c r="AE12" s="27">
        <f>4928+24</f>
        <v>4952</v>
      </c>
      <c r="AF12" s="27">
        <v>2700</v>
      </c>
      <c r="AG12" s="27">
        <v>895</v>
      </c>
    </row>
    <row r="13" spans="1:33">
      <c r="B13" s="370">
        <f>SUM(B8:B11)</f>
        <v>3766</v>
      </c>
      <c r="C13" s="370">
        <f t="shared" ref="C13:M13" si="1">SUM(C8:C11)</f>
        <v>3338</v>
      </c>
      <c r="D13" s="370">
        <f t="shared" si="1"/>
        <v>2799</v>
      </c>
      <c r="E13" s="370">
        <f t="shared" si="1"/>
        <v>1454</v>
      </c>
      <c r="F13" s="370">
        <f t="shared" si="1"/>
        <v>3337</v>
      </c>
      <c r="G13" s="370">
        <f t="shared" si="1"/>
        <v>3144</v>
      </c>
      <c r="H13" s="370">
        <f t="shared" si="1"/>
        <v>2772</v>
      </c>
      <c r="I13" s="370">
        <f t="shared" si="1"/>
        <v>2362</v>
      </c>
      <c r="J13" s="370">
        <f t="shared" si="1"/>
        <v>2467</v>
      </c>
      <c r="K13" s="370">
        <f t="shared" si="1"/>
        <v>2181</v>
      </c>
      <c r="L13" s="370">
        <f t="shared" si="1"/>
        <v>0</v>
      </c>
      <c r="M13" s="370">
        <f t="shared" si="1"/>
        <v>0</v>
      </c>
      <c r="N13"/>
      <c r="O13"/>
      <c r="P13"/>
      <c r="Z13" s="24">
        <f t="shared" ref="Z13:AG13" si="2">Z8-Z10-Z9-Z11</f>
        <v>-67</v>
      </c>
      <c r="AA13" s="24">
        <f t="shared" si="2"/>
        <v>2512</v>
      </c>
      <c r="AB13" s="24">
        <f t="shared" si="2"/>
        <v>2452</v>
      </c>
      <c r="AC13" s="24">
        <f t="shared" si="2"/>
        <v>3789</v>
      </c>
      <c r="AD13" s="24">
        <f t="shared" si="2"/>
        <v>5681</v>
      </c>
      <c r="AE13" s="24">
        <f t="shared" si="2"/>
        <v>4952</v>
      </c>
      <c r="AF13" s="24">
        <f t="shared" si="2"/>
        <v>2700</v>
      </c>
      <c r="AG13" s="24">
        <f t="shared" si="2"/>
        <v>895</v>
      </c>
    </row>
    <row r="14" spans="1:33" ht="15">
      <c r="A14" s="51" t="s">
        <v>946</v>
      </c>
      <c r="B14" s="371">
        <f>B12-B13</f>
        <v>0</v>
      </c>
      <c r="C14" s="371">
        <f t="shared" ref="C14:M14" si="3">C12-C13</f>
        <v>0</v>
      </c>
      <c r="D14" s="371">
        <f t="shared" si="3"/>
        <v>0</v>
      </c>
      <c r="E14" s="371">
        <f t="shared" si="3"/>
        <v>0</v>
      </c>
      <c r="F14" s="371">
        <f t="shared" si="3"/>
        <v>0</v>
      </c>
      <c r="G14" s="371">
        <f t="shared" si="3"/>
        <v>0</v>
      </c>
      <c r="H14" s="371">
        <f t="shared" si="3"/>
        <v>0</v>
      </c>
      <c r="I14" s="371">
        <f t="shared" si="3"/>
        <v>0</v>
      </c>
      <c r="J14" s="371">
        <f t="shared" si="3"/>
        <v>0</v>
      </c>
      <c r="K14" s="371">
        <f>K12-K13</f>
        <v>0</v>
      </c>
      <c r="L14" s="371">
        <f t="shared" si="3"/>
        <v>0</v>
      </c>
      <c r="M14" s="371">
        <f t="shared" si="3"/>
        <v>0</v>
      </c>
      <c r="N14"/>
      <c r="O14"/>
      <c r="P14"/>
      <c r="Z14" s="35">
        <f t="shared" ref="Z14:AG14" si="4">Z12-Z13</f>
        <v>0</v>
      </c>
      <c r="AA14" s="35">
        <f t="shared" si="4"/>
        <v>0</v>
      </c>
      <c r="AB14" s="35">
        <f t="shared" si="4"/>
        <v>0</v>
      </c>
      <c r="AC14" s="35">
        <f t="shared" si="4"/>
        <v>0</v>
      </c>
      <c r="AD14" s="35">
        <f t="shared" si="4"/>
        <v>0</v>
      </c>
      <c r="AE14" s="35">
        <f t="shared" si="4"/>
        <v>0</v>
      </c>
      <c r="AF14" s="35">
        <f t="shared" si="4"/>
        <v>0</v>
      </c>
      <c r="AG14" s="35">
        <f t="shared" si="4"/>
        <v>0</v>
      </c>
    </row>
    <row r="15" spans="1:33">
      <c r="A15"/>
      <c r="B15" s="372"/>
      <c r="C15" s="372"/>
      <c r="D15" s="372"/>
      <c r="E15" s="372"/>
      <c r="F15" s="372"/>
      <c r="G15" s="372"/>
      <c r="H15" s="372"/>
      <c r="I15" s="372"/>
      <c r="J15" s="372"/>
      <c r="K15" s="372"/>
      <c r="L15" s="372"/>
      <c r="M15" s="372"/>
      <c r="N15"/>
      <c r="O15"/>
      <c r="P15"/>
      <c r="Z15" s="27"/>
      <c r="AA15" s="27"/>
      <c r="AB15" s="27"/>
      <c r="AC15" s="27"/>
      <c r="AD15" s="27"/>
      <c r="AE15" s="27"/>
      <c r="AF15" s="27"/>
      <c r="AG15" s="27"/>
    </row>
    <row r="16" spans="1:33">
      <c r="A16" s="26" t="s">
        <v>947</v>
      </c>
      <c r="B16" s="275">
        <v>2264</v>
      </c>
      <c r="C16" s="275">
        <v>2318</v>
      </c>
      <c r="D16" s="275">
        <v>2337</v>
      </c>
      <c r="E16" s="275">
        <v>2346</v>
      </c>
      <c r="F16" s="275">
        <v>2418</v>
      </c>
      <c r="G16" s="275">
        <v>2484</v>
      </c>
      <c r="H16" s="275">
        <v>2512</v>
      </c>
      <c r="I16" s="275">
        <v>2508</v>
      </c>
      <c r="J16" s="275">
        <v>2505</v>
      </c>
      <c r="K16" s="275">
        <v>2506</v>
      </c>
      <c r="L16" s="275"/>
      <c r="M16" s="275"/>
      <c r="N16" s="28"/>
      <c r="O16"/>
      <c r="P16"/>
      <c r="Z16" s="27"/>
      <c r="AA16" s="27"/>
      <c r="AB16" s="27"/>
      <c r="AC16" s="27"/>
      <c r="AD16" s="27"/>
      <c r="AE16" s="27"/>
      <c r="AF16" s="27"/>
      <c r="AG16" s="27"/>
    </row>
    <row r="17" spans="1:152">
      <c r="A17" s="26" t="s">
        <v>948</v>
      </c>
      <c r="B17" s="275">
        <v>2271</v>
      </c>
      <c r="C17" s="275">
        <v>2325</v>
      </c>
      <c r="D17" s="275">
        <v>2345</v>
      </c>
      <c r="E17" s="275">
        <v>2354</v>
      </c>
      <c r="F17" s="275">
        <v>2428</v>
      </c>
      <c r="G17" s="275">
        <v>2495</v>
      </c>
      <c r="H17" s="275">
        <v>2523</v>
      </c>
      <c r="I17" s="275">
        <v>2518</v>
      </c>
      <c r="J17" s="275">
        <v>2517</v>
      </c>
      <c r="K17" s="275">
        <v>2517</v>
      </c>
      <c r="L17" s="275"/>
      <c r="M17" s="275"/>
      <c r="N17" s="28"/>
      <c r="O17"/>
      <c r="P17"/>
      <c r="Z17" s="27"/>
      <c r="AA17" s="27"/>
      <c r="AB17" s="27"/>
      <c r="AC17" s="27"/>
      <c r="AD17" s="27"/>
      <c r="AE17" s="27"/>
      <c r="AF17" s="27"/>
      <c r="AG17" s="27"/>
    </row>
    <row r="18" spans="1:152" customFormat="1">
      <c r="B18" s="372"/>
      <c r="C18" s="372"/>
      <c r="D18" s="372"/>
      <c r="E18" s="372"/>
      <c r="F18" s="372"/>
      <c r="G18" s="372"/>
      <c r="H18" s="372"/>
      <c r="I18" s="372"/>
      <c r="J18" s="372"/>
      <c r="K18" s="372"/>
      <c r="L18" s="372"/>
      <c r="M18" s="372"/>
      <c r="AH18" s="22"/>
      <c r="AI18" s="22"/>
      <c r="AJ18" s="22"/>
      <c r="AK18" s="22"/>
      <c r="AL18" s="22"/>
      <c r="AM18" s="22"/>
      <c r="AN18" s="22"/>
      <c r="AO18" s="22"/>
      <c r="AP18" s="22"/>
      <c r="AQ18" s="22"/>
      <c r="AR18" s="22"/>
      <c r="AS18" s="22"/>
      <c r="AT18" s="22"/>
      <c r="AU18" s="22"/>
      <c r="AV18" s="22"/>
    </row>
    <row r="19" spans="1:152">
      <c r="A19" s="26" t="s">
        <v>949</v>
      </c>
      <c r="B19" s="275">
        <f>-876-59-148+416</f>
        <v>-667</v>
      </c>
      <c r="C19" s="275">
        <f>1128+60+171-623</f>
        <v>736</v>
      </c>
      <c r="D19" s="275">
        <f>-1233-240-173+810</f>
        <v>-836</v>
      </c>
      <c r="E19" s="275">
        <f>-104+82-37-227</f>
        <v>-286</v>
      </c>
      <c r="F19" s="275">
        <f>274+19+55-93</f>
        <v>255</v>
      </c>
      <c r="G19" s="275">
        <f>-631+3-72+91</f>
        <v>-609</v>
      </c>
      <c r="H19" s="275">
        <f>120+35+105</f>
        <v>260</v>
      </c>
      <c r="I19" s="275">
        <f>1217+325+176</f>
        <v>1718</v>
      </c>
      <c r="J19" s="275">
        <f>-345-205+56</f>
        <v>-494</v>
      </c>
      <c r="K19" s="275">
        <f>-1133-120-294</f>
        <v>-1547</v>
      </c>
      <c r="L19" s="275"/>
      <c r="M19" s="275"/>
      <c r="N19" s="28"/>
      <c r="O19"/>
      <c r="P19"/>
      <c r="Z19" s="27"/>
      <c r="AA19" s="27"/>
      <c r="AB19" s="27"/>
      <c r="AC19" s="27"/>
      <c r="AD19" s="27"/>
      <c r="AE19" s="27"/>
      <c r="AF19" s="27"/>
      <c r="AG19" s="27"/>
    </row>
    <row r="20" spans="1:152" ht="15">
      <c r="A20" s="9" t="s">
        <v>950</v>
      </c>
      <c r="B20" s="275">
        <v>2964</v>
      </c>
      <c r="C20" s="275">
        <v>4820</v>
      </c>
      <c r="D20" s="275">
        <v>1934</v>
      </c>
      <c r="E20" s="275">
        <v>1290</v>
      </c>
      <c r="F20" s="275">
        <v>3624</v>
      </c>
      <c r="G20" s="275">
        <v>2868</v>
      </c>
      <c r="H20" s="369">
        <v>3423</v>
      </c>
      <c r="I20" s="275">
        <v>2471</v>
      </c>
      <c r="J20" s="275">
        <v>2410</v>
      </c>
      <c r="K20" s="275">
        <v>927</v>
      </c>
      <c r="L20" s="275"/>
      <c r="M20" s="275"/>
      <c r="N20" s="28"/>
      <c r="O20"/>
      <c r="P20"/>
      <c r="Z20" s="27"/>
      <c r="AA20" s="27"/>
      <c r="AB20" s="27"/>
      <c r="AC20" s="27"/>
      <c r="AD20" s="27"/>
      <c r="AE20" s="27"/>
      <c r="AF20" s="27"/>
      <c r="AG20" s="27"/>
    </row>
    <row r="21" spans="1:152" customFormat="1" ht="12.75">
      <c r="B21" s="372"/>
      <c r="C21" s="372"/>
      <c r="D21" s="372"/>
      <c r="E21" s="372"/>
      <c r="F21" s="372"/>
      <c r="G21" s="372"/>
      <c r="H21" s="372"/>
      <c r="I21" s="372"/>
      <c r="J21" s="372"/>
      <c r="K21" s="372"/>
      <c r="L21" s="372"/>
      <c r="M21" s="372"/>
    </row>
    <row r="22" spans="1:152">
      <c r="A22" s="22" t="s">
        <v>887</v>
      </c>
      <c r="B22" s="370">
        <f>B23-C23</f>
        <v>-27</v>
      </c>
      <c r="C22" s="370">
        <f t="shared" ref="C22:J22" si="5">C23-D23</f>
        <v>1139</v>
      </c>
      <c r="D22" s="370">
        <f>D23-E23</f>
        <v>653</v>
      </c>
      <c r="E22" s="370">
        <f t="shared" si="5"/>
        <v>-98</v>
      </c>
      <c r="F22" s="370">
        <f t="shared" si="5"/>
        <v>214</v>
      </c>
      <c r="G22" s="370">
        <f t="shared" si="5"/>
        <v>-19</v>
      </c>
      <c r="H22" s="370">
        <f t="shared" si="5"/>
        <v>656</v>
      </c>
      <c r="I22" s="370">
        <f>I23-J23</f>
        <v>-775</v>
      </c>
      <c r="J22" s="370">
        <f t="shared" si="5"/>
        <v>0</v>
      </c>
      <c r="K22" s="370">
        <f>K23-L23</f>
        <v>1576</v>
      </c>
      <c r="L22" s="370"/>
      <c r="M22" s="370"/>
      <c r="N22" s="34" t="s">
        <v>951</v>
      </c>
      <c r="O22" t="s">
        <v>952</v>
      </c>
      <c r="P22"/>
      <c r="Q22" s="22" t="s">
        <v>944</v>
      </c>
      <c r="Z22" s="27"/>
      <c r="AA22" s="27"/>
      <c r="AB22" s="27"/>
      <c r="AC22" s="27"/>
      <c r="AD22" s="30"/>
      <c r="AE22" s="27"/>
      <c r="AF22" s="27"/>
      <c r="AG22" s="27"/>
    </row>
    <row r="23" spans="1:152">
      <c r="A23" s="26" t="s">
        <v>953</v>
      </c>
      <c r="B23" s="275">
        <f>B27-B42-B28</f>
        <v>3319</v>
      </c>
      <c r="C23" s="275">
        <f t="shared" ref="C23:M23" si="6">C27-C42-C28</f>
        <v>3346</v>
      </c>
      <c r="D23" s="275">
        <f t="shared" si="6"/>
        <v>2207</v>
      </c>
      <c r="E23" s="275">
        <f t="shared" si="6"/>
        <v>1554</v>
      </c>
      <c r="F23" s="275">
        <f t="shared" si="6"/>
        <v>1652</v>
      </c>
      <c r="G23" s="275">
        <f t="shared" si="6"/>
        <v>1438</v>
      </c>
      <c r="H23" s="275">
        <f t="shared" si="6"/>
        <v>1457</v>
      </c>
      <c r="I23" s="275">
        <f t="shared" si="6"/>
        <v>801</v>
      </c>
      <c r="J23" s="275">
        <f t="shared" si="6"/>
        <v>1576</v>
      </c>
      <c r="K23" s="275">
        <f t="shared" si="6"/>
        <v>1576</v>
      </c>
      <c r="L23" s="275"/>
      <c r="M23" s="275"/>
      <c r="N23" s="34"/>
      <c r="O23"/>
      <c r="P23"/>
      <c r="Z23" s="27"/>
      <c r="AA23" s="27"/>
      <c r="AB23" s="27"/>
      <c r="AC23" s="27"/>
      <c r="AD23" s="30"/>
      <c r="AE23" s="27"/>
      <c r="AF23" s="27"/>
      <c r="AG23" s="27"/>
    </row>
    <row r="24" spans="1:152">
      <c r="A24" s="6">
        <v>2625</v>
      </c>
      <c r="B24" s="373">
        <v>2625</v>
      </c>
      <c r="C24" s="373">
        <v>2625</v>
      </c>
      <c r="D24" s="373">
        <v>2625</v>
      </c>
      <c r="E24" s="373">
        <v>2625</v>
      </c>
      <c r="F24" s="373">
        <v>2625</v>
      </c>
      <c r="G24" s="373">
        <v>2625</v>
      </c>
      <c r="H24" s="373">
        <v>2625</v>
      </c>
      <c r="I24" s="373">
        <v>2625</v>
      </c>
      <c r="J24" s="373">
        <v>2625</v>
      </c>
      <c r="K24" s="373">
        <v>2625</v>
      </c>
      <c r="L24" s="373">
        <v>2625</v>
      </c>
      <c r="M24" s="373">
        <v>2625</v>
      </c>
      <c r="N24" s="6">
        <v>2625</v>
      </c>
      <c r="O24"/>
      <c r="P24"/>
      <c r="Q24" s="22" t="s">
        <v>944</v>
      </c>
      <c r="R24" s="22" t="s">
        <v>954</v>
      </c>
      <c r="T24" s="22" t="s">
        <v>955</v>
      </c>
      <c r="Z24" s="27">
        <v>1799</v>
      </c>
      <c r="AA24" s="27">
        <v>1757</v>
      </c>
      <c r="AB24" s="27">
        <v>1620</v>
      </c>
      <c r="AC24" s="27">
        <v>1111</v>
      </c>
      <c r="AD24" s="27">
        <v>1617</v>
      </c>
      <c r="AE24" s="27">
        <v>1159</v>
      </c>
      <c r="AF24" s="27">
        <v>1084</v>
      </c>
      <c r="AG24" s="27">
        <v>1029</v>
      </c>
    </row>
    <row r="25" spans="1:152" ht="15">
      <c r="A25" s="51" t="s">
        <v>502</v>
      </c>
      <c r="B25" s="373">
        <v>2625</v>
      </c>
      <c r="C25" s="373">
        <v>2625</v>
      </c>
      <c r="D25" s="373">
        <v>2625</v>
      </c>
      <c r="E25" s="373">
        <v>2625</v>
      </c>
      <c r="F25" s="373">
        <v>2625</v>
      </c>
      <c r="G25" s="373">
        <v>2625</v>
      </c>
      <c r="H25" s="373">
        <v>2625</v>
      </c>
      <c r="I25" s="373">
        <v>2625</v>
      </c>
      <c r="J25" s="373">
        <v>2625</v>
      </c>
      <c r="K25" s="373">
        <v>2625</v>
      </c>
      <c r="L25" s="373">
        <v>2625</v>
      </c>
      <c r="M25" s="373">
        <v>2625</v>
      </c>
      <c r="N25" s="6">
        <v>2625</v>
      </c>
      <c r="O25"/>
      <c r="P25"/>
      <c r="Q25" s="22" t="s">
        <v>944</v>
      </c>
      <c r="R25" s="22" t="s">
        <v>956</v>
      </c>
      <c r="S25" s="22" t="s">
        <v>957</v>
      </c>
      <c r="T25" s="22" t="s">
        <v>958</v>
      </c>
      <c r="Z25" s="27">
        <v>23</v>
      </c>
      <c r="AA25" s="27">
        <f>-33+2025</f>
        <v>1992</v>
      </c>
      <c r="AB25" s="27">
        <v>3817</v>
      </c>
      <c r="AC25" s="27">
        <v>1776</v>
      </c>
      <c r="AD25" s="27">
        <v>-244</v>
      </c>
      <c r="AE25" s="27">
        <v>-312</v>
      </c>
      <c r="AF25" s="27">
        <v>-449</v>
      </c>
      <c r="AG25" s="27">
        <v>-110</v>
      </c>
    </row>
    <row r="26" spans="1:152" ht="15">
      <c r="A26" s="106" t="s">
        <v>959</v>
      </c>
      <c r="B26" s="438"/>
      <c r="C26" s="438"/>
      <c r="D26" s="438"/>
      <c r="E26" s="438"/>
      <c r="F26" s="438"/>
      <c r="G26" s="438"/>
      <c r="H26" s="438"/>
      <c r="I26" s="438"/>
      <c r="J26" s="438"/>
      <c r="K26" s="438"/>
      <c r="L26" s="438"/>
      <c r="M26" s="438"/>
      <c r="N26" s="6">
        <v>1922</v>
      </c>
      <c r="O26" s="6">
        <v>2625</v>
      </c>
      <c r="P26"/>
      <c r="Z26" s="27"/>
      <c r="AA26" s="27"/>
      <c r="AB26" s="27"/>
      <c r="AC26" s="27"/>
      <c r="AD26" s="27"/>
      <c r="AE26" s="27"/>
      <c r="AF26" s="27"/>
      <c r="AG26" s="27"/>
    </row>
    <row r="27" spans="1:152" ht="15">
      <c r="A27" s="9" t="s">
        <v>960</v>
      </c>
      <c r="B27" s="370">
        <v>12297</v>
      </c>
      <c r="C27" s="370">
        <v>12399</v>
      </c>
      <c r="D27" s="370">
        <v>12934</v>
      </c>
      <c r="E27" s="370">
        <v>11445</v>
      </c>
      <c r="F27" s="370">
        <v>11471</v>
      </c>
      <c r="G27" s="370">
        <v>9373</v>
      </c>
      <c r="H27" s="370">
        <v>8691</v>
      </c>
      <c r="I27" s="370">
        <v>8652</v>
      </c>
      <c r="J27" s="370">
        <v>8852</v>
      </c>
      <c r="K27" s="370">
        <v>8852</v>
      </c>
      <c r="L27" s="370"/>
      <c r="M27" s="370"/>
      <c r="N27" s="6"/>
      <c r="O27" s="6"/>
      <c r="P27"/>
      <c r="Z27" s="27"/>
      <c r="AA27" s="27"/>
      <c r="AB27" s="27"/>
      <c r="AC27" s="27"/>
      <c r="AD27" s="27"/>
      <c r="AE27" s="27"/>
      <c r="AF27" s="27"/>
      <c r="AG27" s="27"/>
    </row>
    <row r="28" spans="1:152" ht="15">
      <c r="A28" s="103" t="s">
        <v>328</v>
      </c>
      <c r="B28" s="275">
        <v>1427</v>
      </c>
      <c r="C28" s="275">
        <v>1439</v>
      </c>
      <c r="D28" s="275">
        <v>2285</v>
      </c>
      <c r="E28" s="275">
        <v>2749</v>
      </c>
      <c r="F28" s="275">
        <v>3323</v>
      </c>
      <c r="G28" s="275">
        <v>932</v>
      </c>
      <c r="H28" s="275">
        <v>874</v>
      </c>
      <c r="I28" s="275">
        <v>1191</v>
      </c>
      <c r="J28" s="275">
        <v>1089</v>
      </c>
      <c r="K28" s="275">
        <v>1089</v>
      </c>
      <c r="L28" s="275"/>
      <c r="M28" s="275"/>
      <c r="N28" s="37" t="s">
        <v>961</v>
      </c>
      <c r="O28" t="s">
        <v>328</v>
      </c>
      <c r="P28"/>
      <c r="Z28" s="36"/>
      <c r="AA28" s="36"/>
      <c r="AB28" s="36"/>
      <c r="AC28" s="36"/>
      <c r="AD28" s="36"/>
      <c r="AE28" s="35"/>
      <c r="AF28" s="35"/>
      <c r="AG28" s="35"/>
    </row>
    <row r="29" spans="1:152" ht="15">
      <c r="A29" s="104" t="s">
        <v>896</v>
      </c>
      <c r="B29" s="275">
        <v>2698</v>
      </c>
      <c r="C29" s="275">
        <v>2045</v>
      </c>
      <c r="D29" s="275">
        <v>2177</v>
      </c>
      <c r="E29" s="275">
        <v>1836</v>
      </c>
      <c r="F29" s="275">
        <v>1523</v>
      </c>
      <c r="G29" s="275">
        <v>2194</v>
      </c>
      <c r="H29" s="275">
        <v>2172</v>
      </c>
      <c r="I29" s="275">
        <v>2170</v>
      </c>
      <c r="J29" s="275">
        <v>2196</v>
      </c>
      <c r="K29" s="275">
        <v>2196</v>
      </c>
      <c r="L29" s="275"/>
      <c r="M29" s="275"/>
      <c r="N29" s="37" t="s">
        <v>961</v>
      </c>
      <c r="O29" t="s">
        <v>896</v>
      </c>
      <c r="P29"/>
      <c r="Z29" s="36"/>
      <c r="AA29" s="36"/>
      <c r="AB29" s="36"/>
      <c r="AC29" s="36"/>
      <c r="AD29" s="36"/>
      <c r="AE29" s="35"/>
      <c r="AF29" s="35"/>
      <c r="AG29" s="35"/>
    </row>
    <row r="30" spans="1:152">
      <c r="A30" s="103" t="s">
        <v>330</v>
      </c>
      <c r="B30" s="275">
        <v>7598</v>
      </c>
      <c r="C30" s="275">
        <v>7661</v>
      </c>
      <c r="D30" s="275">
        <v>7094</v>
      </c>
      <c r="E30" s="275">
        <v>6045</v>
      </c>
      <c r="F30" s="275">
        <v>5772</v>
      </c>
      <c r="G30" s="275">
        <v>5472</v>
      </c>
      <c r="H30" s="275">
        <v>5015</v>
      </c>
      <c r="I30" s="275">
        <v>4788</v>
      </c>
      <c r="J30" s="275">
        <v>4579</v>
      </c>
      <c r="K30" s="275">
        <v>4579</v>
      </c>
      <c r="L30" s="275"/>
      <c r="M30" s="275"/>
      <c r="N30" s="37" t="s">
        <v>961</v>
      </c>
      <c r="O30" t="s">
        <v>330</v>
      </c>
      <c r="P30"/>
      <c r="Q30" s="22" t="s">
        <v>962</v>
      </c>
      <c r="R30" s="22" t="s">
        <v>963</v>
      </c>
      <c r="Z30" s="27">
        <v>7168</v>
      </c>
      <c r="AA30" s="27">
        <v>6460</v>
      </c>
      <c r="AB30" s="27">
        <v>7341</v>
      </c>
      <c r="AC30" s="27">
        <v>6081</v>
      </c>
      <c r="AD30" s="27">
        <v>5490</v>
      </c>
      <c r="AE30" s="27">
        <v>3057</v>
      </c>
      <c r="AF30" s="27">
        <v>3592</v>
      </c>
      <c r="AG30" s="27">
        <v>4867</v>
      </c>
    </row>
    <row r="31" spans="1:152" s="23" customFormat="1">
      <c r="A31" s="103" t="s">
        <v>964</v>
      </c>
      <c r="B31" s="275">
        <f t="shared" ref="B31" si="7">B27-SUM(B28:B30)</f>
        <v>574</v>
      </c>
      <c r="C31" s="275">
        <f t="shared" ref="C31:M31" si="8">C27-SUM(C28:C30)</f>
        <v>1254</v>
      </c>
      <c r="D31" s="275">
        <f t="shared" si="8"/>
        <v>1378</v>
      </c>
      <c r="E31" s="275">
        <f t="shared" si="8"/>
        <v>815</v>
      </c>
      <c r="F31" s="275">
        <f t="shared" si="8"/>
        <v>853</v>
      </c>
      <c r="G31" s="275">
        <f t="shared" si="8"/>
        <v>775</v>
      </c>
      <c r="H31" s="275">
        <f t="shared" si="8"/>
        <v>630</v>
      </c>
      <c r="I31" s="275">
        <f t="shared" si="8"/>
        <v>503</v>
      </c>
      <c r="J31" s="275">
        <f t="shared" si="8"/>
        <v>988</v>
      </c>
      <c r="K31" s="275">
        <f t="shared" si="8"/>
        <v>988</v>
      </c>
      <c r="L31" s="275"/>
      <c r="M31" s="275"/>
      <c r="N31" s="37" t="s">
        <v>961</v>
      </c>
      <c r="O31" t="s">
        <v>330</v>
      </c>
      <c r="P31"/>
      <c r="Q31" s="22" t="s">
        <v>962</v>
      </c>
      <c r="R31" s="22" t="s">
        <v>965</v>
      </c>
      <c r="S31" s="22" t="s">
        <v>966</v>
      </c>
      <c r="T31" s="22" t="s">
        <v>967</v>
      </c>
      <c r="U31" s="22"/>
      <c r="V31" s="22"/>
      <c r="W31" s="22"/>
      <c r="X31" s="22"/>
      <c r="Y31" s="22"/>
      <c r="Z31" s="31">
        <f>5981+8522+1029+13556</f>
        <v>29088</v>
      </c>
      <c r="AA31" s="31">
        <f>6695+8991+1170+13651</f>
        <v>30507</v>
      </c>
      <c r="AB31" s="31">
        <f>7737+9027+1364+14644</f>
        <v>32772</v>
      </c>
      <c r="AC31" s="31">
        <v>33499</v>
      </c>
      <c r="AD31" s="31">
        <v>33911</v>
      </c>
      <c r="AE31" s="31">
        <v>31031</v>
      </c>
      <c r="AF31" s="31">
        <v>28849</v>
      </c>
      <c r="AG31" s="31">
        <v>27162</v>
      </c>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row>
    <row r="32" spans="1:152" s="23" customFormat="1" ht="15">
      <c r="A32" s="9" t="s">
        <v>968</v>
      </c>
      <c r="B32" s="274">
        <f t="shared" ref="B32:M32" si="9">B38-B27</f>
        <v>23033</v>
      </c>
      <c r="C32" s="274">
        <f t="shared" si="9"/>
        <v>23222</v>
      </c>
      <c r="D32" s="274">
        <f t="shared" si="9"/>
        <v>23582</v>
      </c>
      <c r="E32" s="274">
        <f t="shared" si="9"/>
        <v>20508</v>
      </c>
      <c r="F32" s="274">
        <f t="shared" si="9"/>
        <v>21837</v>
      </c>
      <c r="G32" s="274">
        <f t="shared" si="9"/>
        <v>21923</v>
      </c>
      <c r="H32" s="274">
        <f t="shared" si="9"/>
        <v>21024</v>
      </c>
      <c r="I32" s="274">
        <f t="shared" si="9"/>
        <v>20196</v>
      </c>
      <c r="J32" s="274">
        <f t="shared" si="9"/>
        <v>19639</v>
      </c>
      <c r="K32" s="274">
        <f t="shared" si="9"/>
        <v>19639</v>
      </c>
      <c r="L32" s="274">
        <f t="shared" si="9"/>
        <v>0</v>
      </c>
      <c r="M32" s="274">
        <f t="shared" si="9"/>
        <v>0</v>
      </c>
      <c r="N32" s="37"/>
      <c r="O32"/>
      <c r="P32"/>
      <c r="Q32" s="22"/>
      <c r="R32" s="22"/>
      <c r="S32" s="22"/>
      <c r="T32" s="22"/>
      <c r="U32" s="22"/>
      <c r="V32" s="22"/>
      <c r="W32" s="22"/>
      <c r="X32" s="22"/>
      <c r="Y32" s="22"/>
      <c r="Z32" s="31"/>
      <c r="AA32" s="31"/>
      <c r="AB32" s="31"/>
      <c r="AC32" s="31"/>
      <c r="AD32" s="31"/>
      <c r="AE32" s="31"/>
      <c r="AF32" s="31"/>
      <c r="AG32" s="31"/>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row>
    <row r="33" spans="1:33">
      <c r="A33" s="105" t="s">
        <v>897</v>
      </c>
      <c r="B33" s="275">
        <v>6246</v>
      </c>
      <c r="C33" s="275">
        <v>6298</v>
      </c>
      <c r="D33" s="275">
        <v>5942</v>
      </c>
      <c r="E33" s="275">
        <v>4915</v>
      </c>
      <c r="F33" s="275">
        <v>4977</v>
      </c>
      <c r="G33" s="275">
        <v>4489</v>
      </c>
      <c r="H33" s="275">
        <v>4112</v>
      </c>
      <c r="I33" s="275">
        <v>4035</v>
      </c>
      <c r="J33" s="275">
        <v>3891</v>
      </c>
      <c r="K33" s="275">
        <v>3891</v>
      </c>
      <c r="L33" s="275"/>
      <c r="M33" s="275"/>
      <c r="N33" s="37"/>
      <c r="O33"/>
      <c r="P33"/>
      <c r="Q33" s="22" t="s">
        <v>962</v>
      </c>
      <c r="R33" s="22" t="s">
        <v>969</v>
      </c>
      <c r="Z33" s="27">
        <v>8614</v>
      </c>
      <c r="AA33" s="27">
        <v>9700</v>
      </c>
      <c r="AB33" s="27">
        <v>12205</v>
      </c>
      <c r="AC33" s="27">
        <v>12625</v>
      </c>
      <c r="AD33" s="27">
        <v>15547</v>
      </c>
      <c r="AE33" s="27">
        <v>14544</v>
      </c>
      <c r="AF33" s="27">
        <v>9587</v>
      </c>
      <c r="AG33" s="27">
        <v>6360</v>
      </c>
    </row>
    <row r="34" spans="1:33">
      <c r="A34" s="105" t="s">
        <v>970</v>
      </c>
      <c r="B34" s="275">
        <v>0</v>
      </c>
      <c r="C34" s="275">
        <v>0</v>
      </c>
      <c r="D34" s="275">
        <v>0</v>
      </c>
      <c r="E34" s="275">
        <v>0</v>
      </c>
      <c r="F34" s="275">
        <v>0</v>
      </c>
      <c r="G34" s="275">
        <v>321</v>
      </c>
      <c r="H34" s="275">
        <v>312</v>
      </c>
      <c r="I34" s="275">
        <v>338</v>
      </c>
      <c r="J34" s="275">
        <v>807</v>
      </c>
      <c r="K34" s="275">
        <v>807</v>
      </c>
      <c r="L34" s="275"/>
      <c r="M34" s="275"/>
      <c r="N34" s="37"/>
      <c r="O34"/>
      <c r="P34"/>
      <c r="Z34" s="27"/>
      <c r="AA34" s="27"/>
      <c r="AB34" s="27"/>
      <c r="AC34" s="27"/>
      <c r="AD34" s="27"/>
      <c r="AE34" s="27"/>
      <c r="AF34" s="27"/>
      <c r="AG34" s="27"/>
    </row>
    <row r="35" spans="1:33">
      <c r="A35" s="105" t="s">
        <v>971</v>
      </c>
      <c r="B35" s="275">
        <v>4245</v>
      </c>
      <c r="C35" s="275">
        <v>3851</v>
      </c>
      <c r="D35" s="275">
        <v>3675</v>
      </c>
      <c r="E35" s="275">
        <v>3347</v>
      </c>
      <c r="F35" s="275">
        <v>3609</v>
      </c>
      <c r="G35" s="275">
        <v>3224</v>
      </c>
      <c r="H35" s="275">
        <v>3035</v>
      </c>
      <c r="I35" s="275">
        <v>2875</v>
      </c>
      <c r="J35" s="275">
        <v>2571</v>
      </c>
      <c r="K35" s="275">
        <v>2571</v>
      </c>
      <c r="L35" s="275"/>
      <c r="M35" s="275"/>
      <c r="N35" s="37"/>
      <c r="O35"/>
      <c r="P35"/>
      <c r="Z35" s="27"/>
      <c r="AA35" s="27"/>
      <c r="AB35" s="27"/>
      <c r="AC35" s="27"/>
      <c r="AD35" s="27"/>
      <c r="AE35" s="27"/>
      <c r="AF35" s="27"/>
      <c r="AG35" s="27"/>
    </row>
    <row r="36" spans="1:33">
      <c r="A36" s="105" t="s">
        <v>972</v>
      </c>
      <c r="B36" s="275">
        <f t="shared" ref="B36" si="10">B32-SUM(B33:B35)</f>
        <v>12542</v>
      </c>
      <c r="C36" s="275">
        <f t="shared" ref="C36" si="11">C32-SUM(C33:C35)</f>
        <v>13073</v>
      </c>
      <c r="D36" s="275">
        <f t="shared" ref="D36" si="12">D32-SUM(D33:D35)</f>
        <v>13965</v>
      </c>
      <c r="E36" s="275">
        <f>E32-SUM(E33:E35)</f>
        <v>12246</v>
      </c>
      <c r="F36" s="275">
        <f t="shared" ref="F36" si="13">F32-SUM(F33:F35)</f>
        <v>13251</v>
      </c>
      <c r="G36" s="275">
        <f t="shared" ref="G36" si="14">G32-SUM(G33:G35)</f>
        <v>13889</v>
      </c>
      <c r="H36" s="275">
        <f t="shared" ref="H36" si="15">H32-SUM(H33:H35)</f>
        <v>13565</v>
      </c>
      <c r="I36" s="275">
        <f t="shared" ref="I36" si="16">I32-SUM(I33:I35)</f>
        <v>12948</v>
      </c>
      <c r="J36" s="275">
        <f t="shared" ref="J36" si="17">J32-SUM(J33:J35)</f>
        <v>12370</v>
      </c>
      <c r="K36" s="275">
        <f t="shared" ref="K36" si="18">K32-SUM(K33:K35)</f>
        <v>12370</v>
      </c>
      <c r="L36" s="275">
        <f t="shared" ref="L36" si="19">L32-SUM(L33:L35)</f>
        <v>0</v>
      </c>
      <c r="M36" s="275">
        <f t="shared" ref="M36" si="20">M32-SUM(M33:M35)</f>
        <v>0</v>
      </c>
      <c r="N36" s="37" t="s">
        <v>961</v>
      </c>
      <c r="O36" t="s">
        <v>897</v>
      </c>
      <c r="P36"/>
      <c r="Z36" s="27"/>
      <c r="AA36" s="27"/>
      <c r="AB36" s="27"/>
      <c r="AC36" s="27"/>
      <c r="AD36" s="27"/>
      <c r="AE36" s="27"/>
      <c r="AF36" s="27"/>
      <c r="AG36" s="27"/>
    </row>
    <row r="37" spans="1:33">
      <c r="A37" s="22" t="s">
        <v>898</v>
      </c>
      <c r="B37" s="370">
        <f>B31+B36</f>
        <v>13116</v>
      </c>
      <c r="C37" s="370">
        <f>C31+C36</f>
        <v>14327</v>
      </c>
      <c r="D37" s="370">
        <f t="shared" ref="D37:M37" si="21">D31+D36</f>
        <v>15343</v>
      </c>
      <c r="E37" s="370">
        <f t="shared" si="21"/>
        <v>13061</v>
      </c>
      <c r="F37" s="370">
        <f t="shared" si="21"/>
        <v>14104</v>
      </c>
      <c r="G37" s="370">
        <f t="shared" si="21"/>
        <v>14664</v>
      </c>
      <c r="H37" s="370">
        <f t="shared" si="21"/>
        <v>14195</v>
      </c>
      <c r="I37" s="370">
        <f t="shared" si="21"/>
        <v>13451</v>
      </c>
      <c r="J37" s="370">
        <f t="shared" si="21"/>
        <v>13358</v>
      </c>
      <c r="K37" s="370">
        <f t="shared" si="21"/>
        <v>13358</v>
      </c>
      <c r="L37" s="370">
        <f t="shared" si="21"/>
        <v>0</v>
      </c>
      <c r="M37" s="370">
        <f t="shared" si="21"/>
        <v>0</v>
      </c>
      <c r="N37" s="37" t="s">
        <v>961</v>
      </c>
      <c r="O37"/>
      <c r="P37"/>
      <c r="Z37" s="27"/>
      <c r="AA37" s="27"/>
      <c r="AB37" s="27"/>
      <c r="AC37" s="27"/>
      <c r="AD37" s="27"/>
      <c r="AE37" s="27"/>
      <c r="AF37" s="27"/>
      <c r="AG37" s="27"/>
    </row>
    <row r="38" spans="1:33" ht="15">
      <c r="A38" s="9" t="s">
        <v>36</v>
      </c>
      <c r="B38" s="370">
        <v>35330</v>
      </c>
      <c r="C38" s="370">
        <v>35621</v>
      </c>
      <c r="D38" s="370">
        <v>36516</v>
      </c>
      <c r="E38" s="370">
        <v>31953</v>
      </c>
      <c r="F38" s="370">
        <v>33308</v>
      </c>
      <c r="G38" s="370">
        <v>31296</v>
      </c>
      <c r="H38" s="370">
        <v>29715</v>
      </c>
      <c r="I38" s="370">
        <v>28848</v>
      </c>
      <c r="J38" s="370">
        <v>28491</v>
      </c>
      <c r="K38" s="370">
        <v>28491</v>
      </c>
      <c r="L38" s="370"/>
      <c r="M38" s="370"/>
      <c r="N38" s="37" t="s">
        <v>961</v>
      </c>
      <c r="O38" t="s">
        <v>36</v>
      </c>
      <c r="P38"/>
      <c r="Q38" s="22" t="s">
        <v>962</v>
      </c>
      <c r="R38" s="22" t="s">
        <v>973</v>
      </c>
      <c r="Z38" s="27">
        <v>15322</v>
      </c>
      <c r="AA38" s="27">
        <v>16090</v>
      </c>
      <c r="AB38" s="27">
        <f>16577</f>
        <v>16577</v>
      </c>
      <c r="AC38" s="27">
        <v>17075</v>
      </c>
      <c r="AD38" s="27">
        <v>16461</v>
      </c>
      <c r="AE38" s="27">
        <v>14395</v>
      </c>
      <c r="AF38" s="27">
        <v>12539</v>
      </c>
      <c r="AG38" s="27">
        <v>12386</v>
      </c>
    </row>
    <row r="39" spans="1:33">
      <c r="B39" s="370"/>
      <c r="C39" s="370"/>
      <c r="D39" s="370"/>
      <c r="E39" s="370"/>
      <c r="F39" s="370"/>
      <c r="G39" s="370"/>
      <c r="H39" s="370"/>
      <c r="I39" s="370"/>
      <c r="J39" s="370"/>
      <c r="K39" s="370"/>
      <c r="L39" s="370"/>
      <c r="M39" s="370"/>
      <c r="N39" s="37" t="s">
        <v>961</v>
      </c>
      <c r="O39"/>
      <c r="P39"/>
      <c r="Z39" s="24">
        <f t="shared" ref="Z39:AG39" si="22">Z40-SUM(Z30:Z38)</f>
        <v>14512</v>
      </c>
      <c r="AA39" s="24">
        <f t="shared" si="22"/>
        <v>15585</v>
      </c>
      <c r="AB39" s="24">
        <f t="shared" si="22"/>
        <v>15786</v>
      </c>
      <c r="AC39" s="24">
        <f t="shared" si="22"/>
        <v>15616</v>
      </c>
      <c r="AD39" s="24">
        <f t="shared" si="22"/>
        <v>17947</v>
      </c>
      <c r="AE39" s="24">
        <f t="shared" si="22"/>
        <v>18419</v>
      </c>
      <c r="AF39" s="24">
        <f t="shared" si="22"/>
        <v>9453</v>
      </c>
      <c r="AG39" s="24">
        <f t="shared" si="22"/>
        <v>9263</v>
      </c>
    </row>
    <row r="40" spans="1:33" ht="15">
      <c r="B40" s="370"/>
      <c r="C40" s="370"/>
      <c r="D40" s="370"/>
      <c r="E40" s="370"/>
      <c r="F40" s="370"/>
      <c r="G40" s="370"/>
      <c r="H40" s="370"/>
      <c r="I40" s="370"/>
      <c r="J40" s="370"/>
      <c r="K40" s="370"/>
      <c r="L40" s="370"/>
      <c r="M40" s="370"/>
      <c r="N40" s="37" t="s">
        <v>961</v>
      </c>
      <c r="O40"/>
      <c r="P40"/>
      <c r="Q40" s="22" t="s">
        <v>962</v>
      </c>
      <c r="R40" s="22" t="s">
        <v>974</v>
      </c>
      <c r="Z40" s="38">
        <v>74704</v>
      </c>
      <c r="AA40" s="38">
        <v>78342</v>
      </c>
      <c r="AB40" s="38">
        <v>84681</v>
      </c>
      <c r="AC40" s="38">
        <v>84896</v>
      </c>
      <c r="AD40" s="38">
        <v>89356</v>
      </c>
      <c r="AE40" s="38">
        <v>81446</v>
      </c>
      <c r="AF40" s="38">
        <v>64020</v>
      </c>
      <c r="AG40" s="38">
        <v>60038</v>
      </c>
    </row>
    <row r="41" spans="1:33" ht="15">
      <c r="A41" s="106" t="s">
        <v>975</v>
      </c>
      <c r="B41" s="274"/>
      <c r="C41" s="274"/>
      <c r="D41" s="274"/>
      <c r="E41" s="274"/>
      <c r="F41" s="274"/>
      <c r="G41" s="274"/>
      <c r="H41" s="274"/>
      <c r="I41" s="274"/>
      <c r="J41" s="274"/>
      <c r="K41" s="274"/>
      <c r="L41" s="274"/>
      <c r="M41" s="274"/>
      <c r="N41" s="37" t="s">
        <v>961</v>
      </c>
      <c r="O41"/>
      <c r="P41"/>
      <c r="Z41" s="29"/>
      <c r="AA41" s="29"/>
      <c r="AB41" s="29"/>
      <c r="AC41" s="29"/>
      <c r="AD41" s="29"/>
      <c r="AE41" s="29"/>
      <c r="AF41" s="29"/>
      <c r="AG41" s="29"/>
    </row>
    <row r="42" spans="1:33" ht="15">
      <c r="A42" s="9" t="s">
        <v>334</v>
      </c>
      <c r="B42" s="370">
        <v>7551</v>
      </c>
      <c r="C42" s="370">
        <v>7614</v>
      </c>
      <c r="D42" s="370">
        <v>8442</v>
      </c>
      <c r="E42" s="370">
        <v>7142</v>
      </c>
      <c r="F42" s="370">
        <v>6496</v>
      </c>
      <c r="G42" s="370">
        <v>7003</v>
      </c>
      <c r="H42" s="370">
        <v>6360</v>
      </c>
      <c r="I42" s="370">
        <v>6660</v>
      </c>
      <c r="J42" s="370">
        <v>6187</v>
      </c>
      <c r="K42" s="370">
        <v>6187</v>
      </c>
      <c r="L42" s="370"/>
      <c r="M42" s="370"/>
      <c r="N42" s="37" t="s">
        <v>961</v>
      </c>
      <c r="O42" t="s">
        <v>334</v>
      </c>
      <c r="P42"/>
      <c r="Z42" s="29"/>
      <c r="AA42" s="29"/>
      <c r="AB42" s="29"/>
      <c r="AC42" s="29"/>
      <c r="AD42" s="29"/>
      <c r="AE42" s="29"/>
      <c r="AF42" s="29"/>
      <c r="AG42" s="29"/>
    </row>
    <row r="43" spans="1:33" ht="15">
      <c r="A43" s="103" t="s">
        <v>976</v>
      </c>
      <c r="B43" s="275">
        <v>5257</v>
      </c>
      <c r="C43" s="275">
        <v>2659</v>
      </c>
      <c r="D43" s="275">
        <v>2705</v>
      </c>
      <c r="E43" s="275">
        <v>2014</v>
      </c>
      <c r="F43" s="275">
        <v>1333</v>
      </c>
      <c r="G43" s="275">
        <v>1694</v>
      </c>
      <c r="H43" s="275">
        <v>1514</v>
      </c>
      <c r="I43" s="275">
        <v>1365</v>
      </c>
      <c r="J43" s="275">
        <v>1088</v>
      </c>
      <c r="K43" s="275">
        <v>916</v>
      </c>
      <c r="L43" s="275"/>
      <c r="M43" s="275"/>
      <c r="N43" s="37"/>
      <c r="O43"/>
      <c r="P43"/>
      <c r="Z43" s="36"/>
      <c r="AA43" s="36"/>
      <c r="AB43" s="36"/>
      <c r="AC43" s="36"/>
      <c r="AD43" s="36"/>
      <c r="AE43" s="35"/>
      <c r="AF43" s="35"/>
      <c r="AG43" s="35"/>
    </row>
    <row r="44" spans="1:33" s="9" customFormat="1" ht="15">
      <c r="A44" s="26" t="s">
        <v>900</v>
      </c>
      <c r="B44" s="275">
        <v>0</v>
      </c>
      <c r="C44" s="275">
        <v>234</v>
      </c>
      <c r="D44" s="275">
        <v>74</v>
      </c>
      <c r="E44" s="275">
        <v>112</v>
      </c>
      <c r="F44" s="275">
        <v>170</v>
      </c>
      <c r="G44" s="275">
        <v>860</v>
      </c>
      <c r="H44" s="275">
        <v>279</v>
      </c>
      <c r="I44" s="275">
        <v>274</v>
      </c>
      <c r="J44" s="275">
        <v>280</v>
      </c>
      <c r="K44" s="275">
        <v>280</v>
      </c>
      <c r="L44" s="275"/>
      <c r="M44" s="275"/>
      <c r="N44" s="37" t="s">
        <v>961</v>
      </c>
      <c r="O44" t="s">
        <v>977</v>
      </c>
      <c r="P44"/>
      <c r="Q44" s="22" t="s">
        <v>962</v>
      </c>
      <c r="R44" s="9" t="s">
        <v>978</v>
      </c>
      <c r="Z44" s="38">
        <v>26132</v>
      </c>
      <c r="AA44" s="38">
        <v>26242</v>
      </c>
      <c r="AB44" s="38">
        <v>27877</v>
      </c>
      <c r="AC44" s="38">
        <v>27297</v>
      </c>
      <c r="AD44" s="38">
        <v>29415</v>
      </c>
      <c r="AE44" s="38">
        <f>93+3895+8161+3386+2410+2691+298+1967+558+5102</f>
        <v>28561</v>
      </c>
      <c r="AF44" s="38">
        <f>204+3852+5856+2880+1670+1831+281+1521+495+3430</f>
        <v>22020</v>
      </c>
      <c r="AG44" s="38">
        <f>433+3650+2993+3351+797+1217+262+888+302+5399</f>
        <v>19292</v>
      </c>
    </row>
    <row r="45" spans="1:33" s="9" customFormat="1" ht="15">
      <c r="A45" s="26" t="s">
        <v>901</v>
      </c>
      <c r="B45" s="275">
        <v>1686</v>
      </c>
      <c r="C45" s="275">
        <v>1542</v>
      </c>
      <c r="D45" s="275">
        <v>1533</v>
      </c>
      <c r="E45" s="275">
        <v>1832</v>
      </c>
      <c r="F45" s="275">
        <v>1931</v>
      </c>
      <c r="G45" s="275">
        <v>1142</v>
      </c>
      <c r="H45" s="275">
        <v>1580</v>
      </c>
      <c r="I45" s="275">
        <v>2211</v>
      </c>
      <c r="J45" s="275">
        <v>1807</v>
      </c>
      <c r="K45" s="275">
        <v>1807</v>
      </c>
      <c r="L45" s="275"/>
      <c r="M45" s="275"/>
      <c r="N45" s="37"/>
      <c r="O45"/>
      <c r="P45"/>
      <c r="Q45" s="22"/>
      <c r="Z45" s="38"/>
      <c r="AA45" s="38"/>
      <c r="AB45" s="38"/>
      <c r="AC45" s="38"/>
      <c r="AD45" s="38"/>
      <c r="AE45" s="38"/>
      <c r="AF45" s="38"/>
      <c r="AG45" s="38"/>
    </row>
    <row r="46" spans="1:33">
      <c r="A46" s="103" t="s">
        <v>902</v>
      </c>
      <c r="B46" s="275">
        <f t="shared" ref="B46" si="23">B42-SUM(B43:B45)</f>
        <v>608</v>
      </c>
      <c r="C46" s="275">
        <f t="shared" ref="C46:M46" si="24">C42-SUM(C43:C45)</f>
        <v>3179</v>
      </c>
      <c r="D46" s="275">
        <f t="shared" si="24"/>
        <v>4130</v>
      </c>
      <c r="E46" s="275">
        <f t="shared" si="24"/>
        <v>3184</v>
      </c>
      <c r="F46" s="275">
        <f>F42-SUM(F43:F45)</f>
        <v>3062</v>
      </c>
      <c r="G46" s="275">
        <f t="shared" si="24"/>
        <v>3307</v>
      </c>
      <c r="H46" s="275">
        <f t="shared" si="24"/>
        <v>2987</v>
      </c>
      <c r="I46" s="275">
        <f t="shared" si="24"/>
        <v>2810</v>
      </c>
      <c r="J46" s="275">
        <f t="shared" si="24"/>
        <v>3012</v>
      </c>
      <c r="K46" s="275">
        <f t="shared" si="24"/>
        <v>3184</v>
      </c>
      <c r="L46" s="275">
        <f t="shared" si="24"/>
        <v>0</v>
      </c>
      <c r="M46" s="275">
        <f t="shared" si="24"/>
        <v>0</v>
      </c>
      <c r="N46" s="37" t="s">
        <v>961</v>
      </c>
      <c r="O46"/>
      <c r="P46"/>
      <c r="R46" s="22" t="s">
        <v>979</v>
      </c>
      <c r="Z46" s="31">
        <v>7303</v>
      </c>
      <c r="AA46" s="31">
        <v>6967</v>
      </c>
      <c r="AB46" s="31">
        <v>4708</v>
      </c>
      <c r="AC46" s="31">
        <v>3679</v>
      </c>
      <c r="AD46" s="31">
        <v>5287</v>
      </c>
      <c r="AE46" s="31">
        <v>5660</v>
      </c>
      <c r="AF46" s="31">
        <v>3925</v>
      </c>
      <c r="AG46" s="31">
        <v>5701</v>
      </c>
    </row>
    <row r="47" spans="1:33" ht="15">
      <c r="A47" s="9" t="s">
        <v>903</v>
      </c>
      <c r="B47" s="274">
        <f>B51-B42</f>
        <v>20021</v>
      </c>
      <c r="C47" s="274">
        <f t="shared" ref="C47:M47" si="25">C51-C42</f>
        <v>20185</v>
      </c>
      <c r="D47" s="274">
        <f t="shared" si="25"/>
        <v>20276</v>
      </c>
      <c r="E47" s="274">
        <f t="shared" si="25"/>
        <v>17914</v>
      </c>
      <c r="F47" s="274">
        <f t="shared" si="25"/>
        <v>20040</v>
      </c>
      <c r="G47" s="274">
        <f t="shared" si="25"/>
        <v>15932</v>
      </c>
      <c r="H47" s="274">
        <f t="shared" si="25"/>
        <v>13407</v>
      </c>
      <c r="I47" s="274">
        <f t="shared" si="25"/>
        <v>11875</v>
      </c>
      <c r="J47" s="274">
        <f t="shared" si="25"/>
        <v>13774</v>
      </c>
      <c r="K47" s="274">
        <f t="shared" si="25"/>
        <v>13774</v>
      </c>
      <c r="L47" s="274">
        <f t="shared" si="25"/>
        <v>0</v>
      </c>
      <c r="M47" s="274">
        <f t="shared" si="25"/>
        <v>0</v>
      </c>
      <c r="N47" s="37" t="s">
        <v>961</v>
      </c>
      <c r="O47" t="s">
        <v>980</v>
      </c>
      <c r="P47"/>
      <c r="Z47" s="31"/>
      <c r="AA47" s="31"/>
      <c r="AB47" s="31"/>
      <c r="AC47" s="31"/>
      <c r="AD47" s="31"/>
      <c r="AE47" s="31"/>
      <c r="AF47" s="31"/>
      <c r="AG47" s="31"/>
    </row>
    <row r="48" spans="1:33">
      <c r="A48" s="26" t="s">
        <v>904</v>
      </c>
      <c r="B48" s="275">
        <v>14680</v>
      </c>
      <c r="C48" s="275">
        <v>15174</v>
      </c>
      <c r="D48" s="275">
        <v>14888</v>
      </c>
      <c r="E48" s="275">
        <v>13146</v>
      </c>
      <c r="F48" s="275">
        <v>15154</v>
      </c>
      <c r="G48" s="275">
        <v>10681</v>
      </c>
      <c r="H48" s="275">
        <v>8198</v>
      </c>
      <c r="I48" s="275">
        <v>6740</v>
      </c>
      <c r="J48" s="275">
        <v>8284</v>
      </c>
      <c r="K48" s="275">
        <v>8284</v>
      </c>
      <c r="L48" s="275"/>
      <c r="M48" s="275"/>
      <c r="N48" s="37" t="s">
        <v>961</v>
      </c>
      <c r="O48" t="s">
        <v>981</v>
      </c>
      <c r="P48"/>
      <c r="Z48" s="24">
        <f t="shared" ref="Z48:AG48" si="26">Z44-Z46</f>
        <v>18829</v>
      </c>
      <c r="AA48" s="24">
        <f t="shared" si="26"/>
        <v>19275</v>
      </c>
      <c r="AB48" s="24">
        <f t="shared" si="26"/>
        <v>23169</v>
      </c>
      <c r="AC48" s="24">
        <f t="shared" si="26"/>
        <v>23618</v>
      </c>
      <c r="AD48" s="24">
        <f t="shared" si="26"/>
        <v>24128</v>
      </c>
      <c r="AE48" s="24">
        <f t="shared" si="26"/>
        <v>22901</v>
      </c>
      <c r="AF48" s="24">
        <f t="shared" si="26"/>
        <v>18095</v>
      </c>
      <c r="AG48" s="24">
        <f t="shared" si="26"/>
        <v>13591</v>
      </c>
    </row>
    <row r="49" spans="1:33" s="9" customFormat="1" ht="15">
      <c r="A49" s="26" t="s">
        <v>905</v>
      </c>
      <c r="B49" s="275">
        <v>0</v>
      </c>
      <c r="C49" s="275">
        <v>373</v>
      </c>
      <c r="D49" s="275">
        <v>390</v>
      </c>
      <c r="E49" s="275">
        <v>281</v>
      </c>
      <c r="F49" s="275">
        <v>364</v>
      </c>
      <c r="G49" s="275">
        <v>85</v>
      </c>
      <c r="H49" s="275">
        <v>124</v>
      </c>
      <c r="I49" s="275">
        <v>157</v>
      </c>
      <c r="J49" s="275">
        <v>213</v>
      </c>
      <c r="K49" s="275">
        <v>213</v>
      </c>
      <c r="L49" s="275"/>
      <c r="M49" s="275"/>
      <c r="N49" s="37"/>
      <c r="O49"/>
      <c r="P49"/>
      <c r="Q49" s="22" t="s">
        <v>962</v>
      </c>
      <c r="R49" s="9" t="s">
        <v>982</v>
      </c>
      <c r="Z49" s="38">
        <f>61491-Z44</f>
        <v>35359</v>
      </c>
      <c r="AA49" s="38">
        <f>63457-AA44</f>
        <v>37215</v>
      </c>
      <c r="AB49" s="38">
        <f>67855-AB44</f>
        <v>39978</v>
      </c>
      <c r="AC49" s="38">
        <v>36721</v>
      </c>
      <c r="AD49" s="38">
        <v>41973</v>
      </c>
      <c r="AE49" s="38">
        <f>8415+16529+10956+3583</f>
        <v>39483</v>
      </c>
      <c r="AF49" s="38">
        <f>4505+15932+7584+2654</f>
        <v>30675</v>
      </c>
      <c r="AG49" s="38">
        <f>5652+16195+7420+2179</f>
        <v>31446</v>
      </c>
    </row>
    <row r="50" spans="1:33">
      <c r="A50" s="103" t="s">
        <v>906</v>
      </c>
      <c r="B50" s="275">
        <f t="shared" ref="B50" si="27">B47-SUM(B48:B49)</f>
        <v>5341</v>
      </c>
      <c r="C50" s="275">
        <f t="shared" ref="C50:M50" si="28">C47-SUM(C48:C49)</f>
        <v>4638</v>
      </c>
      <c r="D50" s="275">
        <f t="shared" si="28"/>
        <v>4998</v>
      </c>
      <c r="E50" s="275">
        <f t="shared" si="28"/>
        <v>4487</v>
      </c>
      <c r="F50" s="275">
        <f t="shared" si="28"/>
        <v>4522</v>
      </c>
      <c r="G50" s="275">
        <f t="shared" si="28"/>
        <v>5166</v>
      </c>
      <c r="H50" s="275">
        <f t="shared" si="28"/>
        <v>5085</v>
      </c>
      <c r="I50" s="275">
        <f t="shared" si="28"/>
        <v>4978</v>
      </c>
      <c r="J50" s="275">
        <f t="shared" si="28"/>
        <v>5277</v>
      </c>
      <c r="K50" s="275">
        <f>K47-SUM(K48:K49)</f>
        <v>5277</v>
      </c>
      <c r="L50" s="275">
        <f t="shared" si="28"/>
        <v>0</v>
      </c>
      <c r="M50" s="275">
        <f t="shared" si="28"/>
        <v>0</v>
      </c>
      <c r="N50" s="37" t="s">
        <v>961</v>
      </c>
      <c r="O50" t="s">
        <v>983</v>
      </c>
      <c r="P50"/>
      <c r="R50" s="22" t="s">
        <v>984</v>
      </c>
      <c r="Z50" s="27">
        <v>22818</v>
      </c>
      <c r="AA50" s="27">
        <v>25169</v>
      </c>
      <c r="AB50" s="27">
        <v>27784</v>
      </c>
      <c r="AC50" s="27">
        <v>26719</v>
      </c>
      <c r="AD50" s="27">
        <v>27752</v>
      </c>
      <c r="AE50" s="27">
        <v>24944</v>
      </c>
      <c r="AF50" s="27">
        <v>20437</v>
      </c>
      <c r="AG50" s="27">
        <v>21847</v>
      </c>
    </row>
    <row r="51" spans="1:33" ht="15">
      <c r="A51" s="9" t="s">
        <v>42</v>
      </c>
      <c r="B51" s="370">
        <v>27572</v>
      </c>
      <c r="C51" s="370">
        <v>27799</v>
      </c>
      <c r="D51" s="370">
        <v>28718</v>
      </c>
      <c r="E51" s="370">
        <v>25056</v>
      </c>
      <c r="F51" s="370">
        <v>26536</v>
      </c>
      <c r="G51" s="370">
        <v>22935</v>
      </c>
      <c r="H51" s="370">
        <v>19767</v>
      </c>
      <c r="I51" s="370">
        <v>18535</v>
      </c>
      <c r="J51" s="370">
        <v>19961</v>
      </c>
      <c r="K51" s="370">
        <v>19961</v>
      </c>
      <c r="L51" s="370"/>
      <c r="M51" s="370"/>
      <c r="N51" s="37" t="s">
        <v>961</v>
      </c>
      <c r="O51" t="s">
        <v>42</v>
      </c>
      <c r="P51"/>
      <c r="Z51" s="27"/>
      <c r="AA51" s="27"/>
      <c r="AB51" s="27"/>
      <c r="AC51" s="27"/>
      <c r="AD51" s="27"/>
      <c r="AE51" s="27"/>
      <c r="AF51" s="27"/>
      <c r="AG51" s="27"/>
    </row>
    <row r="52" spans="1:33">
      <c r="B52" s="370"/>
      <c r="C52" s="370"/>
      <c r="D52" s="370"/>
      <c r="E52" s="370"/>
      <c r="F52" s="370"/>
      <c r="G52" s="370"/>
      <c r="H52" s="370"/>
      <c r="I52" s="370"/>
      <c r="J52" s="370"/>
      <c r="K52" s="370"/>
      <c r="L52" s="370"/>
      <c r="M52" s="370"/>
      <c r="N52" s="37" t="s">
        <v>961</v>
      </c>
      <c r="O52"/>
      <c r="P52"/>
      <c r="Z52" s="24">
        <f t="shared" ref="Z52:AG52" si="29">Z49-Z50</f>
        <v>12541</v>
      </c>
      <c r="AA52" s="24">
        <f t="shared" si="29"/>
        <v>12046</v>
      </c>
      <c r="AB52" s="24">
        <f t="shared" si="29"/>
        <v>12194</v>
      </c>
      <c r="AC52" s="24">
        <f t="shared" si="29"/>
        <v>10002</v>
      </c>
      <c r="AD52" s="24">
        <f t="shared" si="29"/>
        <v>14221</v>
      </c>
      <c r="AE52" s="24">
        <f t="shared" si="29"/>
        <v>14539</v>
      </c>
      <c r="AF52" s="24">
        <f t="shared" si="29"/>
        <v>10238</v>
      </c>
      <c r="AG52" s="24">
        <f t="shared" si="29"/>
        <v>9599</v>
      </c>
    </row>
    <row r="53" spans="1:33" s="9" customFormat="1" ht="15">
      <c r="A53" s="22"/>
      <c r="B53" s="370"/>
      <c r="C53" s="370"/>
      <c r="D53" s="370"/>
      <c r="E53" s="370"/>
      <c r="F53" s="370"/>
      <c r="G53" s="370"/>
      <c r="H53" s="370"/>
      <c r="I53" s="370"/>
      <c r="J53" s="370"/>
      <c r="K53" s="370"/>
      <c r="L53" s="370"/>
      <c r="M53" s="370"/>
      <c r="N53" s="37" t="s">
        <v>961</v>
      </c>
      <c r="O53"/>
      <c r="P53"/>
      <c r="Z53" s="35">
        <f>+Z49+Z44</f>
        <v>61491</v>
      </c>
      <c r="AA53" s="35">
        <f>+AA49+AA44</f>
        <v>63457</v>
      </c>
      <c r="AB53" s="35">
        <f>+AB49+AB44</f>
        <v>67855</v>
      </c>
      <c r="AC53" s="35">
        <f>AC44+AC49</f>
        <v>64018</v>
      </c>
      <c r="AD53" s="35">
        <f>AD49+AD44</f>
        <v>71388</v>
      </c>
      <c r="AE53" s="35">
        <f>AE49+AE44</f>
        <v>68044</v>
      </c>
      <c r="AF53" s="35">
        <f>AF49+AF44</f>
        <v>52695</v>
      </c>
      <c r="AG53" s="35">
        <f>AG49+AG44</f>
        <v>50738</v>
      </c>
    </row>
    <row r="54" spans="1:33" ht="15">
      <c r="A54" s="39" t="s">
        <v>908</v>
      </c>
      <c r="B54" s="275">
        <v>1459</v>
      </c>
      <c r="C54" s="275">
        <v>1470</v>
      </c>
      <c r="D54" s="275">
        <v>1716</v>
      </c>
      <c r="E54" s="275">
        <v>1534</v>
      </c>
      <c r="F54" s="275">
        <v>1668</v>
      </c>
      <c r="G54" s="275">
        <v>1795</v>
      </c>
      <c r="H54" s="275">
        <v>1765</v>
      </c>
      <c r="I54" s="275">
        <v>1715</v>
      </c>
      <c r="J54" s="275">
        <v>1650</v>
      </c>
      <c r="K54" s="275">
        <v>1650</v>
      </c>
      <c r="L54" s="275"/>
      <c r="M54" s="275"/>
      <c r="N54" s="37" t="s">
        <v>961</v>
      </c>
      <c r="O54" t="s">
        <v>908</v>
      </c>
      <c r="P54"/>
    </row>
    <row r="55" spans="1:33">
      <c r="B55" s="370"/>
      <c r="C55" s="370"/>
      <c r="D55" s="370"/>
      <c r="E55" s="370"/>
      <c r="F55" s="370"/>
      <c r="G55" s="370"/>
      <c r="H55" s="370"/>
      <c r="I55" s="370"/>
      <c r="J55" s="370"/>
      <c r="K55" s="370"/>
      <c r="L55" s="370"/>
      <c r="M55" s="370"/>
      <c r="N55" s="37" t="s">
        <v>961</v>
      </c>
      <c r="O55"/>
      <c r="P55"/>
    </row>
    <row r="56" spans="1:33" s="9" customFormat="1" ht="15">
      <c r="A56" s="9" t="s">
        <v>909</v>
      </c>
      <c r="B56" s="274">
        <f>B38-B51-B54</f>
        <v>6299</v>
      </c>
      <c r="C56" s="274">
        <f t="shared" ref="C56:M56" si="30">C38-C51-C54</f>
        <v>6352</v>
      </c>
      <c r="D56" s="274">
        <f t="shared" si="30"/>
        <v>6082</v>
      </c>
      <c r="E56" s="274">
        <f>E38-E51-E54</f>
        <v>5363</v>
      </c>
      <c r="F56" s="274">
        <f t="shared" si="30"/>
        <v>5104</v>
      </c>
      <c r="G56" s="274">
        <f t="shared" si="30"/>
        <v>6566</v>
      </c>
      <c r="H56" s="274">
        <f t="shared" si="30"/>
        <v>8183</v>
      </c>
      <c r="I56" s="274">
        <f t="shared" si="30"/>
        <v>8598</v>
      </c>
      <c r="J56" s="274">
        <f>J38-J51-J54</f>
        <v>6880</v>
      </c>
      <c r="K56" s="274">
        <f>K38-K51-K54</f>
        <v>6880</v>
      </c>
      <c r="L56" s="274">
        <f t="shared" si="30"/>
        <v>0</v>
      </c>
      <c r="M56" s="274">
        <f t="shared" si="30"/>
        <v>0</v>
      </c>
      <c r="N56" s="37" t="s">
        <v>961</v>
      </c>
      <c r="O56"/>
      <c r="P56"/>
      <c r="Q56" s="22" t="s">
        <v>962</v>
      </c>
      <c r="R56" s="9" t="s">
        <v>985</v>
      </c>
    </row>
    <row r="57" spans="1:33" ht="15">
      <c r="A57" s="9"/>
      <c r="B57" s="274"/>
      <c r="C57" s="274"/>
      <c r="D57" s="274"/>
      <c r="E57" s="274"/>
      <c r="F57" s="274"/>
      <c r="G57" s="274"/>
      <c r="H57" s="274"/>
      <c r="I57" s="274"/>
      <c r="J57" s="274"/>
      <c r="K57" s="274"/>
      <c r="L57" s="274"/>
      <c r="M57" s="274"/>
      <c r="N57" s="37"/>
      <c r="O57"/>
      <c r="P57"/>
    </row>
    <row r="58" spans="1:33" ht="15">
      <c r="A58" s="51" t="s">
        <v>986</v>
      </c>
      <c r="B58" s="274"/>
      <c r="C58" s="274"/>
      <c r="D58" s="274"/>
      <c r="E58" s="274"/>
      <c r="F58" s="274"/>
      <c r="G58" s="274"/>
      <c r="H58" s="274"/>
      <c r="I58" s="274"/>
      <c r="J58" s="274"/>
      <c r="K58" s="274"/>
      <c r="L58" s="274"/>
      <c r="M58" s="274"/>
      <c r="N58" s="37"/>
      <c r="O58"/>
      <c r="P58"/>
    </row>
    <row r="59" spans="1:33" ht="15">
      <c r="A59" s="9" t="s">
        <v>124</v>
      </c>
      <c r="B59" s="370">
        <v>3024</v>
      </c>
      <c r="C59" s="370">
        <v>3935</v>
      </c>
      <c r="D59" s="370">
        <v>3654</v>
      </c>
      <c r="E59" s="370">
        <v>2320</v>
      </c>
      <c r="F59" s="370">
        <v>3248</v>
      </c>
      <c r="G59" s="370">
        <v>3084</v>
      </c>
      <c r="H59" s="370">
        <v>3132</v>
      </c>
      <c r="I59" s="370">
        <v>2548</v>
      </c>
      <c r="J59" s="370">
        <v>2551</v>
      </c>
      <c r="K59" s="370">
        <v>1790</v>
      </c>
      <c r="L59" s="370"/>
      <c r="M59" s="370"/>
      <c r="N59" s="37"/>
      <c r="O59"/>
      <c r="P59"/>
    </row>
    <row r="60" spans="1:33">
      <c r="A60" s="26" t="s">
        <v>60</v>
      </c>
      <c r="B60" s="275">
        <f t="shared" ref="B60:M60" si="31">B12</f>
        <v>3766</v>
      </c>
      <c r="C60" s="275">
        <f t="shared" si="31"/>
        <v>3338</v>
      </c>
      <c r="D60" s="275">
        <f t="shared" si="31"/>
        <v>2799</v>
      </c>
      <c r="E60" s="275">
        <f t="shared" si="31"/>
        <v>1454</v>
      </c>
      <c r="F60" s="275">
        <f t="shared" si="31"/>
        <v>3337</v>
      </c>
      <c r="G60" s="275">
        <f t="shared" si="31"/>
        <v>3144</v>
      </c>
      <c r="H60" s="275">
        <f t="shared" si="31"/>
        <v>2772</v>
      </c>
      <c r="I60" s="275">
        <f t="shared" si="31"/>
        <v>2362</v>
      </c>
      <c r="J60" s="275">
        <f t="shared" si="31"/>
        <v>2467</v>
      </c>
      <c r="K60" s="275">
        <f t="shared" si="31"/>
        <v>2181</v>
      </c>
      <c r="L60" s="275"/>
      <c r="M60" s="275"/>
      <c r="N60" s="37"/>
      <c r="O60"/>
      <c r="P60"/>
    </row>
    <row r="61" spans="1:33">
      <c r="A61" s="103" t="s">
        <v>51</v>
      </c>
      <c r="B61" s="275">
        <v>1066</v>
      </c>
      <c r="C61" s="275">
        <v>828</v>
      </c>
      <c r="D61" s="275">
        <v>447</v>
      </c>
      <c r="E61" s="275">
        <v>1839</v>
      </c>
      <c r="F61" s="275">
        <v>374</v>
      </c>
      <c r="G61" s="275">
        <v>493</v>
      </c>
      <c r="H61" s="275">
        <v>361</v>
      </c>
      <c r="I61" s="275">
        <v>473</v>
      </c>
      <c r="J61" s="275">
        <v>440</v>
      </c>
      <c r="K61" s="275">
        <v>629</v>
      </c>
      <c r="L61" s="275"/>
      <c r="M61" s="275"/>
      <c r="N61" s="37"/>
      <c r="O61"/>
      <c r="P61"/>
    </row>
    <row r="62" spans="1:33">
      <c r="A62" s="103" t="s">
        <v>987</v>
      </c>
      <c r="B62" s="275">
        <v>-2674</v>
      </c>
      <c r="C62" s="275">
        <v>-1302</v>
      </c>
      <c r="D62" s="275">
        <v>-524</v>
      </c>
      <c r="E62" s="275">
        <v>-1656</v>
      </c>
      <c r="F62" s="275">
        <v>-1168</v>
      </c>
      <c r="G62" s="275">
        <v>-1100</v>
      </c>
      <c r="H62" s="275">
        <v>-788</v>
      </c>
      <c r="I62" s="275">
        <v>-766</v>
      </c>
      <c r="J62" s="275">
        <v>-686</v>
      </c>
      <c r="K62" s="275">
        <v>-1546</v>
      </c>
      <c r="L62" s="275"/>
      <c r="M62" s="275"/>
      <c r="N62" s="37"/>
      <c r="O62"/>
      <c r="P62"/>
    </row>
    <row r="63" spans="1:33">
      <c r="A63" s="103" t="s">
        <v>988</v>
      </c>
      <c r="B63" s="275">
        <f>B59-B60-B61-B62</f>
        <v>866</v>
      </c>
      <c r="C63" s="275">
        <f t="shared" ref="C63" si="32">C59-C60-C61-C62</f>
        <v>1071</v>
      </c>
      <c r="D63" s="275">
        <f>D59-D60-D61-D62</f>
        <v>932</v>
      </c>
      <c r="E63" s="275">
        <f t="shared" ref="E63:M63" si="33">E59-E60-E61-E62</f>
        <v>683</v>
      </c>
      <c r="F63" s="275">
        <f t="shared" si="33"/>
        <v>705</v>
      </c>
      <c r="G63" s="275">
        <f t="shared" si="33"/>
        <v>547</v>
      </c>
      <c r="H63" s="275">
        <f t="shared" si="33"/>
        <v>787</v>
      </c>
      <c r="I63" s="275">
        <f t="shared" si="33"/>
        <v>479</v>
      </c>
      <c r="J63" s="275">
        <f t="shared" si="33"/>
        <v>330</v>
      </c>
      <c r="K63" s="275">
        <f t="shared" si="33"/>
        <v>526</v>
      </c>
      <c r="L63" s="275">
        <f t="shared" si="33"/>
        <v>0</v>
      </c>
      <c r="M63" s="275">
        <f t="shared" si="33"/>
        <v>0</v>
      </c>
      <c r="N63" s="37"/>
      <c r="O63"/>
      <c r="P63"/>
    </row>
    <row r="64" spans="1:33" ht="15">
      <c r="A64" s="9" t="s">
        <v>125</v>
      </c>
      <c r="B64" s="370">
        <v>-1197</v>
      </c>
      <c r="C64" s="370">
        <v>-1341</v>
      </c>
      <c r="D64" s="370">
        <v>-1091</v>
      </c>
      <c r="E64" s="370">
        <v>-805</v>
      </c>
      <c r="F64" s="370">
        <v>-270</v>
      </c>
      <c r="G64" s="370">
        <v>-1151</v>
      </c>
      <c r="H64" s="370">
        <v>-552</v>
      </c>
      <c r="I64" s="370">
        <v>596</v>
      </c>
      <c r="J64" s="370">
        <v>-894</v>
      </c>
      <c r="K64" s="370">
        <v>-1089</v>
      </c>
      <c r="L64" s="370"/>
      <c r="M64" s="370"/>
      <c r="N64" s="37"/>
      <c r="O64"/>
      <c r="P64"/>
    </row>
    <row r="65" spans="1:16">
      <c r="A65" s="103" t="s">
        <v>126</v>
      </c>
      <c r="B65" s="275">
        <v>-1180</v>
      </c>
      <c r="C65" s="275">
        <v>-1097</v>
      </c>
      <c r="D65" s="275">
        <v>-626</v>
      </c>
      <c r="E65" s="275">
        <v>-700</v>
      </c>
      <c r="F65" s="275">
        <v>-671</v>
      </c>
      <c r="G65" s="275">
        <v>-584</v>
      </c>
      <c r="H65" s="275">
        <v>-518</v>
      </c>
      <c r="I65" s="275">
        <v>-506</v>
      </c>
      <c r="J65" s="275">
        <v>-638</v>
      </c>
      <c r="K65" s="275">
        <v>-642</v>
      </c>
      <c r="L65" s="275"/>
      <c r="M65" s="275"/>
      <c r="N65" s="37"/>
      <c r="O65"/>
      <c r="P65"/>
    </row>
    <row r="66" spans="1:16">
      <c r="A66" s="103" t="s">
        <v>127</v>
      </c>
      <c r="B66" s="275">
        <v>-492</v>
      </c>
      <c r="C66" s="275">
        <v>-343</v>
      </c>
      <c r="D66" s="275">
        <v>-492</v>
      </c>
      <c r="E66" s="275">
        <v>-130</v>
      </c>
      <c r="F66" s="275">
        <v>-57</v>
      </c>
      <c r="G66" s="275">
        <v>-611</v>
      </c>
      <c r="H66" s="275">
        <v>-80</v>
      </c>
      <c r="I66" s="275">
        <v>-17</v>
      </c>
      <c r="J66" s="275">
        <v>-1286</v>
      </c>
      <c r="K66" s="275">
        <v>-529</v>
      </c>
      <c r="L66" s="275"/>
      <c r="M66" s="275"/>
      <c r="N66" s="37"/>
      <c r="O66"/>
      <c r="P66"/>
    </row>
    <row r="67" spans="1:16">
      <c r="A67" s="103" t="s">
        <v>989</v>
      </c>
      <c r="B67" s="275">
        <f>B64-B65-B66</f>
        <v>475</v>
      </c>
      <c r="C67" s="275">
        <f>C64-C65-C66</f>
        <v>99</v>
      </c>
      <c r="D67" s="275">
        <f>D64-D65-D66</f>
        <v>27</v>
      </c>
      <c r="E67" s="275">
        <f t="shared" ref="E67" si="34">E64-E65-E66</f>
        <v>25</v>
      </c>
      <c r="F67" s="275">
        <f t="shared" ref="F67:M67" si="35">F64-F65-F66</f>
        <v>458</v>
      </c>
      <c r="G67" s="275">
        <f t="shared" si="35"/>
        <v>44</v>
      </c>
      <c r="H67" s="275">
        <f t="shared" si="35"/>
        <v>46</v>
      </c>
      <c r="I67" s="275">
        <f t="shared" si="35"/>
        <v>1119</v>
      </c>
      <c r="J67" s="275">
        <f t="shared" si="35"/>
        <v>1030</v>
      </c>
      <c r="K67" s="275">
        <f t="shared" si="35"/>
        <v>82</v>
      </c>
      <c r="L67" s="275">
        <f t="shared" si="35"/>
        <v>0</v>
      </c>
      <c r="M67" s="275">
        <f t="shared" si="35"/>
        <v>0</v>
      </c>
      <c r="N67" s="37"/>
      <c r="O67"/>
      <c r="P67"/>
    </row>
    <row r="68" spans="1:16" ht="15">
      <c r="A68" s="9" t="s">
        <v>128</v>
      </c>
      <c r="B68" s="370">
        <v>-2408</v>
      </c>
      <c r="C68" s="370">
        <v>-3259</v>
      </c>
      <c r="D68" s="370">
        <v>-2794</v>
      </c>
      <c r="E68" s="370">
        <v>1037</v>
      </c>
      <c r="F68" s="370">
        <v>-2924</v>
      </c>
      <c r="G68" s="370">
        <v>-2118</v>
      </c>
      <c r="H68" s="370">
        <v>-2458</v>
      </c>
      <c r="I68" s="370">
        <v>-2801</v>
      </c>
      <c r="J68" s="370">
        <v>-1734</v>
      </c>
      <c r="K68" s="370">
        <v>-1622</v>
      </c>
      <c r="L68" s="370"/>
      <c r="M68" s="370"/>
      <c r="N68" s="37"/>
      <c r="O68"/>
      <c r="P68"/>
    </row>
    <row r="69" spans="1:16">
      <c r="A69" s="103" t="s">
        <v>990</v>
      </c>
      <c r="B69" s="275">
        <v>2229</v>
      </c>
      <c r="C69" s="275">
        <v>2263</v>
      </c>
      <c r="D69" s="275">
        <v>1031</v>
      </c>
      <c r="E69" s="275">
        <v>5188</v>
      </c>
      <c r="F69" s="275">
        <v>2766</v>
      </c>
      <c r="G69" s="275">
        <v>2612</v>
      </c>
      <c r="H69" s="275">
        <v>0</v>
      </c>
      <c r="I69" s="275">
        <v>0</v>
      </c>
      <c r="J69" s="275">
        <v>791</v>
      </c>
      <c r="K69" s="275">
        <v>1378</v>
      </c>
      <c r="L69" s="275"/>
      <c r="M69" s="275"/>
      <c r="N69" s="37"/>
      <c r="O69"/>
      <c r="P69"/>
    </row>
    <row r="70" spans="1:16">
      <c r="A70" s="103" t="s">
        <v>991</v>
      </c>
      <c r="B70" s="275">
        <v>-1340</v>
      </c>
      <c r="C70" s="275">
        <v>-1521</v>
      </c>
      <c r="D70" s="275">
        <v>-1247</v>
      </c>
      <c r="E70" s="275">
        <v>-820</v>
      </c>
      <c r="F70" s="275">
        <v>-1168</v>
      </c>
      <c r="G70" s="275">
        <v>-1571</v>
      </c>
      <c r="H70" s="275">
        <v>-1234</v>
      </c>
      <c r="I70" s="275">
        <v>-1003</v>
      </c>
      <c r="J70" s="275">
        <v>-1492</v>
      </c>
      <c r="K70" s="275">
        <v>-1471</v>
      </c>
      <c r="L70" s="275"/>
      <c r="M70" s="275"/>
      <c r="N70" s="37"/>
      <c r="O70"/>
      <c r="P70"/>
    </row>
    <row r="71" spans="1:16">
      <c r="A71" s="103" t="s">
        <v>992</v>
      </c>
      <c r="B71" s="1240"/>
      <c r="C71" s="1240"/>
      <c r="D71" s="1240"/>
      <c r="E71" s="1240"/>
      <c r="F71" s="1240"/>
      <c r="G71" s="1240"/>
      <c r="H71" s="1240"/>
      <c r="I71" s="1240"/>
      <c r="J71" s="1240"/>
      <c r="K71" s="1240"/>
      <c r="L71" s="1240"/>
      <c r="M71" s="1240"/>
      <c r="N71" s="37"/>
      <c r="O71"/>
      <c r="P71"/>
    </row>
    <row r="72" spans="1:16">
      <c r="A72" s="103" t="s">
        <v>993</v>
      </c>
      <c r="B72" s="1240"/>
      <c r="C72" s="1240"/>
      <c r="D72" s="1240"/>
      <c r="E72" s="1240"/>
      <c r="F72" s="1240"/>
      <c r="G72" s="1240"/>
      <c r="H72" s="1240"/>
      <c r="I72" s="1240"/>
      <c r="J72" s="1240"/>
      <c r="K72" s="1240"/>
      <c r="L72" s="1240"/>
      <c r="M72" s="1240"/>
      <c r="N72" s="37"/>
      <c r="O72"/>
      <c r="P72"/>
    </row>
    <row r="73" spans="1:16">
      <c r="A73" s="103" t="s">
        <v>129</v>
      </c>
      <c r="B73" s="275">
        <v>-1761</v>
      </c>
      <c r="C73" s="275">
        <v>-1718</v>
      </c>
      <c r="D73" s="275">
        <v>-1646</v>
      </c>
      <c r="E73" s="275">
        <v>-1646</v>
      </c>
      <c r="F73" s="275">
        <v>-1623</v>
      </c>
      <c r="G73" s="275">
        <v>-1581</v>
      </c>
      <c r="H73" s="275">
        <v>-1515</v>
      </c>
      <c r="I73" s="275">
        <v>-1443</v>
      </c>
      <c r="J73" s="275">
        <v>-1341</v>
      </c>
      <c r="K73" s="275">
        <v>-1228</v>
      </c>
      <c r="L73" s="275"/>
      <c r="M73" s="275"/>
      <c r="N73" s="34" t="s">
        <v>994</v>
      </c>
      <c r="O73" t="s">
        <v>995</v>
      </c>
      <c r="P73"/>
    </row>
    <row r="74" spans="1:16">
      <c r="A74" s="103" t="s">
        <v>891</v>
      </c>
      <c r="B74" s="275">
        <v>-1381</v>
      </c>
      <c r="C74" s="275">
        <v>-2299</v>
      </c>
      <c r="D74" s="275">
        <v>-109</v>
      </c>
      <c r="E74" s="275">
        <v>-1282</v>
      </c>
      <c r="F74" s="275">
        <v>-2775</v>
      </c>
      <c r="G74" s="275">
        <v>-1507</v>
      </c>
      <c r="H74" s="275">
        <v>0</v>
      </c>
      <c r="I74" s="275">
        <v>0</v>
      </c>
      <c r="J74" s="275">
        <v>0</v>
      </c>
      <c r="K74" s="275">
        <v>0</v>
      </c>
      <c r="L74" s="275"/>
      <c r="M74" s="275"/>
      <c r="N74" s="34" t="s">
        <v>994</v>
      </c>
      <c r="O74" t="str">
        <f>+A74</f>
        <v>Share buyback</v>
      </c>
      <c r="P74"/>
    </row>
    <row r="75" spans="1:16">
      <c r="A75" s="103" t="s">
        <v>989</v>
      </c>
      <c r="B75" s="275">
        <f t="shared" ref="B75" si="36">B68-B69-B70-B71-B72-B73-B74</f>
        <v>-155</v>
      </c>
      <c r="C75" s="275">
        <f t="shared" ref="C75:M75" si="37">C68-C69-C70-C71-C72-C73-C74</f>
        <v>16</v>
      </c>
      <c r="D75" s="275">
        <f t="shared" si="37"/>
        <v>-823</v>
      </c>
      <c r="E75" s="275">
        <f t="shared" si="37"/>
        <v>-403</v>
      </c>
      <c r="F75" s="275">
        <f t="shared" si="37"/>
        <v>-124</v>
      </c>
      <c r="G75" s="275">
        <f t="shared" si="37"/>
        <v>-71</v>
      </c>
      <c r="H75" s="275">
        <f t="shared" si="37"/>
        <v>291</v>
      </c>
      <c r="I75" s="275">
        <f t="shared" si="37"/>
        <v>-355</v>
      </c>
      <c r="J75" s="275">
        <f t="shared" si="37"/>
        <v>308</v>
      </c>
      <c r="K75" s="275">
        <f t="shared" si="37"/>
        <v>-301</v>
      </c>
      <c r="L75" s="275">
        <f t="shared" si="37"/>
        <v>0</v>
      </c>
      <c r="M75" s="275">
        <f t="shared" si="37"/>
        <v>0</v>
      </c>
      <c r="N75" s="37"/>
      <c r="O75"/>
      <c r="P75"/>
    </row>
    <row r="76" spans="1:16" ht="15">
      <c r="A76" s="9" t="s">
        <v>132</v>
      </c>
      <c r="B76" s="370">
        <v>-227</v>
      </c>
      <c r="C76" s="370">
        <v>239</v>
      </c>
      <c r="D76" s="370">
        <v>-285</v>
      </c>
      <c r="E76" s="370">
        <v>-120</v>
      </c>
      <c r="F76" s="370">
        <v>-26</v>
      </c>
      <c r="G76" s="370">
        <v>-39</v>
      </c>
      <c r="H76" s="370">
        <v>-14</v>
      </c>
      <c r="I76" s="370">
        <v>84</v>
      </c>
      <c r="J76" s="370">
        <v>-73</v>
      </c>
      <c r="K76" s="370">
        <v>-192</v>
      </c>
      <c r="L76" s="370"/>
      <c r="M76" s="370"/>
      <c r="N76" s="37"/>
      <c r="O76"/>
      <c r="P76"/>
    </row>
    <row r="77" spans="1:16" ht="15">
      <c r="A77" s="9" t="s">
        <v>910</v>
      </c>
      <c r="B77" s="274">
        <f t="shared" ref="B77" si="38">B59+B64+B68+B76</f>
        <v>-808</v>
      </c>
      <c r="C77" s="274">
        <f t="shared" ref="C77:M77" si="39">C59+C64+C68+C76</f>
        <v>-426</v>
      </c>
      <c r="D77" s="274">
        <f t="shared" si="39"/>
        <v>-516</v>
      </c>
      <c r="E77" s="274">
        <f t="shared" si="39"/>
        <v>2432</v>
      </c>
      <c r="F77" s="274">
        <f t="shared" si="39"/>
        <v>28</v>
      </c>
      <c r="G77" s="274">
        <f t="shared" si="39"/>
        <v>-224</v>
      </c>
      <c r="H77" s="274">
        <f t="shared" si="39"/>
        <v>108</v>
      </c>
      <c r="I77" s="274">
        <f t="shared" si="39"/>
        <v>427</v>
      </c>
      <c r="J77" s="274">
        <f t="shared" si="39"/>
        <v>-150</v>
      </c>
      <c r="K77" s="274">
        <f t="shared" si="39"/>
        <v>-1113</v>
      </c>
      <c r="L77" s="274">
        <f t="shared" si="39"/>
        <v>0</v>
      </c>
      <c r="M77" s="274">
        <f t="shared" si="39"/>
        <v>0</v>
      </c>
      <c r="N77" s="37"/>
      <c r="O77"/>
      <c r="P77"/>
    </row>
    <row r="78" spans="1:16">
      <c r="M78" s="24"/>
      <c r="N78"/>
      <c r="O78" t="s">
        <v>996</v>
      </c>
      <c r="P78"/>
    </row>
    <row r="79" spans="1:16" ht="15">
      <c r="A79" s="51" t="s">
        <v>997</v>
      </c>
      <c r="B79" s="51"/>
      <c r="C79" s="51"/>
      <c r="D79" s="51"/>
      <c r="E79" s="1243" t="s">
        <v>918</v>
      </c>
      <c r="F79" s="1243"/>
      <c r="G79" s="1243"/>
      <c r="H79" s="1243" t="s">
        <v>998</v>
      </c>
      <c r="I79" s="1243"/>
      <c r="J79" s="51" t="s">
        <v>920</v>
      </c>
      <c r="K79" s="51" t="s">
        <v>921</v>
      </c>
      <c r="L79" s="51" t="s">
        <v>922</v>
      </c>
      <c r="M79" s="35"/>
      <c r="N79"/>
      <c r="O79"/>
      <c r="P79"/>
    </row>
    <row r="80" spans="1:16">
      <c r="A80" s="26" t="s">
        <v>999</v>
      </c>
      <c r="B80" s="27">
        <v>30000</v>
      </c>
      <c r="C80" s="40" t="s">
        <v>1000</v>
      </c>
      <c r="D80" s="24"/>
      <c r="E80" s="1240"/>
      <c r="F80" s="1240"/>
      <c r="G80" s="1240"/>
      <c r="H80" s="1241"/>
      <c r="I80" s="1241"/>
      <c r="J80" s="67"/>
      <c r="K80" s="66"/>
      <c r="L80" s="66"/>
      <c r="M80" s="24"/>
      <c r="N80" s="40" t="s">
        <v>1001</v>
      </c>
      <c r="O80"/>
      <c r="P80"/>
    </row>
    <row r="81" spans="1:16">
      <c r="A81" s="26" t="s">
        <v>1002</v>
      </c>
      <c r="B81" s="27">
        <v>2230000</v>
      </c>
      <c r="C81" s="40" t="s">
        <v>1003</v>
      </c>
      <c r="D81" s="24"/>
      <c r="E81" s="1240"/>
      <c r="F81" s="1240"/>
      <c r="G81" s="1240"/>
      <c r="H81" s="1241"/>
      <c r="I81" s="1241"/>
      <c r="J81" s="67"/>
      <c r="K81" s="66"/>
      <c r="L81" s="66"/>
      <c r="M81" s="24"/>
      <c r="N81" s="40" t="s">
        <v>1001</v>
      </c>
      <c r="O81"/>
      <c r="P81"/>
    </row>
    <row r="82" spans="1:16">
      <c r="A82" s="26" t="s">
        <v>40</v>
      </c>
      <c r="B82" s="672">
        <f>2.23/2.26</f>
        <v>0.98672566371681425</v>
      </c>
      <c r="C82" s="40" t="s">
        <v>1003</v>
      </c>
      <c r="D82" s="68"/>
      <c r="E82" s="1240"/>
      <c r="F82" s="1240"/>
      <c r="G82" s="1240"/>
      <c r="H82" s="1241"/>
      <c r="I82" s="1241"/>
      <c r="J82" s="67"/>
      <c r="K82" s="66"/>
      <c r="L82" s="66"/>
      <c r="M82" s="70"/>
      <c r="N82" s="40" t="s">
        <v>1001</v>
      </c>
      <c r="O82"/>
      <c r="P82"/>
    </row>
    <row r="83" spans="1:16">
      <c r="A83" s="26" t="s">
        <v>44</v>
      </c>
      <c r="B83" s="673">
        <v>1.6000000000000001E-3</v>
      </c>
      <c r="C83" s="40" t="s">
        <v>1003</v>
      </c>
      <c r="D83" s="69"/>
      <c r="E83" s="1240"/>
      <c r="F83" s="1240"/>
      <c r="G83" s="1240"/>
      <c r="H83" s="1241"/>
      <c r="I83" s="1241"/>
      <c r="J83" s="67"/>
      <c r="K83" s="66"/>
      <c r="L83" s="66"/>
      <c r="M83" s="70"/>
      <c r="N83" s="40" t="s">
        <v>1001</v>
      </c>
      <c r="O83"/>
      <c r="P83"/>
    </row>
    <row r="84" spans="1:16">
      <c r="A84" s="26" t="s">
        <v>914</v>
      </c>
      <c r="B84" s="27" t="s">
        <v>53</v>
      </c>
      <c r="C84" s="40" t="s">
        <v>1000</v>
      </c>
      <c r="D84" s="24"/>
      <c r="E84" s="1240"/>
      <c r="F84" s="1240"/>
      <c r="G84" s="1240"/>
      <c r="H84" s="1241"/>
      <c r="I84" s="1241"/>
      <c r="J84" s="67"/>
      <c r="K84" s="66"/>
      <c r="L84" s="66"/>
      <c r="M84" s="24"/>
      <c r="N84" s="40" t="s">
        <v>1001</v>
      </c>
      <c r="O84"/>
      <c r="P84"/>
    </row>
    <row r="85" spans="1:16">
      <c r="A85" s="26" t="s">
        <v>1004</v>
      </c>
      <c r="B85" s="674">
        <v>2.7099999999999999E-2</v>
      </c>
      <c r="C85" s="40" t="s">
        <v>1003</v>
      </c>
      <c r="D85" s="24"/>
      <c r="E85" s="1240"/>
      <c r="F85" s="1240"/>
      <c r="G85" s="1240"/>
      <c r="H85" s="1241"/>
      <c r="I85" s="1241"/>
      <c r="J85" s="66"/>
      <c r="K85" s="66"/>
      <c r="L85" s="66"/>
      <c r="M85" s="24"/>
      <c r="N85" s="40" t="s">
        <v>1001</v>
      </c>
      <c r="O85"/>
    </row>
    <row r="86" spans="1:16">
      <c r="A86" s="26" t="s">
        <v>916</v>
      </c>
      <c r="B86" s="707">
        <v>4.1349999999999998</v>
      </c>
      <c r="C86" s="40" t="s">
        <v>1005</v>
      </c>
      <c r="D86" s="24"/>
      <c r="E86" s="1240"/>
      <c r="F86" s="1240"/>
      <c r="G86" s="1240"/>
      <c r="H86" s="1241"/>
      <c r="I86" s="1241"/>
      <c r="J86" s="66"/>
      <c r="K86" s="66"/>
      <c r="L86" s="66"/>
      <c r="M86" s="24"/>
      <c r="N86" s="40" t="s">
        <v>1001</v>
      </c>
    </row>
    <row r="87" spans="1:16" ht="15">
      <c r="B87" s="51">
        <f>B5</f>
        <v>2023</v>
      </c>
      <c r="C87" s="51">
        <f t="shared" ref="C87:D87" si="40">C5</f>
        <v>2022</v>
      </c>
      <c r="D87" s="51">
        <f t="shared" si="40"/>
        <v>2021</v>
      </c>
      <c r="E87" s="41"/>
      <c r="G87" s="41"/>
      <c r="H87" s="41"/>
      <c r="I87" s="41"/>
      <c r="J87" s="41"/>
      <c r="K87" s="41"/>
      <c r="L87" s="41"/>
      <c r="M87" s="41"/>
      <c r="N87"/>
    </row>
    <row r="88" spans="1:16">
      <c r="A88" s="26" t="s">
        <v>917</v>
      </c>
      <c r="B88" s="22" t="s">
        <v>1006</v>
      </c>
      <c r="E88" s="40" t="s">
        <v>1005</v>
      </c>
      <c r="K88" s="22"/>
      <c r="L88" s="22"/>
      <c r="O88"/>
      <c r="P88"/>
    </row>
    <row r="89" spans="1:16" ht="15">
      <c r="A89" s="26" t="s">
        <v>65</v>
      </c>
      <c r="B89" s="65">
        <v>1.62</v>
      </c>
      <c r="C89" s="65"/>
      <c r="D89" s="65"/>
      <c r="E89" s="40" t="s">
        <v>1005</v>
      </c>
      <c r="K89" s="22"/>
      <c r="L89" s="22"/>
      <c r="O89" s="51"/>
    </row>
    <row r="90" spans="1:16" ht="15">
      <c r="M90"/>
      <c r="N90" s="102"/>
      <c r="O90" s="51"/>
    </row>
    <row r="91" spans="1:16">
      <c r="J91" s="24"/>
      <c r="L91"/>
      <c r="M91"/>
      <c r="N91"/>
    </row>
    <row r="92" spans="1:16">
      <c r="J92" s="24"/>
      <c r="L92"/>
      <c r="M92"/>
      <c r="N92"/>
    </row>
    <row r="93" spans="1:16">
      <c r="J93" s="24"/>
      <c r="L93"/>
      <c r="M93"/>
      <c r="N93"/>
    </row>
    <row r="94" spans="1:16">
      <c r="J94" s="24"/>
      <c r="L94"/>
      <c r="M94"/>
      <c r="N94"/>
    </row>
    <row r="95" spans="1:16">
      <c r="J95" s="24"/>
      <c r="L95"/>
      <c r="M95"/>
      <c r="N95"/>
    </row>
    <row r="96" spans="1:16">
      <c r="J96" s="24"/>
      <c r="L96"/>
      <c r="M96"/>
      <c r="N96"/>
      <c r="O96"/>
    </row>
    <row r="97" spans="1:14">
      <c r="J97" s="24"/>
      <c r="L97"/>
      <c r="M97"/>
      <c r="N97"/>
    </row>
    <row r="98" spans="1:14">
      <c r="G98"/>
      <c r="M98"/>
      <c r="N98"/>
    </row>
    <row r="99" spans="1:14">
      <c r="A99"/>
      <c r="B99"/>
      <c r="C99"/>
      <c r="D99"/>
      <c r="E99"/>
      <c r="F99"/>
      <c r="G99"/>
    </row>
    <row r="100" spans="1:14">
      <c r="A100"/>
      <c r="B100"/>
      <c r="C100"/>
      <c r="D100"/>
      <c r="E100"/>
      <c r="F100"/>
      <c r="G100"/>
    </row>
  </sheetData>
  <mergeCells count="27">
    <mergeCell ref="G2:J2"/>
    <mergeCell ref="D4:M4"/>
    <mergeCell ref="R5:S5"/>
    <mergeCell ref="H79:I79"/>
    <mergeCell ref="E79:G79"/>
    <mergeCell ref="B71:D71"/>
    <mergeCell ref="E71:G71"/>
    <mergeCell ref="H71:J71"/>
    <mergeCell ref="K71:M71"/>
    <mergeCell ref="B72:D72"/>
    <mergeCell ref="E72:G72"/>
    <mergeCell ref="H72:J72"/>
    <mergeCell ref="K72:M72"/>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s>
  <pageMargins left="0.75" right="0.75" top="1" bottom="1" header="0" footer="0"/>
  <pageSetup orientation="portrait" horizontalDpi="4294967292" r:id="rId1"/>
  <headerFooter alignWithMargins="0"/>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Props1.xml><?xml version="1.0" encoding="utf-8"?>
<ds:datastoreItem xmlns:ds="http://schemas.openxmlformats.org/officeDocument/2006/customXml" ds:itemID="{E4E33FEE-1117-4802-A5BB-FA073D1C6E04}"/>
</file>

<file path=customXml/itemProps2.xml><?xml version="1.0" encoding="utf-8"?>
<ds:datastoreItem xmlns:ds="http://schemas.openxmlformats.org/officeDocument/2006/customXml" ds:itemID="{90AABA40-929D-4FD7-ADC6-DE50FFFAC6DE}"/>
</file>

<file path=customXml/itemProps3.xml><?xml version="1.0" encoding="utf-8"?>
<ds:datastoreItem xmlns:ds="http://schemas.openxmlformats.org/officeDocument/2006/customXml" ds:itemID="{A881089C-6E2A-4FD7-A402-55E9C86C97B5}"/>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Cristina Lin</cp:lastModifiedBy>
  <cp:revision/>
  <dcterms:created xsi:type="dcterms:W3CDTF">2000-04-19T14:51:26Z</dcterms:created>
  <dcterms:modified xsi:type="dcterms:W3CDTF">2025-01-20T17:25:39Z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