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Luxury 1 - TL Patrícia Nunes/Luxury 1 - TL Catarina Guimarães/HRMS/"/>
    </mc:Choice>
  </mc:AlternateContent>
  <xr:revisionPtr revIDLastSave="9491" documentId="13_ncr:1_{26D5CA1E-45FE-425A-8F05-72ED85C7BA47}" xr6:coauthVersionLast="47" xr6:coauthVersionMax="47" xr10:uidLastSave="{35592393-433F-428E-9CE4-1EC3D07C2F9B}"/>
  <bookViews>
    <workbookView xWindow="-108" yWindow="-108" windowWidth="23256" windowHeight="12456" tabRatio="644" firstSheet="2" activeTab="3" xr2:uid="{00000000-000D-0000-FFFF-FFFF00000000}"/>
  </bookViews>
  <sheets>
    <sheet name="OP" sheetId="1" r:id="rId1"/>
    <sheet name="Acuerdo" sheetId="11" state="hidden" r:id="rId2"/>
    <sheet name="Segments" sheetId="3" r:id="rId3"/>
    <sheet name="Peers" sheetId="10" r:id="rId4"/>
    <sheet name="ESG" sheetId="19" r:id="rId5"/>
    <sheet name="DCF" sheetId="4" r:id="rId6"/>
    <sheet name="Assumptions" sheetId="22" r:id="rId7"/>
    <sheet name="Fin. Data" sheetId="16" r:id="rId8"/>
    <sheet name="Sector Impact" sheetId="18" state="hidden" r:id="rId9"/>
    <sheet name="Inputs" sheetId="17" r:id="rId10"/>
  </sheets>
  <externalReferences>
    <externalReference r:id="rId11"/>
  </externalReferences>
  <definedNames>
    <definedName name="_xlnm.Print_Area" localSheetId="0">OP!$A$1:$L$74</definedName>
    <definedName name="_xlnm.Print_Area" localSheetId="2">Segments!#REF!</definedName>
    <definedName name="Sectors" localSheetId="6">'[1]Sector Impact'!$K$4:$K$16</definedName>
    <definedName name="Sectors">'Sector Impact'!$K$4:$K$16</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9" i="10" l="1"/>
  <c r="C50" i="10"/>
  <c r="C18" i="10"/>
  <c r="D8" i="10"/>
  <c r="D45" i="10" s="1" a="1"/>
  <c r="D45" i="10" s="1"/>
  <c r="D47" i="10" s="1"/>
  <c r="C73" i="10"/>
  <c r="C21" i="10"/>
  <c r="H19" i="10"/>
  <c r="D3" i="10" a="1"/>
  <c r="D3" i="10" s="1"/>
  <c r="D34" i="10"/>
  <c r="F11" i="10"/>
  <c r="D22" i="10"/>
  <c r="D47" i="3"/>
  <c r="F25" i="3"/>
  <c r="I13" i="3"/>
  <c r="H13" i="3"/>
  <c r="G13" i="3"/>
  <c r="F13" i="3"/>
  <c r="E13" i="3"/>
  <c r="D13" i="3"/>
  <c r="I25" i="3"/>
  <c r="H25" i="3"/>
  <c r="G25" i="3"/>
  <c r="E25" i="3"/>
  <c r="D25" i="3"/>
  <c r="G27" i="10"/>
  <c r="F27" i="10"/>
  <c r="F16" i="10"/>
  <c r="F17" i="10"/>
  <c r="F18" i="10"/>
  <c r="D33" i="10"/>
  <c r="D30" i="10"/>
  <c r="D27" i="10"/>
  <c r="E22" i="10"/>
  <c r="E2" i="1"/>
  <c r="C8" i="10" s="1"/>
  <c r="D11" i="10"/>
  <c r="E20" i="10"/>
  <c r="E31" i="10"/>
  <c r="E37" i="10"/>
  <c r="C40" i="10"/>
  <c r="C39" i="10"/>
  <c r="D20" i="10"/>
  <c r="B19" i="16"/>
  <c r="B20" i="16"/>
  <c r="C62" i="10"/>
  <c r="D50" i="10"/>
  <c r="B50" i="16"/>
  <c r="B49" i="16"/>
  <c r="B53" i="16"/>
  <c r="C58" i="16"/>
  <c r="B78" i="16"/>
  <c r="C78" i="16"/>
  <c r="D78" i="16"/>
  <c r="E78" i="16"/>
  <c r="F78" i="16"/>
  <c r="G78" i="16"/>
  <c r="H78" i="16"/>
  <c r="I78" i="16"/>
  <c r="J78" i="16"/>
  <c r="K78" i="16"/>
  <c r="L78" i="16"/>
  <c r="M78" i="16"/>
  <c r="B79" i="16"/>
  <c r="C79" i="16"/>
  <c r="D79" i="16"/>
  <c r="E79" i="16"/>
  <c r="F79" i="16"/>
  <c r="G79" i="16"/>
  <c r="H79" i="16"/>
  <c r="I79" i="16"/>
  <c r="J79" i="16"/>
  <c r="K79" i="16"/>
  <c r="L79" i="16"/>
  <c r="M79" i="16"/>
  <c r="B80" i="16"/>
  <c r="C80" i="16"/>
  <c r="D80" i="16"/>
  <c r="E80" i="16"/>
  <c r="F80" i="16"/>
  <c r="G80" i="16"/>
  <c r="H80" i="16"/>
  <c r="I80" i="16"/>
  <c r="J80" i="16"/>
  <c r="K80" i="16"/>
  <c r="L80" i="16"/>
  <c r="M80" i="16"/>
  <c r="B81" i="16"/>
  <c r="C81" i="16"/>
  <c r="D81" i="16"/>
  <c r="E81" i="16"/>
  <c r="F81" i="16"/>
  <c r="G81" i="16"/>
  <c r="H81" i="16"/>
  <c r="I81" i="16"/>
  <c r="J81" i="16"/>
  <c r="K81" i="16"/>
  <c r="L81" i="16"/>
  <c r="M81" i="16"/>
  <c r="B82" i="16"/>
  <c r="C82" i="16"/>
  <c r="D82" i="16"/>
  <c r="E82" i="16"/>
  <c r="F82" i="16"/>
  <c r="G82" i="16"/>
  <c r="H82" i="16"/>
  <c r="I82" i="16"/>
  <c r="J82" i="16"/>
  <c r="K82" i="16"/>
  <c r="L82" i="16"/>
  <c r="M82" i="16"/>
  <c r="B83" i="16"/>
  <c r="C83" i="16"/>
  <c r="D83" i="16"/>
  <c r="E83" i="16"/>
  <c r="F83" i="16"/>
  <c r="G83" i="16"/>
  <c r="H83" i="16"/>
  <c r="I83" i="16"/>
  <c r="J83" i="16"/>
  <c r="K83" i="16"/>
  <c r="L83" i="16"/>
  <c r="M83" i="16"/>
  <c r="B84" i="16"/>
  <c r="C84" i="16"/>
  <c r="D84" i="16"/>
  <c r="E84" i="16"/>
  <c r="F84" i="16"/>
  <c r="G84" i="16"/>
  <c r="H84" i="16"/>
  <c r="I84" i="16"/>
  <c r="J84" i="16"/>
  <c r="K84" i="16"/>
  <c r="L84" i="16"/>
  <c r="M84" i="16"/>
  <c r="B67" i="16"/>
  <c r="C67" i="16"/>
  <c r="D67" i="16"/>
  <c r="E67" i="16"/>
  <c r="F67" i="16"/>
  <c r="G67" i="16"/>
  <c r="H67" i="16"/>
  <c r="I67" i="16"/>
  <c r="J67" i="16"/>
  <c r="K67" i="16"/>
  <c r="L67" i="16"/>
  <c r="M67" i="16"/>
  <c r="B68" i="16"/>
  <c r="C68" i="16"/>
  <c r="D68" i="16"/>
  <c r="E68" i="16"/>
  <c r="F68" i="16"/>
  <c r="G68" i="16"/>
  <c r="H68" i="16"/>
  <c r="I68" i="16"/>
  <c r="J68" i="16"/>
  <c r="K68" i="16"/>
  <c r="L68" i="16"/>
  <c r="M68" i="16"/>
  <c r="B69" i="16"/>
  <c r="C69" i="16"/>
  <c r="D69" i="16"/>
  <c r="E69" i="16"/>
  <c r="F69" i="16"/>
  <c r="G69" i="16"/>
  <c r="H69" i="16"/>
  <c r="I69" i="16"/>
  <c r="J69" i="16"/>
  <c r="K69" i="16"/>
  <c r="L69" i="16"/>
  <c r="M69" i="16"/>
  <c r="B70" i="16"/>
  <c r="C70" i="16"/>
  <c r="D70" i="16"/>
  <c r="E70" i="16"/>
  <c r="F70" i="16"/>
  <c r="G70" i="16"/>
  <c r="H70" i="16"/>
  <c r="I70" i="16"/>
  <c r="J70" i="16"/>
  <c r="K70" i="16"/>
  <c r="L70" i="16"/>
  <c r="M70" i="16"/>
  <c r="B71" i="16"/>
  <c r="C71" i="16"/>
  <c r="D71" i="16"/>
  <c r="E71" i="16"/>
  <c r="F71" i="16"/>
  <c r="G71" i="16"/>
  <c r="H71" i="16"/>
  <c r="I71" i="16"/>
  <c r="J71" i="16"/>
  <c r="K71" i="16"/>
  <c r="L71" i="16"/>
  <c r="M71" i="16"/>
  <c r="B72" i="16"/>
  <c r="C72" i="16"/>
  <c r="D72" i="16"/>
  <c r="E72" i="16"/>
  <c r="F72" i="16"/>
  <c r="G72" i="16"/>
  <c r="H72" i="16"/>
  <c r="I72" i="16"/>
  <c r="J72" i="16"/>
  <c r="K72" i="16"/>
  <c r="L72" i="16"/>
  <c r="M72" i="16"/>
  <c r="B73" i="16"/>
  <c r="C73" i="16"/>
  <c r="D73" i="16"/>
  <c r="E73" i="16"/>
  <c r="F73" i="16"/>
  <c r="G73" i="16"/>
  <c r="H73" i="16"/>
  <c r="I73" i="16"/>
  <c r="J73" i="16"/>
  <c r="K73" i="16"/>
  <c r="L73" i="16"/>
  <c r="M73" i="16"/>
  <c r="B74" i="16"/>
  <c r="C74" i="16"/>
  <c r="D74" i="16"/>
  <c r="E74" i="16"/>
  <c r="F74" i="16"/>
  <c r="G74" i="16"/>
  <c r="H74" i="16"/>
  <c r="I74" i="16"/>
  <c r="J74" i="16"/>
  <c r="K74" i="16"/>
  <c r="L74" i="16"/>
  <c r="M74" i="16"/>
  <c r="B62" i="16"/>
  <c r="C62" i="16"/>
  <c r="D62" i="16"/>
  <c r="E62" i="16"/>
  <c r="F62" i="16"/>
  <c r="G62" i="16"/>
  <c r="H62" i="16"/>
  <c r="I62" i="16"/>
  <c r="J62" i="16"/>
  <c r="K62" i="16"/>
  <c r="L62" i="16"/>
  <c r="M62" i="16"/>
  <c r="B48" i="16"/>
  <c r="C48" i="16"/>
  <c r="D48" i="16"/>
  <c r="E48" i="16"/>
  <c r="F48" i="16"/>
  <c r="G48" i="16"/>
  <c r="H48" i="16"/>
  <c r="I48" i="16"/>
  <c r="J48" i="16"/>
  <c r="K48" i="16"/>
  <c r="L48" i="16"/>
  <c r="M48" i="16"/>
  <c r="C49" i="16"/>
  <c r="D49" i="16"/>
  <c r="E49" i="16"/>
  <c r="F49" i="16"/>
  <c r="G49" i="16"/>
  <c r="H49" i="16"/>
  <c r="I49" i="16"/>
  <c r="J49" i="16"/>
  <c r="K49" i="16"/>
  <c r="L49" i="16"/>
  <c r="M49" i="16"/>
  <c r="C50" i="16"/>
  <c r="D50" i="16"/>
  <c r="E50" i="16"/>
  <c r="F50" i="16"/>
  <c r="G50" i="16"/>
  <c r="H50" i="16"/>
  <c r="I50" i="16"/>
  <c r="J50" i="16"/>
  <c r="K50" i="16"/>
  <c r="L50" i="16"/>
  <c r="M50" i="16"/>
  <c r="C53" i="16"/>
  <c r="D53" i="16"/>
  <c r="E53" i="16"/>
  <c r="F53" i="16"/>
  <c r="G53" i="16"/>
  <c r="H53" i="16"/>
  <c r="I53" i="16"/>
  <c r="J53" i="16"/>
  <c r="K53" i="16"/>
  <c r="L53" i="16"/>
  <c r="M53" i="16"/>
  <c r="B54" i="16"/>
  <c r="C54" i="16"/>
  <c r="D54" i="16"/>
  <c r="E54" i="16"/>
  <c r="F54" i="16"/>
  <c r="G54" i="16"/>
  <c r="H54" i="16"/>
  <c r="I54" i="16"/>
  <c r="J54" i="16"/>
  <c r="K54" i="16"/>
  <c r="L54" i="16"/>
  <c r="M54" i="16"/>
  <c r="B56" i="16"/>
  <c r="C56" i="16"/>
  <c r="D56" i="16"/>
  <c r="E56" i="16"/>
  <c r="F56" i="16"/>
  <c r="G56" i="16"/>
  <c r="H56" i="16"/>
  <c r="I56" i="16"/>
  <c r="J56" i="16"/>
  <c r="K56" i="16"/>
  <c r="L56" i="16"/>
  <c r="M56" i="16"/>
  <c r="B39" i="16"/>
  <c r="B26" i="16"/>
  <c r="C39" i="16"/>
  <c r="D39" i="16"/>
  <c r="C26" i="16"/>
  <c r="E39" i="16"/>
  <c r="D26" i="16"/>
  <c r="F39" i="16"/>
  <c r="G39" i="16"/>
  <c r="F26" i="16"/>
  <c r="H39" i="16"/>
  <c r="G26" i="16" s="1"/>
  <c r="G29" i="16" s="1"/>
  <c r="I39" i="16"/>
  <c r="J39" i="16"/>
  <c r="I26" i="16"/>
  <c r="K39" i="16"/>
  <c r="J26" i="16"/>
  <c r="L39" i="16"/>
  <c r="M39" i="16"/>
  <c r="L26" i="16"/>
  <c r="B40" i="16"/>
  <c r="C40" i="16"/>
  <c r="D40" i="16"/>
  <c r="E40" i="16"/>
  <c r="F40" i="16"/>
  <c r="G40" i="16"/>
  <c r="H40" i="16"/>
  <c r="I40" i="16"/>
  <c r="J40" i="16"/>
  <c r="K40" i="16"/>
  <c r="L40" i="16"/>
  <c r="M40" i="16"/>
  <c r="B41" i="16"/>
  <c r="C67" i="10"/>
  <c r="C41" i="16"/>
  <c r="D41" i="16"/>
  <c r="E41" i="16"/>
  <c r="F41" i="16"/>
  <c r="G41" i="16"/>
  <c r="H41" i="16"/>
  <c r="I41" i="16"/>
  <c r="J41" i="16"/>
  <c r="K41" i="16"/>
  <c r="L41" i="16"/>
  <c r="M41" i="16"/>
  <c r="B42" i="16"/>
  <c r="C42" i="16"/>
  <c r="D42" i="16"/>
  <c r="E42" i="16"/>
  <c r="F42" i="16"/>
  <c r="G42" i="16"/>
  <c r="H42" i="16"/>
  <c r="I42" i="16"/>
  <c r="J42" i="16"/>
  <c r="K42" i="16"/>
  <c r="L42" i="16"/>
  <c r="M42" i="16"/>
  <c r="B44" i="16"/>
  <c r="C44" i="16"/>
  <c r="D44" i="16"/>
  <c r="E44" i="16"/>
  <c r="F44" i="16"/>
  <c r="G44" i="16"/>
  <c r="H44" i="16"/>
  <c r="I44" i="16"/>
  <c r="J44" i="16"/>
  <c r="K44" i="16"/>
  <c r="L44" i="16"/>
  <c r="M44" i="16"/>
  <c r="B4" i="16"/>
  <c r="B5" i="16"/>
  <c r="C5" i="16"/>
  <c r="B6" i="16"/>
  <c r="D5" i="16"/>
  <c r="C6" i="16"/>
  <c r="E5" i="16"/>
  <c r="F5" i="16"/>
  <c r="G5" i="16"/>
  <c r="F6" i="16"/>
  <c r="H5" i="16"/>
  <c r="I5" i="16"/>
  <c r="J5" i="16"/>
  <c r="I6" i="16"/>
  <c r="K5" i="16"/>
  <c r="L5" i="16"/>
  <c r="M5" i="16"/>
  <c r="L6" i="16"/>
  <c r="B7" i="16"/>
  <c r="C57" i="10"/>
  <c r="C7" i="16"/>
  <c r="D7" i="16"/>
  <c r="E7" i="16"/>
  <c r="E8" i="16"/>
  <c r="F7" i="16"/>
  <c r="G7" i="16"/>
  <c r="H7" i="16"/>
  <c r="H8" i="16" s="1"/>
  <c r="I7" i="16"/>
  <c r="I8" i="16"/>
  <c r="J7" i="16"/>
  <c r="K7" i="16"/>
  <c r="L7" i="16"/>
  <c r="M7" i="16"/>
  <c r="B8" i="16"/>
  <c r="F8" i="16"/>
  <c r="K8" i="16"/>
  <c r="B11" i="16"/>
  <c r="B9" i="16"/>
  <c r="B10" i="16"/>
  <c r="C11" i="16"/>
  <c r="C9" i="16"/>
  <c r="C10" i="16"/>
  <c r="D11" i="16"/>
  <c r="E11" i="16"/>
  <c r="E9" i="16"/>
  <c r="E10" i="16"/>
  <c r="F11" i="16"/>
  <c r="F9" i="16"/>
  <c r="F10" i="16"/>
  <c r="G11" i="16"/>
  <c r="H11" i="16"/>
  <c r="I11" i="16"/>
  <c r="I9" i="16"/>
  <c r="I10" i="16"/>
  <c r="J11" i="16"/>
  <c r="K11" i="16"/>
  <c r="K9" i="16"/>
  <c r="K10" i="16"/>
  <c r="L11" i="16"/>
  <c r="L9" i="16"/>
  <c r="L10" i="16"/>
  <c r="M11" i="16"/>
  <c r="B12" i="16"/>
  <c r="C12" i="16"/>
  <c r="B13" i="16"/>
  <c r="K12" i="16"/>
  <c r="L12" i="16"/>
  <c r="K13" i="16"/>
  <c r="B14" i="16"/>
  <c r="C60" i="10"/>
  <c r="C14" i="16"/>
  <c r="D14" i="16"/>
  <c r="E14" i="16"/>
  <c r="F14" i="16"/>
  <c r="G14" i="16"/>
  <c r="H14" i="16"/>
  <c r="I14" i="16"/>
  <c r="J14" i="16"/>
  <c r="K14" i="16"/>
  <c r="L14" i="16"/>
  <c r="M14" i="16"/>
  <c r="B15" i="16"/>
  <c r="C15" i="16"/>
  <c r="D15" i="16"/>
  <c r="E15" i="16"/>
  <c r="F15" i="16"/>
  <c r="G15" i="16"/>
  <c r="H15" i="16"/>
  <c r="I15" i="16"/>
  <c r="J15" i="16"/>
  <c r="K15" i="16"/>
  <c r="L15" i="16"/>
  <c r="M15" i="16"/>
  <c r="K16" i="16"/>
  <c r="B17" i="16"/>
  <c r="C17" i="16"/>
  <c r="D17" i="16"/>
  <c r="E17" i="16"/>
  <c r="F17" i="16"/>
  <c r="G17" i="16"/>
  <c r="H17" i="16"/>
  <c r="I17" i="16"/>
  <c r="J17" i="16"/>
  <c r="K17" i="16"/>
  <c r="L17" i="16"/>
  <c r="M17" i="16"/>
  <c r="B21" i="16"/>
  <c r="C61" i="10"/>
  <c r="C21" i="16"/>
  <c r="D21" i="16"/>
  <c r="E21" i="16"/>
  <c r="E22" i="16"/>
  <c r="F21" i="16"/>
  <c r="G21" i="16"/>
  <c r="H21" i="16"/>
  <c r="I21" i="16"/>
  <c r="I22" i="16"/>
  <c r="J21" i="16"/>
  <c r="K21" i="16"/>
  <c r="L21" i="16"/>
  <c r="M21" i="16"/>
  <c r="B22" i="16"/>
  <c r="F22" i="16"/>
  <c r="K22" i="16"/>
  <c r="B23" i="16"/>
  <c r="C23" i="16"/>
  <c r="D23" i="16"/>
  <c r="E23" i="16"/>
  <c r="F23" i="16"/>
  <c r="G23" i="16"/>
  <c r="H23" i="16"/>
  <c r="I23" i="16"/>
  <c r="J23" i="16"/>
  <c r="K23" i="16"/>
  <c r="K24" i="16"/>
  <c r="L23" i="16"/>
  <c r="M23" i="16"/>
  <c r="B24" i="16"/>
  <c r="B27" i="16"/>
  <c r="C27" i="16"/>
  <c r="D27" i="16"/>
  <c r="E27" i="16"/>
  <c r="F27" i="16"/>
  <c r="G27" i="16"/>
  <c r="H27" i="16"/>
  <c r="I27" i="16"/>
  <c r="J27" i="16"/>
  <c r="K27" i="16"/>
  <c r="L27" i="16"/>
  <c r="M27" i="16"/>
  <c r="B28" i="16"/>
  <c r="C28" i="16"/>
  <c r="D28" i="16"/>
  <c r="D35" i="16"/>
  <c r="E28" i="16"/>
  <c r="F28" i="16"/>
  <c r="G28" i="16"/>
  <c r="G35" i="16"/>
  <c r="H28" i="16"/>
  <c r="I28" i="16"/>
  <c r="J28" i="16"/>
  <c r="K28" i="16"/>
  <c r="L28" i="16"/>
  <c r="M28" i="16"/>
  <c r="B32" i="16"/>
  <c r="C32" i="16"/>
  <c r="D32" i="16"/>
  <c r="E32" i="16"/>
  <c r="F32" i="16"/>
  <c r="G32" i="16"/>
  <c r="H32" i="16"/>
  <c r="I32" i="16"/>
  <c r="J32" i="16"/>
  <c r="K32" i="16"/>
  <c r="L32" i="16"/>
  <c r="M32" i="16"/>
  <c r="B33" i="16"/>
  <c r="C33" i="16"/>
  <c r="D33" i="16"/>
  <c r="E33" i="16"/>
  <c r="F33" i="16"/>
  <c r="G33" i="16"/>
  <c r="H33" i="16"/>
  <c r="H34" i="16" s="1"/>
  <c r="I33" i="16"/>
  <c r="J33" i="16"/>
  <c r="K33" i="16"/>
  <c r="L33" i="16"/>
  <c r="M33" i="16"/>
  <c r="B34" i="16"/>
  <c r="C34" i="16"/>
  <c r="D34" i="16"/>
  <c r="E34" i="16"/>
  <c r="A1" i="16"/>
  <c r="E16" i="1" s="1"/>
  <c r="A2" i="16"/>
  <c r="G8" i="10"/>
  <c r="G52" i="10" s="1"/>
  <c r="D18" i="10"/>
  <c r="C56" i="10"/>
  <c r="C11" i="10"/>
  <c r="D15" i="10"/>
  <c r="C54" i="10"/>
  <c r="O24" i="3"/>
  <c r="N24" i="3"/>
  <c r="M24" i="3"/>
  <c r="L24" i="3"/>
  <c r="K24" i="3"/>
  <c r="K23" i="3"/>
  <c r="F8" i="10"/>
  <c r="O4" i="19" s="1"/>
  <c r="E8" i="10"/>
  <c r="E52" i="10" s="1"/>
  <c r="O23" i="3"/>
  <c r="N23" i="3"/>
  <c r="M23" i="3"/>
  <c r="L23" i="3"/>
  <c r="D4" i="1" a="1"/>
  <c r="D4" i="1" s="1"/>
  <c r="L15" i="19"/>
  <c r="L11" i="19"/>
  <c r="C16" i="19"/>
  <c r="C6" i="19"/>
  <c r="G40" i="4"/>
  <c r="G38" i="4"/>
  <c r="B13" i="17"/>
  <c r="C87" i="17"/>
  <c r="D87" i="17"/>
  <c r="B87" i="17"/>
  <c r="H12" i="16"/>
  <c r="H13" i="16" s="1"/>
  <c r="H6" i="16"/>
  <c r="H39" i="10"/>
  <c r="D37" i="10"/>
  <c r="D36" i="10"/>
  <c r="K35" i="16"/>
  <c r="E35" i="16"/>
  <c r="J34" i="16"/>
  <c r="G36" i="16"/>
  <c r="D36" i="16"/>
  <c r="C24" i="16"/>
  <c r="B25" i="16"/>
  <c r="L24" i="16"/>
  <c r="L19" i="16"/>
  <c r="L20" i="16"/>
  <c r="B35" i="16"/>
  <c r="B29" i="16"/>
  <c r="F12" i="16"/>
  <c r="L35" i="16"/>
  <c r="L36" i="16"/>
  <c r="F35" i="16"/>
  <c r="F36" i="16"/>
  <c r="C35" i="16"/>
  <c r="B16" i="16"/>
  <c r="K19" i="16"/>
  <c r="K20" i="16"/>
  <c r="E19" i="16"/>
  <c r="E20" i="16"/>
  <c r="I12" i="16"/>
  <c r="E12" i="16"/>
  <c r="I35" i="16"/>
  <c r="I36" i="16"/>
  <c r="E36" i="16"/>
  <c r="F19" i="16"/>
  <c r="F20" i="16"/>
  <c r="I16" i="16"/>
  <c r="L8" i="16"/>
  <c r="M34" i="16"/>
  <c r="G34" i="16"/>
  <c r="M26" i="16"/>
  <c r="M29" i="16"/>
  <c r="C19" i="16"/>
  <c r="C20" i="16"/>
  <c r="F16" i="16"/>
  <c r="M12" i="16"/>
  <c r="L13" i="16"/>
  <c r="J12" i="16"/>
  <c r="G12" i="16"/>
  <c r="F13" i="16"/>
  <c r="D12" i="16"/>
  <c r="C13" i="16"/>
  <c r="M9" i="16"/>
  <c r="M10" i="16"/>
  <c r="J9" i="16"/>
  <c r="J10" i="16"/>
  <c r="G9" i="16"/>
  <c r="G10" i="16"/>
  <c r="D9" i="16"/>
  <c r="D10" i="16"/>
  <c r="K6" i="16"/>
  <c r="M35" i="16"/>
  <c r="M36" i="16"/>
  <c r="J35" i="16"/>
  <c r="J36" i="16"/>
  <c r="C36" i="16"/>
  <c r="F34" i="16"/>
  <c r="F24" i="16"/>
  <c r="K36" i="16"/>
  <c r="B36" i="16"/>
  <c r="E16" i="16"/>
  <c r="K34" i="16"/>
  <c r="I24" i="16"/>
  <c r="E24" i="16"/>
  <c r="L22" i="16"/>
  <c r="C22" i="16"/>
  <c r="I19" i="16"/>
  <c r="I20" i="16"/>
  <c r="L16" i="16"/>
  <c r="C16" i="16"/>
  <c r="C8" i="16"/>
  <c r="L34" i="16"/>
  <c r="I34" i="16"/>
  <c r="J29" i="16"/>
  <c r="D29" i="16"/>
  <c r="K58" i="16"/>
  <c r="K59" i="16"/>
  <c r="E58" i="16"/>
  <c r="E60" i="16"/>
  <c r="B58" i="16"/>
  <c r="K26" i="16"/>
  <c r="K29" i="16"/>
  <c r="L29" i="16"/>
  <c r="I29" i="16"/>
  <c r="F29" i="16"/>
  <c r="C29" i="16"/>
  <c r="M58" i="16"/>
  <c r="M59" i="16"/>
  <c r="J58" i="16"/>
  <c r="J60" i="16"/>
  <c r="G58" i="16"/>
  <c r="D58" i="16"/>
  <c r="D59" i="16"/>
  <c r="C55" i="10"/>
  <c r="K25" i="16"/>
  <c r="M24" i="16"/>
  <c r="J24" i="16"/>
  <c r="G24" i="16"/>
  <c r="D24" i="16"/>
  <c r="C25" i="16"/>
  <c r="M22" i="16"/>
  <c r="J22" i="16"/>
  <c r="G22" i="16"/>
  <c r="D22" i="16"/>
  <c r="M19" i="16"/>
  <c r="M20" i="16"/>
  <c r="J19" i="16"/>
  <c r="J20" i="16"/>
  <c r="G19" i="16"/>
  <c r="G20" i="16"/>
  <c r="D19" i="16"/>
  <c r="D20" i="16"/>
  <c r="M16" i="16"/>
  <c r="J16" i="16"/>
  <c r="G16" i="16"/>
  <c r="D16" i="16"/>
  <c r="J13" i="16"/>
  <c r="G13" i="16"/>
  <c r="M8" i="16"/>
  <c r="J8" i="16"/>
  <c r="G8" i="16"/>
  <c r="D8" i="16"/>
  <c r="M6" i="16"/>
  <c r="J6" i="16"/>
  <c r="G6" i="16"/>
  <c r="D6" i="16"/>
  <c r="L58" i="16"/>
  <c r="L60" i="16"/>
  <c r="I58" i="16"/>
  <c r="I59" i="16"/>
  <c r="F58" i="16"/>
  <c r="F59" i="16"/>
  <c r="C59" i="16"/>
  <c r="K60" i="16"/>
  <c r="E59" i="16"/>
  <c r="E26" i="16"/>
  <c r="E29" i="16"/>
  <c r="H9" i="16"/>
  <c r="H10" i="16" s="1"/>
  <c r="E6" i="16"/>
  <c r="M60" i="16"/>
  <c r="J59" i="16"/>
  <c r="G59" i="16"/>
  <c r="G60" i="16"/>
  <c r="B91" i="16"/>
  <c r="C4" i="16"/>
  <c r="L59" i="16"/>
  <c r="C60" i="16"/>
  <c r="G9" i="4"/>
  <c r="H48" i="10"/>
  <c r="O6" i="3"/>
  <c r="O7" i="3"/>
  <c r="O8" i="3"/>
  <c r="O9" i="3"/>
  <c r="N6" i="3"/>
  <c r="N7" i="3"/>
  <c r="N8" i="3"/>
  <c r="N9" i="3"/>
  <c r="M6" i="3"/>
  <c r="M7" i="3"/>
  <c r="M8" i="3"/>
  <c r="M9" i="3"/>
  <c r="L6" i="3"/>
  <c r="L7" i="3"/>
  <c r="L8" i="3"/>
  <c r="L9" i="3"/>
  <c r="K6" i="3"/>
  <c r="K7" i="3"/>
  <c r="K8" i="3"/>
  <c r="K9" i="3"/>
  <c r="C58" i="10"/>
  <c r="B59" i="16"/>
  <c r="I13" i="16"/>
  <c r="E30" i="16"/>
  <c r="E31" i="16"/>
  <c r="I30" i="16"/>
  <c r="I31" i="16"/>
  <c r="C30" i="16"/>
  <c r="C31" i="16"/>
  <c r="D60" i="16"/>
  <c r="B60" i="16"/>
  <c r="E25" i="16"/>
  <c r="L30" i="16"/>
  <c r="L31" i="16"/>
  <c r="F60" i="16"/>
  <c r="F25" i="16"/>
  <c r="B30" i="16"/>
  <c r="B31" i="16"/>
  <c r="D13" i="16"/>
  <c r="M13" i="16"/>
  <c r="I25" i="16"/>
  <c r="I60" i="16"/>
  <c r="E13" i="16"/>
  <c r="J25" i="16"/>
  <c r="J30" i="16"/>
  <c r="J31" i="16"/>
  <c r="L25" i="16"/>
  <c r="M25" i="16"/>
  <c r="D25" i="16"/>
  <c r="K30" i="16"/>
  <c r="K31" i="16"/>
  <c r="M30" i="16"/>
  <c r="M31" i="16"/>
  <c r="C91" i="16"/>
  <c r="D4" i="16"/>
  <c r="D30" i="16"/>
  <c r="D31" i="16"/>
  <c r="D6" i="4"/>
  <c r="E6" i="4"/>
  <c r="F6" i="4"/>
  <c r="G24" i="4"/>
  <c r="G23" i="4"/>
  <c r="I32" i="22"/>
  <c r="C16" i="22"/>
  <c r="C60" i="17"/>
  <c r="D60" i="17"/>
  <c r="E60" i="17"/>
  <c r="F60" i="17"/>
  <c r="G60" i="17"/>
  <c r="H60" i="17"/>
  <c r="I60" i="17"/>
  <c r="J60" i="17"/>
  <c r="K60" i="17"/>
  <c r="L60" i="17"/>
  <c r="M60" i="17"/>
  <c r="B60" i="17"/>
  <c r="F67" i="17"/>
  <c r="G67" i="17"/>
  <c r="H67" i="17"/>
  <c r="I67" i="17"/>
  <c r="J67" i="17"/>
  <c r="K67" i="17"/>
  <c r="L67" i="17"/>
  <c r="M67" i="17"/>
  <c r="E47" i="17"/>
  <c r="E52" i="16"/>
  <c r="F47" i="17"/>
  <c r="F52" i="16"/>
  <c r="G47" i="17"/>
  <c r="G52" i="16"/>
  <c r="H47" i="17"/>
  <c r="H52" i="16"/>
  <c r="I47" i="17"/>
  <c r="I52" i="16"/>
  <c r="J47" i="17"/>
  <c r="J52" i="16"/>
  <c r="K47" i="17"/>
  <c r="K52" i="16"/>
  <c r="L47" i="17"/>
  <c r="L52" i="16"/>
  <c r="M47" i="17"/>
  <c r="M52" i="16"/>
  <c r="D47" i="17"/>
  <c r="D52" i="16"/>
  <c r="E32" i="17"/>
  <c r="F32" i="17"/>
  <c r="G32" i="17"/>
  <c r="H32" i="17"/>
  <c r="I32" i="17"/>
  <c r="J32" i="17"/>
  <c r="K32" i="17"/>
  <c r="L32" i="17"/>
  <c r="M32" i="17"/>
  <c r="D32" i="17"/>
  <c r="F14" i="1"/>
  <c r="F15" i="1"/>
  <c r="F16" i="1"/>
  <c r="F17" i="1"/>
  <c r="E36" i="10"/>
  <c r="F36" i="10"/>
  <c r="G36" i="10"/>
  <c r="F37" i="10"/>
  <c r="G37" i="10"/>
  <c r="D91" i="16"/>
  <c r="E4" i="16"/>
  <c r="B14" i="17"/>
  <c r="I17" i="22"/>
  <c r="B77" i="17"/>
  <c r="B75" i="16"/>
  <c r="B75" i="17"/>
  <c r="B67" i="17"/>
  <c r="B63" i="17"/>
  <c r="B56" i="17"/>
  <c r="B64" i="16"/>
  <c r="B47" i="17"/>
  <c r="B46" i="17"/>
  <c r="B51" i="16"/>
  <c r="B32" i="17"/>
  <c r="B36" i="17"/>
  <c r="B31" i="17"/>
  <c r="B23" i="17"/>
  <c r="B50" i="17"/>
  <c r="B55" i="16"/>
  <c r="B52" i="16"/>
  <c r="B37" i="17"/>
  <c r="B43" i="16"/>
  <c r="E91" i="16"/>
  <c r="F4" i="16"/>
  <c r="G4" i="16"/>
  <c r="H4" i="16"/>
  <c r="I4" i="16"/>
  <c r="J4" i="16"/>
  <c r="K4" i="16"/>
  <c r="L4" i="16"/>
  <c r="M4" i="16"/>
  <c r="E10" i="22"/>
  <c r="F10" i="22"/>
  <c r="G10" i="22"/>
  <c r="G9" i="22"/>
  <c r="F9" i="22"/>
  <c r="E9" i="22"/>
  <c r="D10" i="22"/>
  <c r="D9" i="22"/>
  <c r="C10" i="22"/>
  <c r="C9" i="22"/>
  <c r="I31" i="22"/>
  <c r="I30" i="22"/>
  <c r="I29" i="22"/>
  <c r="I28" i="22"/>
  <c r="I27" i="22"/>
  <c r="I26" i="22"/>
  <c r="I25" i="22"/>
  <c r="I24" i="22"/>
  <c r="I23" i="22"/>
  <c r="I22" i="22"/>
  <c r="I21" i="22"/>
  <c r="I20" i="22"/>
  <c r="I19" i="22"/>
  <c r="I18" i="22"/>
  <c r="I10" i="22"/>
  <c r="I9" i="22"/>
  <c r="D8" i="22"/>
  <c r="E8" i="22"/>
  <c r="D16" i="22"/>
  <c r="F50" i="4"/>
  <c r="O19" i="3"/>
  <c r="N19" i="3"/>
  <c r="M19" i="3"/>
  <c r="L19" i="3"/>
  <c r="K19" i="3"/>
  <c r="Q4" i="19"/>
  <c r="P4" i="19"/>
  <c r="F8" i="22"/>
  <c r="E16" i="22"/>
  <c r="G22" i="10"/>
  <c r="F22" i="10"/>
  <c r="C77" i="17"/>
  <c r="D77" i="17"/>
  <c r="E77" i="17"/>
  <c r="F77" i="17"/>
  <c r="G77" i="17"/>
  <c r="G75" i="16"/>
  <c r="H77" i="17"/>
  <c r="I77" i="17"/>
  <c r="J77" i="17"/>
  <c r="K77" i="17"/>
  <c r="K75" i="16"/>
  <c r="L77" i="17"/>
  <c r="L75" i="16"/>
  <c r="M77" i="17"/>
  <c r="M75" i="16"/>
  <c r="F46" i="1"/>
  <c r="F41" i="1"/>
  <c r="F39" i="1"/>
  <c r="I75" i="16"/>
  <c r="F42" i="1"/>
  <c r="F75" i="16"/>
  <c r="F45" i="1"/>
  <c r="C75" i="16"/>
  <c r="F40" i="1"/>
  <c r="H75" i="16"/>
  <c r="F43" i="1"/>
  <c r="E75" i="16"/>
  <c r="F38" i="1"/>
  <c r="J75" i="16"/>
  <c r="F44" i="1"/>
  <c r="D75" i="16"/>
  <c r="G8" i="22"/>
  <c r="G16" i="22"/>
  <c r="F16" i="22"/>
  <c r="H44" i="10"/>
  <c r="I44" i="10"/>
  <c r="E28" i="10"/>
  <c r="L6" i="19"/>
  <c r="P9" i="19"/>
  <c r="P8" i="19"/>
  <c r="P7" i="19"/>
  <c r="P6" i="19"/>
  <c r="C23" i="17"/>
  <c r="B22" i="17"/>
  <c r="B18" i="16"/>
  <c r="D23" i="17"/>
  <c r="E23" i="17"/>
  <c r="F23" i="17"/>
  <c r="G23" i="17"/>
  <c r="H23" i="17"/>
  <c r="I23" i="17"/>
  <c r="J23" i="17"/>
  <c r="K23" i="17"/>
  <c r="L23" i="17"/>
  <c r="M23" i="17"/>
  <c r="D21" i="4"/>
  <c r="E21" i="4"/>
  <c r="F21" i="4"/>
  <c r="D24" i="4"/>
  <c r="D27" i="4"/>
  <c r="E27" i="4"/>
  <c r="F27" i="4"/>
  <c r="K75" i="17"/>
  <c r="L75" i="17"/>
  <c r="M75" i="17"/>
  <c r="J75" i="17"/>
  <c r="F31" i="4"/>
  <c r="E67" i="17"/>
  <c r="M63" i="17"/>
  <c r="E63" i="17"/>
  <c r="F63" i="17"/>
  <c r="G63" i="17"/>
  <c r="H63" i="17"/>
  <c r="I63" i="17"/>
  <c r="J63" i="17"/>
  <c r="F23" i="1"/>
  <c r="F20" i="1"/>
  <c r="F21" i="1"/>
  <c r="F22" i="1"/>
  <c r="F19" i="1"/>
  <c r="F13" i="1"/>
  <c r="D28" i="4"/>
  <c r="E28" i="4"/>
  <c r="F28" i="4"/>
  <c r="F25" i="4"/>
  <c r="G10" i="4"/>
  <c r="G39" i="4"/>
  <c r="E75" i="17"/>
  <c r="F75" i="17"/>
  <c r="G75" i="17"/>
  <c r="H75" i="17"/>
  <c r="I75" i="17"/>
  <c r="E36" i="17"/>
  <c r="F46" i="17"/>
  <c r="F51" i="16"/>
  <c r="C32" i="17"/>
  <c r="K50" i="17"/>
  <c r="K55" i="16"/>
  <c r="D75" i="17"/>
  <c r="D31" i="4"/>
  <c r="C75" i="17"/>
  <c r="E31" i="4"/>
  <c r="D63" i="17"/>
  <c r="I22" i="17"/>
  <c r="I18" i="16"/>
  <c r="K22" i="17"/>
  <c r="K18" i="16"/>
  <c r="C8" i="19"/>
  <c r="M6" i="19"/>
  <c r="N6" i="19"/>
  <c r="O6" i="19"/>
  <c r="Q6" i="19"/>
  <c r="M7" i="19"/>
  <c r="N7" i="19"/>
  <c r="O7" i="19"/>
  <c r="Q7" i="19"/>
  <c r="M8" i="19"/>
  <c r="N8" i="19"/>
  <c r="O8" i="19"/>
  <c r="Q8" i="19"/>
  <c r="M9" i="19"/>
  <c r="N9" i="19"/>
  <c r="O9" i="19"/>
  <c r="Q9" i="19"/>
  <c r="L7" i="19"/>
  <c r="L8" i="19"/>
  <c r="L9" i="19"/>
  <c r="L18" i="3"/>
  <c r="M18" i="3"/>
  <c r="N18" i="3"/>
  <c r="O18" i="3"/>
  <c r="L20" i="3"/>
  <c r="M20" i="3"/>
  <c r="N20" i="3"/>
  <c r="O20" i="3"/>
  <c r="L21" i="3"/>
  <c r="M21" i="3"/>
  <c r="N21" i="3"/>
  <c r="O21" i="3"/>
  <c r="L22" i="3"/>
  <c r="M22" i="3"/>
  <c r="N22" i="3"/>
  <c r="O22" i="3"/>
  <c r="K20" i="3"/>
  <c r="K21" i="3"/>
  <c r="K22" i="3"/>
  <c r="K18" i="3"/>
  <c r="O10" i="3"/>
  <c r="O5" i="3"/>
  <c r="N10" i="3"/>
  <c r="N5" i="3"/>
  <c r="M10" i="3"/>
  <c r="M5" i="3"/>
  <c r="L10" i="3"/>
  <c r="L5" i="3"/>
  <c r="K10" i="3"/>
  <c r="K5" i="3"/>
  <c r="E22" i="4"/>
  <c r="F22" i="4"/>
  <c r="E11" i="4"/>
  <c r="F11" i="4"/>
  <c r="D11" i="4"/>
  <c r="C63" i="17"/>
  <c r="D67" i="17"/>
  <c r="D25" i="4"/>
  <c r="R8" i="19"/>
  <c r="R7" i="19"/>
  <c r="R6" i="19"/>
  <c r="R9" i="19"/>
  <c r="H4" i="4"/>
  <c r="I4" i="4"/>
  <c r="J4" i="4"/>
  <c r="K4" i="4"/>
  <c r="L4" i="4"/>
  <c r="M4" i="4"/>
  <c r="N4" i="4"/>
  <c r="O4" i="4"/>
  <c r="P4" i="4"/>
  <c r="Q4" i="4"/>
  <c r="R4" i="4"/>
  <c r="S4" i="4"/>
  <c r="T4" i="4"/>
  <c r="U4" i="4"/>
  <c r="V4" i="4"/>
  <c r="W4" i="4"/>
  <c r="X4" i="4"/>
  <c r="Y4" i="4"/>
  <c r="Z4" i="4"/>
  <c r="AA4" i="4"/>
  <c r="AB4" i="4"/>
  <c r="AC4" i="4"/>
  <c r="AD4" i="4"/>
  <c r="AE4" i="4"/>
  <c r="AF4" i="4"/>
  <c r="G28" i="10"/>
  <c r="E11" i="10"/>
  <c r="F50" i="10"/>
  <c r="G11" i="10"/>
  <c r="G50" i="10"/>
  <c r="D13" i="10"/>
  <c r="E13" i="10"/>
  <c r="F13" i="10"/>
  <c r="G13" i="10"/>
  <c r="D14" i="10"/>
  <c r="E14" i="10"/>
  <c r="F14" i="10"/>
  <c r="G14" i="10"/>
  <c r="E15" i="10"/>
  <c r="F15" i="10"/>
  <c r="G15" i="10"/>
  <c r="D16" i="10"/>
  <c r="E16" i="10"/>
  <c r="G16" i="10"/>
  <c r="D17" i="10"/>
  <c r="E17" i="10"/>
  <c r="G17" i="10"/>
  <c r="E18" i="10"/>
  <c r="G18" i="10"/>
  <c r="F20" i="10"/>
  <c r="G20" i="10"/>
  <c r="D21" i="10"/>
  <c r="E21" i="10"/>
  <c r="F21" i="10"/>
  <c r="G21" i="10"/>
  <c r="D24" i="10"/>
  <c r="E24" i="10"/>
  <c r="F24" i="10"/>
  <c r="G24" i="10"/>
  <c r="D25" i="10"/>
  <c r="E25" i="10"/>
  <c r="F25" i="10"/>
  <c r="G25" i="10"/>
  <c r="E27" i="10"/>
  <c r="D28" i="10"/>
  <c r="F28" i="10"/>
  <c r="D29" i="10"/>
  <c r="E29" i="10"/>
  <c r="F29" i="10"/>
  <c r="G29" i="10"/>
  <c r="E30" i="10"/>
  <c r="F30" i="10"/>
  <c r="G30" i="10"/>
  <c r="D31" i="10"/>
  <c r="F31" i="10"/>
  <c r="G31" i="10"/>
  <c r="E33" i="10"/>
  <c r="F33" i="10"/>
  <c r="G33" i="10"/>
  <c r="E34" i="10"/>
  <c r="F34" i="10"/>
  <c r="G34" i="10"/>
  <c r="D35" i="10"/>
  <c r="E35" i="10"/>
  <c r="F35" i="10"/>
  <c r="G35" i="10"/>
  <c r="H9" i="10"/>
  <c r="H38" i="10"/>
  <c r="C72" i="10"/>
  <c r="C71" i="10"/>
  <c r="C68" i="10"/>
  <c r="B15" i="3"/>
  <c r="L17" i="3"/>
  <c r="M17" i="3"/>
  <c r="N17" i="3"/>
  <c r="O17" i="3"/>
  <c r="P17" i="3"/>
  <c r="L4" i="3"/>
  <c r="M4" i="3"/>
  <c r="N4" i="3"/>
  <c r="O4" i="3"/>
  <c r="P4" i="3"/>
  <c r="E17" i="3"/>
  <c r="F17" i="3"/>
  <c r="G17" i="3"/>
  <c r="H17" i="3"/>
  <c r="I17" i="3"/>
  <c r="E4" i="3"/>
  <c r="F4" i="3"/>
  <c r="G4" i="3"/>
  <c r="H4" i="3"/>
  <c r="I4" i="3"/>
  <c r="C70" i="10"/>
  <c r="C20" i="10"/>
  <c r="C69" i="10"/>
  <c r="D43" i="4"/>
  <c r="C65" i="10"/>
  <c r="F23" i="4"/>
  <c r="D17" i="4"/>
  <c r="E17" i="4"/>
  <c r="D16" i="4"/>
  <c r="E16" i="4"/>
  <c r="D14" i="4"/>
  <c r="E14" i="4"/>
  <c r="D13" i="4"/>
  <c r="E13" i="4"/>
  <c r="D8" i="4"/>
  <c r="M13" i="17"/>
  <c r="L13" i="17"/>
  <c r="K13" i="17"/>
  <c r="J13" i="17"/>
  <c r="I13" i="17"/>
  <c r="H13" i="17"/>
  <c r="G13" i="17"/>
  <c r="F13" i="17"/>
  <c r="E13" i="17"/>
  <c r="C36" i="17"/>
  <c r="C31" i="17"/>
  <c r="D31" i="17"/>
  <c r="E31" i="17"/>
  <c r="F31" i="17"/>
  <c r="G31" i="17"/>
  <c r="H31" i="17"/>
  <c r="I31" i="17"/>
  <c r="J31" i="17"/>
  <c r="K31" i="17"/>
  <c r="L31" i="17"/>
  <c r="M31" i="17"/>
  <c r="D50" i="17"/>
  <c r="D55" i="16"/>
  <c r="E50" i="17"/>
  <c r="E55" i="16"/>
  <c r="F50" i="17"/>
  <c r="F55" i="16"/>
  <c r="G50" i="17"/>
  <c r="G55" i="16"/>
  <c r="H50" i="17"/>
  <c r="H55" i="16"/>
  <c r="I50" i="17"/>
  <c r="I55" i="16"/>
  <c r="J50" i="17"/>
  <c r="J55" i="16"/>
  <c r="L50" i="17"/>
  <c r="L55" i="16"/>
  <c r="M50" i="17"/>
  <c r="M55" i="16"/>
  <c r="C46" i="17"/>
  <c r="C51" i="16"/>
  <c r="D46" i="17"/>
  <c r="D51" i="16"/>
  <c r="E46" i="17"/>
  <c r="E51" i="16"/>
  <c r="G46" i="17"/>
  <c r="G51" i="16"/>
  <c r="H46" i="17"/>
  <c r="H51" i="16"/>
  <c r="I46" i="17"/>
  <c r="I51" i="16"/>
  <c r="J46" i="17"/>
  <c r="J51" i="16"/>
  <c r="K46" i="17"/>
  <c r="K51" i="16"/>
  <c r="L46" i="17"/>
  <c r="L51" i="16"/>
  <c r="M46" i="17"/>
  <c r="M51" i="16"/>
  <c r="AB38" i="17"/>
  <c r="H11" i="10"/>
  <c r="E50" i="10"/>
  <c r="B24" i="3"/>
  <c r="B23" i="3"/>
  <c r="F14" i="4"/>
  <c r="B19" i="3"/>
  <c r="B20" i="3"/>
  <c r="B21" i="3"/>
  <c r="H21" i="1"/>
  <c r="B22" i="3"/>
  <c r="H23" i="1"/>
  <c r="D7" i="4"/>
  <c r="D12" i="4"/>
  <c r="E8" i="4"/>
  <c r="E7" i="4"/>
  <c r="B18" i="3"/>
  <c r="H19" i="1"/>
  <c r="C37" i="17"/>
  <c r="C43" i="16"/>
  <c r="H43" i="10"/>
  <c r="I43" i="10"/>
  <c r="D29" i="4"/>
  <c r="D30" i="4"/>
  <c r="E30" i="4"/>
  <c r="E29" i="4"/>
  <c r="F30" i="4"/>
  <c r="F16" i="4"/>
  <c r="F29" i="4"/>
  <c r="H10" i="4"/>
  <c r="G46" i="4"/>
  <c r="F45" i="4"/>
  <c r="F46" i="4"/>
  <c r="F47" i="4"/>
  <c r="E23" i="4"/>
  <c r="E24" i="4"/>
  <c r="F24" i="4"/>
  <c r="C66" i="10"/>
  <c r="C25" i="10"/>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D23" i="4"/>
  <c r="D15" i="4"/>
  <c r="F13" i="4"/>
  <c r="C59" i="10"/>
  <c r="F8" i="4"/>
  <c r="M13" i="3"/>
  <c r="L13" i="3"/>
  <c r="O25" i="3"/>
  <c r="N25" i="3"/>
  <c r="M25" i="3"/>
  <c r="L25" i="3"/>
  <c r="K25" i="3"/>
  <c r="N13" i="3"/>
  <c r="O13" i="3"/>
  <c r="H22" i="1"/>
  <c r="C24" i="10"/>
  <c r="D13" i="17"/>
  <c r="D14" i="17"/>
  <c r="C13" i="17"/>
  <c r="F17" i="4"/>
  <c r="E5" i="4"/>
  <c r="C16" i="1"/>
  <c r="B2" i="3"/>
  <c r="C5" i="17"/>
  <c r="D5" i="17"/>
  <c r="J38" i="1"/>
  <c r="L38" i="1"/>
  <c r="B46" i="1"/>
  <c r="B45" i="1"/>
  <c r="B44" i="1"/>
  <c r="B43" i="1"/>
  <c r="B42" i="1"/>
  <c r="C13" i="19"/>
  <c r="C14" i="19"/>
  <c r="C15" i="19"/>
  <c r="C17" i="19"/>
  <c r="C18" i="19"/>
  <c r="C19" i="19"/>
  <c r="C20" i="19"/>
  <c r="C21" i="19"/>
  <c r="C22" i="19"/>
  <c r="C7" i="19"/>
  <c r="C9" i="19"/>
  <c r="C10" i="19"/>
  <c r="M22" i="17"/>
  <c r="M18" i="16"/>
  <c r="AD53" i="17"/>
  <c r="AC53" i="17"/>
  <c r="AD52" i="17"/>
  <c r="AC52" i="17"/>
  <c r="AG49" i="17"/>
  <c r="AG52" i="17"/>
  <c r="AF49" i="17"/>
  <c r="AE49" i="17"/>
  <c r="AB49" i="17"/>
  <c r="AB52" i="17"/>
  <c r="AA49" i="17"/>
  <c r="AA52" i="17"/>
  <c r="Z49" i="17"/>
  <c r="Z52" i="17"/>
  <c r="E56" i="17"/>
  <c r="E64" i="16"/>
  <c r="AD48" i="17"/>
  <c r="AC48" i="17"/>
  <c r="AB48" i="17"/>
  <c r="AA48" i="17"/>
  <c r="Z48" i="17"/>
  <c r="AG44" i="17"/>
  <c r="AG48" i="17"/>
  <c r="AF44" i="17"/>
  <c r="AF48" i="17"/>
  <c r="AE44" i="17"/>
  <c r="AE48" i="17"/>
  <c r="AG39" i="17"/>
  <c r="AF39" i="17"/>
  <c r="AE39" i="17"/>
  <c r="AD39" i="17"/>
  <c r="AC39" i="17"/>
  <c r="AB31" i="17"/>
  <c r="AB39" i="17"/>
  <c r="AA31" i="17"/>
  <c r="AA39" i="17"/>
  <c r="Z31" i="17"/>
  <c r="Z39" i="17"/>
  <c r="M14" i="17"/>
  <c r="L14" i="17"/>
  <c r="K14" i="17"/>
  <c r="J14" i="17"/>
  <c r="I14" i="17"/>
  <c r="H14" i="17"/>
  <c r="G14" i="17"/>
  <c r="F14" i="17"/>
  <c r="E14" i="17"/>
  <c r="C14" i="17"/>
  <c r="AA25" i="17"/>
  <c r="O74" i="17"/>
  <c r="AE12" i="17"/>
  <c r="AG11" i="17"/>
  <c r="AF11" i="17"/>
  <c r="AE11" i="17"/>
  <c r="AD11" i="17"/>
  <c r="L22" i="17"/>
  <c r="L18" i="16"/>
  <c r="H22" i="17"/>
  <c r="H18" i="16"/>
  <c r="D22" i="17"/>
  <c r="D18" i="16"/>
  <c r="J22" i="17"/>
  <c r="J18" i="16"/>
  <c r="G22" i="17"/>
  <c r="G18" i="16"/>
  <c r="F22" i="17"/>
  <c r="F18" i="16"/>
  <c r="E22" i="17"/>
  <c r="E18" i="16"/>
  <c r="C22" i="17"/>
  <c r="C18" i="16"/>
  <c r="AG9" i="17"/>
  <c r="AF9" i="17"/>
  <c r="AD9" i="17"/>
  <c r="AC9" i="17"/>
  <c r="AB9" i="17"/>
  <c r="AA9" i="17"/>
  <c r="Z9" i="17"/>
  <c r="AG10" i="17"/>
  <c r="AF10" i="17"/>
  <c r="AE10" i="17"/>
  <c r="AD10" i="17"/>
  <c r="AC10" i="17"/>
  <c r="AB10" i="17"/>
  <c r="AA10" i="17"/>
  <c r="Z10" i="17"/>
  <c r="AG7" i="17"/>
  <c r="AG8" i="17"/>
  <c r="AF7" i="17"/>
  <c r="AF8" i="17"/>
  <c r="AE7" i="17"/>
  <c r="AE8" i="17"/>
  <c r="AD7" i="17"/>
  <c r="AD8" i="17"/>
  <c r="AC7" i="17"/>
  <c r="AC8" i="17"/>
  <c r="AB7" i="17"/>
  <c r="AB8" i="17"/>
  <c r="AA7" i="17"/>
  <c r="AA8" i="17"/>
  <c r="Z7" i="17"/>
  <c r="Z8" i="17"/>
  <c r="Z13" i="17"/>
  <c r="Z14" i="17"/>
  <c r="O7" i="17"/>
  <c r="J47" i="1"/>
  <c r="B6" i="3"/>
  <c r="H14" i="1"/>
  <c r="B7" i="3"/>
  <c r="H15" i="1"/>
  <c r="B8" i="3"/>
  <c r="H16" i="1"/>
  <c r="B9" i="3"/>
  <c r="H17" i="1"/>
  <c r="B10" i="3"/>
  <c r="E15" i="4"/>
  <c r="E12" i="4"/>
  <c r="C15" i="1"/>
  <c r="C22" i="10"/>
  <c r="H25" i="10"/>
  <c r="I25" i="10"/>
  <c r="H46" i="10"/>
  <c r="I46" i="10"/>
  <c r="E32" i="4"/>
  <c r="C31" i="10"/>
  <c r="H49" i="10"/>
  <c r="I49" i="10"/>
  <c r="B25" i="3"/>
  <c r="H20" i="1"/>
  <c r="D32" i="4"/>
  <c r="D22" i="4"/>
  <c r="F35" i="4"/>
  <c r="D35" i="4"/>
  <c r="F32" i="4"/>
  <c r="C15" i="10"/>
  <c r="C13" i="10"/>
  <c r="H12" i="10"/>
  <c r="E35" i="4"/>
  <c r="F7" i="4"/>
  <c r="C30" i="10"/>
  <c r="C28" i="10"/>
  <c r="C14" i="10"/>
  <c r="C16" i="10"/>
  <c r="D44" i="4"/>
  <c r="E44" i="4"/>
  <c r="F44" i="4"/>
  <c r="F26" i="4"/>
  <c r="F34" i="4"/>
  <c r="D26" i="4"/>
  <c r="F12" i="4"/>
  <c r="F15" i="4"/>
  <c r="B5" i="3"/>
  <c r="K13" i="3"/>
  <c r="F5" i="4"/>
  <c r="C29" i="10"/>
  <c r="C27" i="10"/>
  <c r="H26" i="10"/>
  <c r="B11" i="3"/>
  <c r="B12" i="3"/>
  <c r="L39" i="1"/>
  <c r="L47" i="1"/>
  <c r="L40" i="1"/>
  <c r="J42" i="1"/>
  <c r="L42" i="1"/>
  <c r="J46" i="1"/>
  <c r="L43" i="1"/>
  <c r="L44" i="1"/>
  <c r="L45" i="1"/>
  <c r="L46" i="1"/>
  <c r="J39" i="1"/>
  <c r="J45" i="1"/>
  <c r="J44" i="1"/>
  <c r="J40" i="1"/>
  <c r="I14" i="1"/>
  <c r="I16" i="1"/>
  <c r="I17" i="1"/>
  <c r="I15" i="1"/>
  <c r="E13" i="1"/>
  <c r="AD13" i="17"/>
  <c r="AD14" i="17"/>
  <c r="AB53" i="17"/>
  <c r="AG53" i="17"/>
  <c r="Z53" i="17"/>
  <c r="AA13" i="17"/>
  <c r="AA14" i="17"/>
  <c r="AC13" i="17"/>
  <c r="AC14" i="17"/>
  <c r="AG13" i="17"/>
  <c r="AG14" i="17"/>
  <c r="AA53" i="17"/>
  <c r="AB13" i="17"/>
  <c r="AB14" i="17"/>
  <c r="AE13" i="17"/>
  <c r="AE14" i="17"/>
  <c r="AE53" i="17"/>
  <c r="AF13" i="17"/>
  <c r="AF14" i="17"/>
  <c r="AF53" i="17"/>
  <c r="AF52" i="17"/>
  <c r="AE52" i="17"/>
  <c r="I39" i="10"/>
  <c r="E5" i="17"/>
  <c r="B41" i="1"/>
  <c r="H40" i="10"/>
  <c r="I40" i="10"/>
  <c r="H50" i="10"/>
  <c r="I50" i="10"/>
  <c r="L34" i="1"/>
  <c r="F36" i="4"/>
  <c r="C74" i="10"/>
  <c r="L32" i="1"/>
  <c r="H27" i="10"/>
  <c r="I27" i="10"/>
  <c r="H30" i="10"/>
  <c r="I30" i="10"/>
  <c r="H15" i="10"/>
  <c r="I15" i="10"/>
  <c r="I11" i="10"/>
  <c r="H29" i="10"/>
  <c r="I29" i="10"/>
  <c r="H31" i="10"/>
  <c r="I31" i="10"/>
  <c r="H13" i="1"/>
  <c r="D34" i="4"/>
  <c r="D36" i="4"/>
  <c r="B13" i="3"/>
  <c r="H24" i="10"/>
  <c r="I24" i="10"/>
  <c r="H14" i="10"/>
  <c r="I14" i="10"/>
  <c r="F5" i="17"/>
  <c r="B40" i="1"/>
  <c r="B39" i="1"/>
  <c r="C17" i="10"/>
  <c r="G41" i="4"/>
  <c r="H22" i="10"/>
  <c r="I22" i="10"/>
  <c r="G5" i="17"/>
  <c r="H17" i="10"/>
  <c r="I17" i="10"/>
  <c r="H16" i="10"/>
  <c r="I16" i="10"/>
  <c r="H18" i="10"/>
  <c r="I18" i="10"/>
  <c r="H20" i="10"/>
  <c r="I20" i="10"/>
  <c r="H21" i="10"/>
  <c r="I21" i="10"/>
  <c r="H5" i="17"/>
  <c r="B38" i="1"/>
  <c r="H9" i="4"/>
  <c r="I5" i="17"/>
  <c r="H41" i="4"/>
  <c r="J5" i="17"/>
  <c r="K5" i="17"/>
  <c r="L5" i="17"/>
  <c r="M5" i="17"/>
  <c r="H28" i="10"/>
  <c r="I28" i="10"/>
  <c r="D5" i="4"/>
  <c r="R43" i="1"/>
  <c r="H32" i="10"/>
  <c r="R42" i="1"/>
  <c r="R41" i="1"/>
  <c r="R46" i="1"/>
  <c r="R45" i="1"/>
  <c r="R44" i="1"/>
  <c r="R40" i="1"/>
  <c r="P42" i="1"/>
  <c r="P43" i="1"/>
  <c r="P44" i="1"/>
  <c r="P40" i="1"/>
  <c r="F49" i="1"/>
  <c r="F47" i="1"/>
  <c r="F50" i="1"/>
  <c r="P45" i="1"/>
  <c r="P41" i="1"/>
  <c r="P46" i="1"/>
  <c r="H48" i="1"/>
  <c r="F48" i="1"/>
  <c r="H13" i="10"/>
  <c r="I13" i="10"/>
  <c r="F36" i="17"/>
  <c r="F37" i="17"/>
  <c r="F43" i="16"/>
  <c r="J56" i="17"/>
  <c r="J64" i="16"/>
  <c r="J36" i="17"/>
  <c r="J37" i="17"/>
  <c r="J43" i="16"/>
  <c r="M36" i="17"/>
  <c r="M37" i="17"/>
  <c r="M43" i="16"/>
  <c r="I36" i="17"/>
  <c r="I37" i="17"/>
  <c r="I43" i="16"/>
  <c r="E37" i="17"/>
  <c r="E43" i="16"/>
  <c r="G36" i="17"/>
  <c r="G37" i="17"/>
  <c r="G43" i="16"/>
  <c r="K36" i="17"/>
  <c r="K37" i="17"/>
  <c r="K43" i="16"/>
  <c r="H56" i="17"/>
  <c r="H64" i="16"/>
  <c r="H36" i="17"/>
  <c r="H37" i="17"/>
  <c r="H43" i="16"/>
  <c r="L36" i="17"/>
  <c r="L37" i="17"/>
  <c r="L43" i="16"/>
  <c r="G56" i="17"/>
  <c r="G64" i="16"/>
  <c r="M56" i="17"/>
  <c r="M64" i="16"/>
  <c r="F56" i="17"/>
  <c r="F64" i="16"/>
  <c r="L56" i="17"/>
  <c r="L64" i="16"/>
  <c r="I56" i="17"/>
  <c r="I64" i="16"/>
  <c r="D36" i="17"/>
  <c r="D37" i="17"/>
  <c r="D43" i="16"/>
  <c r="D56" i="17"/>
  <c r="D64" i="16"/>
  <c r="C56" i="17"/>
  <c r="C64" i="16"/>
  <c r="C47" i="17"/>
  <c r="C50" i="17"/>
  <c r="C55" i="16"/>
  <c r="C52" i="16"/>
  <c r="J41" i="1"/>
  <c r="J48" i="1"/>
  <c r="L41" i="1"/>
  <c r="C67" i="17"/>
  <c r="E25" i="4"/>
  <c r="E26" i="4"/>
  <c r="E34" i="4"/>
  <c r="E36" i="4"/>
  <c r="E43" i="4"/>
  <c r="F43" i="4"/>
  <c r="G13" i="4"/>
  <c r="K56" i="17"/>
  <c r="K64" i="16"/>
  <c r="H38" i="4"/>
  <c r="H39" i="4"/>
  <c r="I10" i="4"/>
  <c r="I39" i="4"/>
  <c r="I38" i="4"/>
  <c r="J10" i="4"/>
  <c r="J39" i="4"/>
  <c r="J38" i="4"/>
  <c r="K10" i="4"/>
  <c r="K38" i="4"/>
  <c r="L10" i="4"/>
  <c r="K39" i="4"/>
  <c r="L39" i="4"/>
  <c r="L38" i="4"/>
  <c r="M10" i="4"/>
  <c r="M39" i="4"/>
  <c r="M38" i="4"/>
  <c r="N10" i="4"/>
  <c r="N38" i="4"/>
  <c r="O10" i="4"/>
  <c r="N39" i="4"/>
  <c r="O39" i="4"/>
  <c r="O38" i="4"/>
  <c r="P10" i="4"/>
  <c r="P38" i="4"/>
  <c r="Q10" i="4"/>
  <c r="P39" i="4"/>
  <c r="Q38" i="4"/>
  <c r="R10" i="4"/>
  <c r="Q39" i="4"/>
  <c r="R39" i="4"/>
  <c r="R38" i="4"/>
  <c r="S10" i="4"/>
  <c r="S39" i="4"/>
  <c r="S38" i="4"/>
  <c r="T10" i="4"/>
  <c r="T38" i="4"/>
  <c r="U10" i="4"/>
  <c r="T39" i="4"/>
  <c r="U39" i="4"/>
  <c r="U38" i="4"/>
  <c r="V10" i="4"/>
  <c r="V39" i="4"/>
  <c r="V38" i="4"/>
  <c r="W10" i="4"/>
  <c r="W38" i="4"/>
  <c r="X10" i="4"/>
  <c r="W39" i="4"/>
  <c r="X39" i="4"/>
  <c r="X38" i="4"/>
  <c r="Y10" i="4"/>
  <c r="Y38" i="4"/>
  <c r="Z10" i="4"/>
  <c r="Y39" i="4"/>
  <c r="Z39" i="4"/>
  <c r="Z38" i="4"/>
  <c r="AA10" i="4"/>
  <c r="AA39" i="4"/>
  <c r="AA38" i="4"/>
  <c r="AB10" i="4"/>
  <c r="AB38" i="4"/>
  <c r="AC10" i="4"/>
  <c r="AB39" i="4"/>
  <c r="AC39" i="4"/>
  <c r="AC38" i="4"/>
  <c r="AD10" i="4"/>
  <c r="AD39" i="4"/>
  <c r="AD38" i="4"/>
  <c r="AE10" i="4"/>
  <c r="AE38" i="4"/>
  <c r="AF10" i="4"/>
  <c r="AE39" i="4"/>
  <c r="AF39" i="4"/>
  <c r="AG39" i="4"/>
  <c r="AF38" i="4"/>
  <c r="AG38" i="4"/>
  <c r="K63" i="17"/>
  <c r="L63" i="17"/>
  <c r="G5" i="4"/>
  <c r="G14" i="4"/>
  <c r="G8" i="4"/>
  <c r="G12" i="4"/>
  <c r="G44" i="4"/>
  <c r="G28" i="4"/>
  <c r="G11" i="4"/>
  <c r="G20" i="4"/>
  <c r="G21" i="4"/>
  <c r="G25" i="4"/>
  <c r="G26" i="4"/>
  <c r="G31" i="4"/>
  <c r="G15" i="4"/>
  <c r="G16" i="4"/>
  <c r="G17" i="4"/>
  <c r="G30" i="4"/>
  <c r="G29" i="4"/>
  <c r="G19" i="4"/>
  <c r="G32" i="4"/>
  <c r="G22" i="4"/>
  <c r="G34" i="4"/>
  <c r="G35" i="4"/>
  <c r="G36" i="4"/>
  <c r="G43" i="4"/>
  <c r="H13" i="4"/>
  <c r="H5" i="4"/>
  <c r="H11" i="4"/>
  <c r="H20" i="4"/>
  <c r="H24" i="4"/>
  <c r="H21" i="4"/>
  <c r="H8" i="4"/>
  <c r="H23" i="4"/>
  <c r="I5" i="4"/>
  <c r="H40" i="4"/>
  <c r="J5" i="4"/>
  <c r="I11" i="4"/>
  <c r="I20" i="4"/>
  <c r="I23" i="4"/>
  <c r="I24" i="4"/>
  <c r="I21" i="4"/>
  <c r="I8" i="4"/>
  <c r="H14" i="4"/>
  <c r="H15" i="4"/>
  <c r="H16" i="4"/>
  <c r="H17" i="4"/>
  <c r="H25" i="4"/>
  <c r="H26" i="4"/>
  <c r="H31" i="4"/>
  <c r="H12" i="4"/>
  <c r="H44" i="4"/>
  <c r="H29" i="4"/>
  <c r="H19" i="4"/>
  <c r="H22" i="4"/>
  <c r="I40" i="4"/>
  <c r="I25" i="4"/>
  <c r="I26" i="4"/>
  <c r="I31" i="4"/>
  <c r="H30" i="4"/>
  <c r="J11" i="4"/>
  <c r="J20" i="4"/>
  <c r="J23" i="4"/>
  <c r="J8" i="4"/>
  <c r="J24" i="4"/>
  <c r="J21" i="4"/>
  <c r="K21" i="4"/>
  <c r="I14" i="4"/>
  <c r="H28" i="4"/>
  <c r="I9" i="4"/>
  <c r="H35" i="4"/>
  <c r="I12" i="4"/>
  <c r="J40" i="4"/>
  <c r="K9" i="4"/>
  <c r="K24" i="4"/>
  <c r="K23" i="4"/>
  <c r="J14" i="4"/>
  <c r="K11" i="4"/>
  <c r="K20" i="4"/>
  <c r="K8" i="4"/>
  <c r="K5" i="4"/>
  <c r="H34" i="4"/>
  <c r="H32" i="4"/>
  <c r="L21" i="4"/>
  <c r="J9" i="4"/>
  <c r="J31" i="4"/>
  <c r="J25" i="4"/>
  <c r="J26" i="4"/>
  <c r="I41" i="4"/>
  <c r="I44" i="4"/>
  <c r="I28" i="4"/>
  <c r="H36" i="4"/>
  <c r="H43" i="4"/>
  <c r="I13" i="4"/>
  <c r="I15" i="4"/>
  <c r="I16" i="4"/>
  <c r="I17" i="4"/>
  <c r="K40" i="4"/>
  <c r="L9" i="4"/>
  <c r="L23" i="4"/>
  <c r="L24" i="4"/>
  <c r="K14" i="4"/>
  <c r="K31" i="4"/>
  <c r="K25" i="4"/>
  <c r="K26" i="4"/>
  <c r="K12" i="4"/>
  <c r="K44" i="4"/>
  <c r="J12" i="4"/>
  <c r="J44" i="4"/>
  <c r="M21" i="4"/>
  <c r="L11" i="4"/>
  <c r="L20" i="4"/>
  <c r="L5" i="4"/>
  <c r="L8" i="4"/>
  <c r="J41" i="4"/>
  <c r="K41" i="4"/>
  <c r="I29" i="4"/>
  <c r="I19" i="4"/>
  <c r="I22" i="4"/>
  <c r="I34" i="4"/>
  <c r="L40" i="4"/>
  <c r="M9" i="4"/>
  <c r="M23" i="4"/>
  <c r="M24" i="4"/>
  <c r="L14" i="4"/>
  <c r="I30" i="4"/>
  <c r="N21" i="4"/>
  <c r="L41" i="4"/>
  <c r="M11" i="4"/>
  <c r="M20" i="4"/>
  <c r="M8" i="4"/>
  <c r="M5" i="4"/>
  <c r="J28" i="4"/>
  <c r="K28" i="4"/>
  <c r="L31" i="4"/>
  <c r="L25" i="4"/>
  <c r="L26" i="4"/>
  <c r="M40" i="4"/>
  <c r="N9" i="4"/>
  <c r="N23" i="4"/>
  <c r="N24" i="4"/>
  <c r="I35" i="4"/>
  <c r="I36" i="4"/>
  <c r="I43" i="4"/>
  <c r="I32" i="4"/>
  <c r="M41" i="4"/>
  <c r="M25" i="4"/>
  <c r="M26" i="4"/>
  <c r="M31" i="4"/>
  <c r="L12" i="4"/>
  <c r="L44" i="4"/>
  <c r="M14" i="4"/>
  <c r="O21" i="4"/>
  <c r="N5" i="4"/>
  <c r="N11" i="4"/>
  <c r="N20" i="4"/>
  <c r="N8" i="4"/>
  <c r="N40" i="4"/>
  <c r="O24" i="4"/>
  <c r="O23" i="4"/>
  <c r="M12" i="4"/>
  <c r="O11" i="4"/>
  <c r="O20" i="4"/>
  <c r="O5" i="4"/>
  <c r="O8" i="4"/>
  <c r="N41" i="4"/>
  <c r="O9" i="4"/>
  <c r="L28" i="4"/>
  <c r="N25" i="4"/>
  <c r="N26" i="4"/>
  <c r="N31" i="4"/>
  <c r="N14" i="4"/>
  <c r="J13" i="4"/>
  <c r="J15" i="4"/>
  <c r="J16" i="4"/>
  <c r="J17" i="4"/>
  <c r="P21" i="4"/>
  <c r="M44" i="4"/>
  <c r="M28" i="4"/>
  <c r="O14" i="4"/>
  <c r="J29" i="4"/>
  <c r="J19" i="4"/>
  <c r="J22" i="4"/>
  <c r="J34" i="4"/>
  <c r="O40" i="4"/>
  <c r="P9" i="4"/>
  <c r="P24" i="4"/>
  <c r="P23" i="4"/>
  <c r="N12" i="4"/>
  <c r="Q21" i="4"/>
  <c r="O25" i="4"/>
  <c r="O26" i="4"/>
  <c r="O31" i="4"/>
  <c r="O41" i="4"/>
  <c r="P11" i="4"/>
  <c r="P20" i="4"/>
  <c r="P5" i="4"/>
  <c r="P8" i="4"/>
  <c r="J30" i="4"/>
  <c r="N44" i="4"/>
  <c r="N28" i="4"/>
  <c r="P40" i="4"/>
  <c r="Q9" i="4"/>
  <c r="Q24" i="4"/>
  <c r="Q23" i="4"/>
  <c r="O12" i="4"/>
  <c r="O44" i="4"/>
  <c r="Q5" i="4"/>
  <c r="Q11" i="4"/>
  <c r="Q20" i="4"/>
  <c r="Q8" i="4"/>
  <c r="R21" i="4"/>
  <c r="P41" i="4"/>
  <c r="J35" i="4"/>
  <c r="J36" i="4"/>
  <c r="J43" i="4"/>
  <c r="J32" i="4"/>
  <c r="P25" i="4"/>
  <c r="P26" i="4"/>
  <c r="P31" i="4"/>
  <c r="P14" i="4"/>
  <c r="Q40" i="4"/>
  <c r="R9" i="4"/>
  <c r="R24" i="4"/>
  <c r="R23" i="4"/>
  <c r="K13" i="4"/>
  <c r="K15" i="4"/>
  <c r="K16" i="4"/>
  <c r="K17" i="4"/>
  <c r="K19" i="4"/>
  <c r="Q14" i="4"/>
  <c r="Q31" i="4"/>
  <c r="Q25" i="4"/>
  <c r="Q26" i="4"/>
  <c r="R5" i="4"/>
  <c r="R11" i="4"/>
  <c r="R20" i="4"/>
  <c r="R8" i="4"/>
  <c r="P12" i="4"/>
  <c r="P44" i="4"/>
  <c r="O28" i="4"/>
  <c r="Q12" i="4"/>
  <c r="Q44" i="4"/>
  <c r="S21" i="4"/>
  <c r="R40" i="4"/>
  <c r="K30" i="4"/>
  <c r="K29" i="4"/>
  <c r="S24" i="4"/>
  <c r="S23" i="4"/>
  <c r="R14" i="4"/>
  <c r="Q28" i="4"/>
  <c r="Q41" i="4"/>
  <c r="R12" i="4"/>
  <c r="R44" i="4"/>
  <c r="S9" i="4"/>
  <c r="P28" i="4"/>
  <c r="T21" i="4"/>
  <c r="S8" i="4"/>
  <c r="S11" i="4"/>
  <c r="S20" i="4"/>
  <c r="S5" i="4"/>
  <c r="R31" i="4"/>
  <c r="R25" i="4"/>
  <c r="R26" i="4"/>
  <c r="K22" i="4"/>
  <c r="K34" i="4"/>
  <c r="S40" i="4"/>
  <c r="T9" i="4"/>
  <c r="T23" i="4"/>
  <c r="T24" i="4"/>
  <c r="S14" i="4"/>
  <c r="R28" i="4"/>
  <c r="S12" i="4"/>
  <c r="S44" i="4"/>
  <c r="S25" i="4"/>
  <c r="S26" i="4"/>
  <c r="S31" i="4"/>
  <c r="U21" i="4"/>
  <c r="K35" i="4"/>
  <c r="K36" i="4"/>
  <c r="K43" i="4"/>
  <c r="K32" i="4"/>
  <c r="T11" i="4"/>
  <c r="T20" i="4"/>
  <c r="T8" i="4"/>
  <c r="T5" i="4"/>
  <c r="R41" i="4"/>
  <c r="T40" i="4"/>
  <c r="U23" i="4"/>
  <c r="U24" i="4"/>
  <c r="S28" i="4"/>
  <c r="L13" i="4"/>
  <c r="L15" i="4"/>
  <c r="L16" i="4"/>
  <c r="L17" i="4"/>
  <c r="L19" i="4"/>
  <c r="U5" i="4"/>
  <c r="U11" i="4"/>
  <c r="U20" i="4"/>
  <c r="U8" i="4"/>
  <c r="S41" i="4"/>
  <c r="T31" i="4"/>
  <c r="T25" i="4"/>
  <c r="T26" i="4"/>
  <c r="V21" i="4"/>
  <c r="T12" i="4"/>
  <c r="T44" i="4"/>
  <c r="U9" i="4"/>
  <c r="T14" i="4"/>
  <c r="U40" i="4"/>
  <c r="L29" i="4"/>
  <c r="L30" i="4"/>
  <c r="V23" i="4"/>
  <c r="V24" i="4"/>
  <c r="T28" i="4"/>
  <c r="T41" i="4"/>
  <c r="L22" i="4"/>
  <c r="L34" i="4"/>
  <c r="W21" i="4"/>
  <c r="V11" i="4"/>
  <c r="V20" i="4"/>
  <c r="V5" i="4"/>
  <c r="V8" i="4"/>
  <c r="U14" i="4"/>
  <c r="U25" i="4"/>
  <c r="U26" i="4"/>
  <c r="U31" i="4"/>
  <c r="U12" i="4"/>
  <c r="U44" i="4"/>
  <c r="V9" i="4"/>
  <c r="V14" i="4"/>
  <c r="V40" i="4"/>
  <c r="W9" i="4"/>
  <c r="W24" i="4"/>
  <c r="W23" i="4"/>
  <c r="U28" i="4"/>
  <c r="U41" i="4"/>
  <c r="L35" i="4"/>
  <c r="L32" i="4"/>
  <c r="W5" i="4"/>
  <c r="W14" i="4"/>
  <c r="W8" i="4"/>
  <c r="W11" i="4"/>
  <c r="W20" i="4"/>
  <c r="X21" i="4"/>
  <c r="V31" i="4"/>
  <c r="V25" i="4"/>
  <c r="V26" i="4"/>
  <c r="V12" i="4"/>
  <c r="V44" i="4"/>
  <c r="W40" i="4"/>
  <c r="X9" i="4"/>
  <c r="X24" i="4"/>
  <c r="X23" i="4"/>
  <c r="V28" i="4"/>
  <c r="V41" i="4"/>
  <c r="L36" i="4"/>
  <c r="L43" i="4"/>
  <c r="X5" i="4"/>
  <c r="X11" i="4"/>
  <c r="X20" i="4"/>
  <c r="X8" i="4"/>
  <c r="Y21" i="4"/>
  <c r="W12" i="4"/>
  <c r="W44" i="4"/>
  <c r="W31" i="4"/>
  <c r="W25" i="4"/>
  <c r="W26" i="4"/>
  <c r="X40" i="4"/>
  <c r="Y9" i="4"/>
  <c r="Y24" i="4"/>
  <c r="Y23" i="4"/>
  <c r="W28" i="4"/>
  <c r="X12" i="4"/>
  <c r="X44" i="4"/>
  <c r="X25" i="4"/>
  <c r="X26" i="4"/>
  <c r="X31" i="4"/>
  <c r="X14" i="4"/>
  <c r="Y11" i="4"/>
  <c r="Y20" i="4"/>
  <c r="Y5" i="4"/>
  <c r="Y8" i="4"/>
  <c r="M13" i="4"/>
  <c r="M15" i="4"/>
  <c r="M16" i="4"/>
  <c r="M17" i="4"/>
  <c r="M19" i="4"/>
  <c r="Z21" i="4"/>
  <c r="W41" i="4"/>
  <c r="Y40" i="4"/>
  <c r="M29" i="4"/>
  <c r="M30" i="4"/>
  <c r="Z24" i="4"/>
  <c r="Z23" i="4"/>
  <c r="X41" i="4"/>
  <c r="Y41" i="4"/>
  <c r="AA21" i="4"/>
  <c r="Z8" i="4"/>
  <c r="Z11" i="4"/>
  <c r="Z20" i="4"/>
  <c r="Z5" i="4"/>
  <c r="X28" i="4"/>
  <c r="Y31" i="4"/>
  <c r="Y25" i="4"/>
  <c r="Y26" i="4"/>
  <c r="Z9" i="4"/>
  <c r="Y14" i="4"/>
  <c r="M22" i="4"/>
  <c r="M34" i="4"/>
  <c r="Z40" i="4"/>
  <c r="AA9" i="4"/>
  <c r="AA24" i="4"/>
  <c r="AA23" i="4"/>
  <c r="Y12" i="4"/>
  <c r="Z25" i="4"/>
  <c r="Z26" i="4"/>
  <c r="Z31" i="4"/>
  <c r="Z14" i="4"/>
  <c r="AB21" i="4"/>
  <c r="AA8" i="4"/>
  <c r="AA11" i="4"/>
  <c r="AA20" i="4"/>
  <c r="AA5" i="4"/>
  <c r="M35" i="4"/>
  <c r="M36" i="4"/>
  <c r="M43" i="4"/>
  <c r="M32" i="4"/>
  <c r="Z41" i="4"/>
  <c r="Y44" i="4"/>
  <c r="Y28" i="4"/>
  <c r="AA40" i="4"/>
  <c r="AB9" i="4"/>
  <c r="AB24" i="4"/>
  <c r="AB23" i="4"/>
  <c r="Z12" i="4"/>
  <c r="Z44" i="4"/>
  <c r="N13" i="4"/>
  <c r="N15" i="4"/>
  <c r="N16" i="4"/>
  <c r="N17" i="4"/>
  <c r="N19" i="4"/>
  <c r="AC21" i="4"/>
  <c r="AA14" i="4"/>
  <c r="AA12" i="4"/>
  <c r="AA44" i="4"/>
  <c r="AA25" i="4"/>
  <c r="AA26" i="4"/>
  <c r="AA31" i="4"/>
  <c r="AB11" i="4"/>
  <c r="AB20" i="4"/>
  <c r="AB8" i="4"/>
  <c r="AB5" i="4"/>
  <c r="AB40" i="4"/>
  <c r="AC23" i="4"/>
  <c r="AC24" i="4"/>
  <c r="Z28" i="4"/>
  <c r="N29" i="4"/>
  <c r="N30" i="4"/>
  <c r="AA28" i="4"/>
  <c r="AC9" i="4"/>
  <c r="AB12" i="4"/>
  <c r="AB44" i="4"/>
  <c r="AB14" i="4"/>
  <c r="AB31" i="4"/>
  <c r="AB25" i="4"/>
  <c r="AB26" i="4"/>
  <c r="AA41" i="4"/>
  <c r="AD21" i="4"/>
  <c r="AC8" i="4"/>
  <c r="AC5" i="4"/>
  <c r="AC11" i="4"/>
  <c r="AC20" i="4"/>
  <c r="N22" i="4"/>
  <c r="N34" i="4"/>
  <c r="AC40" i="4"/>
  <c r="AD23" i="4"/>
  <c r="AD24" i="4"/>
  <c r="AB28" i="4"/>
  <c r="AD11" i="4"/>
  <c r="AD20" i="4"/>
  <c r="AD5" i="4"/>
  <c r="AD8" i="4"/>
  <c r="AB41" i="4"/>
  <c r="AE21" i="4"/>
  <c r="AC12" i="4"/>
  <c r="AC44" i="4"/>
  <c r="AD9" i="4"/>
  <c r="AC25" i="4"/>
  <c r="AC26" i="4"/>
  <c r="AC31" i="4"/>
  <c r="N35" i="4"/>
  <c r="N36" i="4"/>
  <c r="N43" i="4"/>
  <c r="N32" i="4"/>
  <c r="AC14" i="4"/>
  <c r="AD40" i="4"/>
  <c r="AE9" i="4"/>
  <c r="AE24" i="4"/>
  <c r="AE23" i="4"/>
  <c r="AF21" i="4"/>
  <c r="AC28" i="4"/>
  <c r="O13" i="4"/>
  <c r="O15" i="4"/>
  <c r="O16" i="4"/>
  <c r="O17" i="4"/>
  <c r="O19" i="4"/>
  <c r="AE5" i="4"/>
  <c r="AE8" i="4"/>
  <c r="AE11" i="4"/>
  <c r="AE20" i="4"/>
  <c r="AC41" i="4"/>
  <c r="AD14" i="4"/>
  <c r="AD12" i="4"/>
  <c r="AD44" i="4"/>
  <c r="AD25" i="4"/>
  <c r="AD26" i="4"/>
  <c r="AD31" i="4"/>
  <c r="AE40" i="4"/>
  <c r="AF8" i="4"/>
  <c r="AF11" i="4"/>
  <c r="AF20" i="4"/>
  <c r="O30" i="4"/>
  <c r="O29" i="4"/>
  <c r="AF24" i="4"/>
  <c r="AF23" i="4"/>
  <c r="AG23" i="4"/>
  <c r="AF5" i="4"/>
  <c r="AE14" i="4"/>
  <c r="AD41" i="4"/>
  <c r="AE31" i="4"/>
  <c r="AE25" i="4"/>
  <c r="AE26" i="4"/>
  <c r="O22" i="4"/>
  <c r="O34" i="4"/>
  <c r="AF9" i="4"/>
  <c r="AG9" i="4"/>
  <c r="AD28" i="4"/>
  <c r="AF40" i="4"/>
  <c r="AG40" i="4"/>
  <c r="AF14" i="4"/>
  <c r="AF31" i="4"/>
  <c r="AE41" i="4"/>
  <c r="AF25" i="4"/>
  <c r="AF26" i="4"/>
  <c r="AE12" i="4"/>
  <c r="AE44" i="4"/>
  <c r="O35" i="4"/>
  <c r="O36" i="4"/>
  <c r="O43" i="4"/>
  <c r="O32" i="4"/>
  <c r="P13" i="4"/>
  <c r="P15" i="4"/>
  <c r="P16" i="4"/>
  <c r="P17" i="4"/>
  <c r="P19" i="4"/>
  <c r="AH24" i="4"/>
  <c r="AF12" i="4"/>
  <c r="AF44" i="4"/>
  <c r="AE28" i="4"/>
  <c r="AF41" i="4"/>
  <c r="AG41" i="4"/>
  <c r="P30" i="4"/>
  <c r="P29" i="4"/>
  <c r="AF28" i="4"/>
  <c r="P22" i="4"/>
  <c r="P34" i="4"/>
  <c r="P35" i="4"/>
  <c r="P36" i="4"/>
  <c r="P43" i="4"/>
  <c r="P32" i="4"/>
  <c r="Q13" i="4"/>
  <c r="Q15" i="4"/>
  <c r="Q16" i="4"/>
  <c r="Q17" i="4"/>
  <c r="Q19" i="4"/>
  <c r="Q30" i="4"/>
  <c r="Q29" i="4"/>
  <c r="Q22" i="4"/>
  <c r="Q34" i="4"/>
  <c r="Q35" i="4"/>
  <c r="Q36" i="4"/>
  <c r="Q43" i="4"/>
  <c r="Q32" i="4"/>
  <c r="R13" i="4"/>
  <c r="R15" i="4"/>
  <c r="R16" i="4"/>
  <c r="R17" i="4"/>
  <c r="R19" i="4"/>
  <c r="R30" i="4"/>
  <c r="R29" i="4"/>
  <c r="R22" i="4"/>
  <c r="R34" i="4"/>
  <c r="R35" i="4"/>
  <c r="R36" i="4"/>
  <c r="R43" i="4"/>
  <c r="R32" i="4"/>
  <c r="S13" i="4"/>
  <c r="S15" i="4"/>
  <c r="S16" i="4"/>
  <c r="S17" i="4"/>
  <c r="S19" i="4"/>
  <c r="S30" i="4"/>
  <c r="S29" i="4"/>
  <c r="S22" i="4"/>
  <c r="S34" i="4"/>
  <c r="S35" i="4"/>
  <c r="S36" i="4"/>
  <c r="S43" i="4"/>
  <c r="S32" i="4"/>
  <c r="T13" i="4"/>
  <c r="T15" i="4"/>
  <c r="T16" i="4"/>
  <c r="T17" i="4"/>
  <c r="T19" i="4"/>
  <c r="T29" i="4"/>
  <c r="T30" i="4"/>
  <c r="T22" i="4"/>
  <c r="T34" i="4"/>
  <c r="T35" i="4"/>
  <c r="T36" i="4"/>
  <c r="T43" i="4"/>
  <c r="T32" i="4"/>
  <c r="U13" i="4"/>
  <c r="U15" i="4"/>
  <c r="U16" i="4"/>
  <c r="U17" i="4"/>
  <c r="U19" i="4"/>
  <c r="U29" i="4"/>
  <c r="U30" i="4"/>
  <c r="U22" i="4"/>
  <c r="U34" i="4"/>
  <c r="U35" i="4"/>
  <c r="U36" i="4"/>
  <c r="U43" i="4"/>
  <c r="U32" i="4"/>
  <c r="V13" i="4"/>
  <c r="V15" i="4"/>
  <c r="V16" i="4"/>
  <c r="V17" i="4"/>
  <c r="V19" i="4"/>
  <c r="V29" i="4"/>
  <c r="V30" i="4"/>
  <c r="V22" i="4"/>
  <c r="V34" i="4"/>
  <c r="V35" i="4"/>
  <c r="V36" i="4"/>
  <c r="V43" i="4"/>
  <c r="V32" i="4"/>
  <c r="W13" i="4"/>
  <c r="W15" i="4"/>
  <c r="W16" i="4"/>
  <c r="W17" i="4"/>
  <c r="W19" i="4"/>
  <c r="W30" i="4"/>
  <c r="W29" i="4"/>
  <c r="W22" i="4"/>
  <c r="W34" i="4"/>
  <c r="W35" i="4"/>
  <c r="W36" i="4"/>
  <c r="W43" i="4"/>
  <c r="W32" i="4"/>
  <c r="X13" i="4"/>
  <c r="X15" i="4"/>
  <c r="X16" i="4"/>
  <c r="X17" i="4"/>
  <c r="X19" i="4"/>
  <c r="X30" i="4"/>
  <c r="X29" i="4"/>
  <c r="X22" i="4"/>
  <c r="X34" i="4"/>
  <c r="X35" i="4"/>
  <c r="X36" i="4"/>
  <c r="X43" i="4"/>
  <c r="X32" i="4"/>
  <c r="Y13" i="4"/>
  <c r="Y15" i="4"/>
  <c r="Y16" i="4"/>
  <c r="Y17" i="4"/>
  <c r="Y19" i="4"/>
  <c r="Y30" i="4"/>
  <c r="Y29" i="4"/>
  <c r="Y22" i="4"/>
  <c r="Y34" i="4"/>
  <c r="Y35" i="4"/>
  <c r="Y36" i="4"/>
  <c r="Y43" i="4"/>
  <c r="Y32" i="4"/>
  <c r="Z13" i="4"/>
  <c r="Z15" i="4"/>
  <c r="Z16" i="4"/>
  <c r="Z17" i="4"/>
  <c r="Z19" i="4"/>
  <c r="Z29" i="4"/>
  <c r="Z30" i="4"/>
  <c r="Z22" i="4"/>
  <c r="Z34" i="4"/>
  <c r="Z35" i="4"/>
  <c r="Z36" i="4"/>
  <c r="Z43" i="4"/>
  <c r="Z32" i="4"/>
  <c r="AA13" i="4"/>
  <c r="AA15" i="4"/>
  <c r="AA16" i="4"/>
  <c r="AA17" i="4"/>
  <c r="AA19" i="4"/>
  <c r="AA29" i="4"/>
  <c r="AA30" i="4"/>
  <c r="AA22" i="4"/>
  <c r="AA34" i="4"/>
  <c r="AA35" i="4"/>
  <c r="AA36" i="4"/>
  <c r="AA43" i="4"/>
  <c r="AA32" i="4"/>
  <c r="AB13" i="4"/>
  <c r="AB15" i="4"/>
  <c r="AB16" i="4"/>
  <c r="AB17" i="4"/>
  <c r="AB19" i="4"/>
  <c r="AB29" i="4"/>
  <c r="AB30" i="4"/>
  <c r="AB22" i="4"/>
  <c r="AB34" i="4"/>
  <c r="AB35" i="4"/>
  <c r="AB36" i="4"/>
  <c r="AB43" i="4"/>
  <c r="AB32" i="4"/>
  <c r="AC13" i="4"/>
  <c r="AC15" i="4"/>
  <c r="AC16" i="4"/>
  <c r="AC17" i="4"/>
  <c r="AC19" i="4"/>
  <c r="AC29" i="4"/>
  <c r="AC30" i="4"/>
  <c r="AC22" i="4"/>
  <c r="AC34" i="4"/>
  <c r="AC35" i="4"/>
  <c r="AC36" i="4"/>
  <c r="AC43" i="4"/>
  <c r="AC32" i="4"/>
  <c r="AD13" i="4"/>
  <c r="AD15" i="4"/>
  <c r="AD16" i="4"/>
  <c r="AD17" i="4"/>
  <c r="AD19" i="4"/>
  <c r="AD29" i="4"/>
  <c r="AD30" i="4"/>
  <c r="AD22" i="4"/>
  <c r="AD34" i="4"/>
  <c r="AD35" i="4"/>
  <c r="AD36" i="4"/>
  <c r="AD43" i="4"/>
  <c r="AD32" i="4"/>
  <c r="AE13" i="4"/>
  <c r="AE15" i="4"/>
  <c r="AE16" i="4"/>
  <c r="AE17" i="4"/>
  <c r="AE19" i="4"/>
  <c r="AE30" i="4"/>
  <c r="AE29" i="4"/>
  <c r="AE22" i="4"/>
  <c r="AE34" i="4"/>
  <c r="AE35" i="4"/>
  <c r="AE36" i="4"/>
  <c r="AE43" i="4"/>
  <c r="AE32" i="4"/>
  <c r="AF13" i="4"/>
  <c r="AF15" i="4"/>
  <c r="AF16" i="4"/>
  <c r="AF17" i="4"/>
  <c r="AF19" i="4"/>
  <c r="AF30" i="4"/>
  <c r="AF29" i="4"/>
  <c r="AF22" i="4"/>
  <c r="AF34" i="4"/>
  <c r="D72" i="4"/>
  <c r="AF35" i="4"/>
  <c r="AF32" i="4"/>
  <c r="AF36" i="4"/>
  <c r="AF43" i="4"/>
  <c r="D71" i="4"/>
  <c r="E71" i="4"/>
  <c r="E72" i="4"/>
  <c r="F52" i="10" l="1"/>
  <c r="H26" i="16"/>
  <c r="C13" i="1" a="1"/>
  <c r="C13" i="1" s="1"/>
  <c r="E14" i="1" s="1"/>
  <c r="C12" i="1" a="1"/>
  <c r="C12" i="1" s="1"/>
  <c r="D74" i="4" s="1"/>
  <c r="C52" i="10"/>
  <c r="H16" i="16"/>
  <c r="H38" i="1" a="1"/>
  <c r="Q40" i="1" s="1"/>
  <c r="H58" i="16"/>
  <c r="H59" i="16" s="1"/>
  <c r="G38" i="1" s="1" a="1"/>
  <c r="G38" i="1" s="1"/>
  <c r="E21" i="1"/>
  <c r="H35" i="16"/>
  <c r="E38" i="1" s="1" a="1"/>
  <c r="E38" i="1" s="1"/>
  <c r="E23" i="1"/>
  <c r="C38" i="1" a="1"/>
  <c r="M45" i="1" s="1"/>
  <c r="E15" i="1"/>
  <c r="N4" i="19"/>
  <c r="E19" i="1"/>
  <c r="I22" i="1"/>
  <c r="L48" i="1"/>
  <c r="H29" i="16"/>
  <c r="H24" i="16"/>
  <c r="H25" i="16" s="1"/>
  <c r="H22" i="16"/>
  <c r="I21" i="1"/>
  <c r="E12" i="1"/>
  <c r="L16" i="1" s="1"/>
  <c r="E18" i="1"/>
  <c r="E17" i="1"/>
  <c r="E20" i="1"/>
  <c r="H36" i="16"/>
  <c r="D79" i="4"/>
  <c r="D78" i="4"/>
  <c r="D76" i="4"/>
  <c r="G30" i="16"/>
  <c r="G31" i="16" s="1"/>
  <c r="L4" i="19"/>
  <c r="C10" i="10" a="1"/>
  <c r="C10" i="10" s="1"/>
  <c r="C45" i="10" a="1"/>
  <c r="C45" i="10" s="1"/>
  <c r="F30" i="16"/>
  <c r="F31" i="16" s="1"/>
  <c r="M43" i="1"/>
  <c r="I23" i="1"/>
  <c r="E45" i="10" a="1"/>
  <c r="E45" i="10" s="1"/>
  <c r="E47" i="10" s="1"/>
  <c r="D38" i="1" a="1"/>
  <c r="H60" i="16"/>
  <c r="H19" i="16"/>
  <c r="H20" i="16" s="1"/>
  <c r="G45" i="10" a="1"/>
  <c r="G45" i="10" s="1"/>
  <c r="G47" i="10" s="1"/>
  <c r="D52" i="10"/>
  <c r="F45" i="10" a="1"/>
  <c r="F45" i="10" s="1"/>
  <c r="F47" i="10" s="1"/>
  <c r="M4" i="19"/>
  <c r="J49" i="1" l="1"/>
  <c r="G25" i="16"/>
  <c r="Q46" i="1"/>
  <c r="Q41" i="1"/>
  <c r="Q42" i="1"/>
  <c r="I18" i="1"/>
  <c r="Q43" i="1"/>
  <c r="L49" i="1"/>
  <c r="L50" i="1" s="1"/>
  <c r="M41" i="1"/>
  <c r="C14" i="1"/>
  <c r="L23" i="1" s="1"/>
  <c r="Q44" i="1"/>
  <c r="C50" i="1"/>
  <c r="H38" i="1"/>
  <c r="H49" i="1" s="1"/>
  <c r="Q45" i="1"/>
  <c r="H50" i="1"/>
  <c r="J50" i="1"/>
  <c r="C49" i="1"/>
  <c r="H30" i="16"/>
  <c r="H31" i="16" s="1"/>
  <c r="I20" i="1"/>
  <c r="M42" i="1"/>
  <c r="E78" i="4"/>
  <c r="M46" i="1"/>
  <c r="L17" i="1"/>
  <c r="I19" i="1"/>
  <c r="M44" i="1"/>
  <c r="C38" i="1"/>
  <c r="M39" i="1" s="1"/>
  <c r="M40" i="1"/>
  <c r="E79" i="4"/>
  <c r="C47" i="10"/>
  <c r="H45" i="10"/>
  <c r="I45" i="10" s="1"/>
  <c r="H10" i="10"/>
  <c r="I10" i="10" s="1"/>
  <c r="C37" i="10"/>
  <c r="C36" i="10"/>
  <c r="C34" i="10"/>
  <c r="C33" i="10"/>
  <c r="C35" i="10"/>
  <c r="H47" i="1"/>
  <c r="H32" i="1"/>
  <c r="D75" i="4"/>
  <c r="N43" i="1"/>
  <c r="N46" i="1"/>
  <c r="N40" i="1"/>
  <c r="D38" i="1"/>
  <c r="D49" i="1" s="1"/>
  <c r="N42" i="1"/>
  <c r="N44" i="1"/>
  <c r="D50" i="1"/>
  <c r="N41" i="1"/>
  <c r="N45" i="1"/>
  <c r="L24" i="1"/>
  <c r="C41" i="10" s="1"/>
  <c r="C17" i="1"/>
  <c r="L21" i="1"/>
  <c r="L18" i="1" l="1"/>
  <c r="C48" i="1"/>
  <c r="C47" i="1"/>
  <c r="M47" i="1" s="1"/>
  <c r="N39" i="1"/>
  <c r="D48" i="1" s="1"/>
  <c r="H33" i="10"/>
  <c r="I33" i="10" s="1"/>
  <c r="H47" i="10"/>
  <c r="I47" i="10" s="1"/>
  <c r="H34" i="10"/>
  <c r="I34" i="10" s="1"/>
  <c r="H36" i="10"/>
  <c r="I36" i="10" s="1"/>
  <c r="L20" i="1"/>
  <c r="L19" i="1"/>
  <c r="H37" i="10"/>
  <c r="I37" i="10" s="1"/>
  <c r="H41" i="10"/>
  <c r="I41" i="10" s="1"/>
  <c r="D47" i="1"/>
  <c r="N47" i="1" s="1"/>
  <c r="H35" i="10"/>
  <c r="I35"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tc={58D3B9F8-18C8-49C1-8E02-0A1F3012ED24}</author>
    <author>Eduardo Ferreira</author>
  </authors>
  <commentList>
    <comment ref="B2" authorId="0" shapeId="0" xr:uid="{B8360AB7-5DB1-45D3-ABF9-3AFEF51621D6}">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D17B5162-9C54-4F03-8882-3A424C1A2E6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J2" authorId="2" shapeId="0" xr:uid="{74106D0B-4568-4C95-B1A7-D780E3BD20D3}">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L13" authorId="3" shapeId="0" xr:uid="{58D3B9F8-18C8-49C1-8E02-0A1F3012ED24}">
      <text>
        <t>[Threaded comment]
Your version of Excel allows you to read this threaded comment; however, any edits to it will get removed if the file is opened in a newer version of Excel. Learn more: https://go.microsoft.com/fwlink/?linkid=870924
Comment:
    Hermes Family</t>
      </text>
    </comment>
    <comment ref="D37" authorId="4" shapeId="0" xr:uid="{3E3FFF3C-33A9-994C-B6DA-EFA3EDE9D6C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Catarina Relvas Pires Guimarães</author>
  </authors>
  <commentList>
    <comment ref="K20" authorId="0" shapeId="0" xr:uid="{A835FBFE-5124-439D-8127-4A65B2CECC2A}">
      <text>
        <r>
          <rPr>
            <sz val="10"/>
            <rFont val="Arial"/>
            <family val="2"/>
          </rPr>
          <t>Catarina Relvas Pires Guimarães:
A for water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tc={906C0C4E-398D-4539-8EB0-A92DC75E28DF}</author>
  </authors>
  <commentList>
    <comment ref="A70" authorId="0" shapeId="0" xr:uid="{906C0C4E-398D-4539-8EB0-A92DC75E28DF}">
      <text>
        <t>[Threaded comment]
Your version of Excel allows you to read this threaded comment; however, any edits to it will get removed if the file is opened in a newer version of Excel. Learn more: https://go.microsoft.com/fwlink/?linkid=870924
Comment:
    "Purchase of inv (L51)"</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tc={86CA8168-5C5F-481A-A1F8-8B8878D0EE37}</author>
    <author>tc={9A3F6555-0BC4-43AE-AE6E-F9B76C225FA7}</author>
  </authors>
  <commentList>
    <comment ref="A29" authorId="0" shapeId="0" xr:uid="{86CA8168-5C5F-481A-A1F8-8B8878D0EE37}">
      <text>
        <t>[Threaded comment]
Your version of Excel allows you to read this threaded comment; however, any edits to it will get removed if the file is opened in a newer version of Excel. Learn more: https://go.microsoft.com/fwlink/?linkid=870924
Comment:
    Took it from L27: "Acc rec - Trade, Net"</t>
      </text>
    </comment>
    <comment ref="A73" authorId="1" shapeId="0" xr:uid="{9A3F6555-0BC4-43AE-AE6E-F9B76C225FA7}">
      <text>
        <t>[Threaded comment]
Your version of Excel allows you to read this threaded comment; however, any edits to it will get removed if the file is opened in a newer version of Excel. Learn more: https://go.microsoft.com/fwlink/?linkid=870924
Comment:
    I used L58 "Tot cash div Paid" (CF)</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7">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5"/>
        </ext>
      </extLst>
    </bk>
    <bk>
      <extLst>
        <ext uri="{3e2802c4-a4d2-4d8b-9148-e3be6c30e623}">
          <xlrd:rvb i="16"/>
        </ext>
      </extLst>
    </bk>
  </futureMetadata>
  <futureMetadata name="XLDAPR" count="1">
    <bk>
      <extLst>
        <ext uri="{bdbb8cdc-fa1e-496e-a857-3c3f30c029c3}">
          <xda:dynamicArrayProperties fDynamic="1" fCollapsed="0"/>
        </ext>
      </extLst>
    </bk>
  </futureMetadata>
  <cellMetadata count="1">
    <bk>
      <rc t="2" v="0"/>
    </bk>
  </cellMetadata>
  <valueMetadata count="7">
    <bk>
      <rc t="1" v="0"/>
    </bk>
    <bk>
      <rc t="1" v="1"/>
    </bk>
    <bk>
      <rc t="1" v="2"/>
    </bk>
    <bk>
      <rc t="1" v="3"/>
    </bk>
    <bk>
      <rc t="1" v="4"/>
    </bk>
    <bk>
      <rc t="1" v="5"/>
    </bk>
    <bk>
      <rc t="1" v="6"/>
    </bk>
  </valueMetadata>
</metadata>
</file>

<file path=xl/sharedStrings.xml><?xml version="1.0" encoding="utf-8"?>
<sst xmlns="http://schemas.openxmlformats.org/spreadsheetml/2006/main" count="1487" uniqueCount="736">
  <si>
    <t>Luxury 1</t>
  </si>
  <si>
    <t>2023 anual results on 9/2/2024</t>
  </si>
  <si>
    <t>XPAR</t>
  </si>
  <si>
    <t>SIC: 23</t>
  </si>
  <si>
    <t>COMPANY DESCRIPTION</t>
  </si>
  <si>
    <t>CEO &amp; BOARD OF DIRECTORS</t>
  </si>
  <si>
    <t>Name (Gender; Age)</t>
  </si>
  <si>
    <t>Tenure</t>
  </si>
  <si>
    <t>Executive?</t>
  </si>
  <si>
    <t>Other roles</t>
  </si>
  <si>
    <t>Axel Dumas, M, 53</t>
  </si>
  <si>
    <t>Y</t>
  </si>
  <si>
    <t>Hermès of Paris, Inc.,Hermès (China) Trading Co., Ltd.,Hermès Sellier SAS,Hermès (China) Co., Ltd.,Hermès Korea Ltd.,Hermes Japon Co., Ltd.- Chairman; La Montre Hermès SA,Hermès Asia Pacific Ltd.- Director</t>
  </si>
  <si>
    <t>Éric de Seynes, M, 63</t>
  </si>
  <si>
    <t>Henri-Louis Bauer, M, 57</t>
  </si>
  <si>
    <t>N</t>
  </si>
  <si>
    <t>Hermès Co. Foundation- Director, Fondation D’Entreprise Hermès- Director, Emile Hermès SARL- Executive Chairman &amp; Chairman-Management Board</t>
  </si>
  <si>
    <t>Julie Guerrand, F, 48</t>
  </si>
  <si>
    <t>Hermès Cuirs Précieux SAS- Deputy Managing Director-Finance &amp; Organisation</t>
  </si>
  <si>
    <t>Charles-Éric Bauer, M, 59</t>
  </si>
  <si>
    <t>COMPANY OVERVIEW</t>
  </si>
  <si>
    <t>Stock</t>
  </si>
  <si>
    <t>Liquidity and Solvency</t>
  </si>
  <si>
    <t>Segments</t>
  </si>
  <si>
    <t>Multiples</t>
  </si>
  <si>
    <t>Last Price</t>
  </si>
  <si>
    <t>Total Assets</t>
  </si>
  <si>
    <t>Regions</t>
  </si>
  <si>
    <t>% Sales</t>
  </si>
  <si>
    <t>Float</t>
  </si>
  <si>
    <t>32,27%</t>
  </si>
  <si>
    <t>Outstanding Shares</t>
  </si>
  <si>
    <t>Total Liabilities</t>
  </si>
  <si>
    <t>Insiders Own</t>
  </si>
  <si>
    <t>Market Cap.</t>
  </si>
  <si>
    <t>Cash/Share</t>
  </si>
  <si>
    <t>b (Yahoo)</t>
  </si>
  <si>
    <t>+Total Debt</t>
  </si>
  <si>
    <t>EBITDA/Net Financial Cost (NFC)</t>
  </si>
  <si>
    <t>Score (S&amp;P)</t>
  </si>
  <si>
    <t>N/A</t>
  </si>
  <si>
    <t>-Cash</t>
  </si>
  <si>
    <t>Debt/EBITDA</t>
  </si>
  <si>
    <t>Price/Book Value</t>
  </si>
  <si>
    <t>=Enterprise Value</t>
  </si>
  <si>
    <t>"Others Assets"/Asset</t>
  </si>
  <si>
    <t>NCF(3y avg)/Asset</t>
  </si>
  <si>
    <t>Holdings (nac/int'l)</t>
  </si>
  <si>
    <t>-</t>
  </si>
  <si>
    <t>Debt/Assets</t>
  </si>
  <si>
    <t>Categories</t>
  </si>
  <si>
    <t>Price/Net Inc. (3y avg)</t>
  </si>
  <si>
    <t>t liq. (Holdings/Vol.)</t>
  </si>
  <si>
    <t>EBITDA Margin (average)</t>
  </si>
  <si>
    <t>EV/Asset</t>
  </si>
  <si>
    <t>% Short</t>
  </si>
  <si>
    <t>Operating Margin (average)</t>
  </si>
  <si>
    <t>EV/Ebitda (3y average)</t>
  </si>
  <si>
    <t>Traffic ESG</t>
  </si>
  <si>
    <t>Net Income Margin (average)</t>
  </si>
  <si>
    <t>Price/NCF (3y average)</t>
  </si>
  <si>
    <t>E</t>
  </si>
  <si>
    <t>Bonds 1,3,5a (USD)</t>
  </si>
  <si>
    <t>S</t>
  </si>
  <si>
    <t>Net Financial Cost/Avg Net Debt</t>
  </si>
  <si>
    <t>Div+Rep.(3y avg)/Price</t>
  </si>
  <si>
    <t>G</t>
  </si>
  <si>
    <t>Div. Yield</t>
  </si>
  <si>
    <t>INVESTMENT THESIS</t>
  </si>
  <si>
    <t>Pillars of Recommendation</t>
  </si>
  <si>
    <t>Recommendation</t>
  </si>
  <si>
    <t>Value assumptions</t>
  </si>
  <si>
    <t>Pillar</t>
  </si>
  <si>
    <t>Explanation</t>
  </si>
  <si>
    <t>ROIC- 63.57%</t>
  </si>
  <si>
    <t>Risks of Investment</t>
  </si>
  <si>
    <t>Price Target</t>
  </si>
  <si>
    <t>Risk</t>
  </si>
  <si>
    <t>Price M. Upside</t>
  </si>
  <si>
    <t>EV M. Upside</t>
  </si>
  <si>
    <t>FINANCIAL PERFORMANCE</t>
  </si>
  <si>
    <t>Year</t>
  </si>
  <si>
    <t>Net Sales</t>
  </si>
  <si>
    <t>Operating Margin</t>
  </si>
  <si>
    <t>Dividends + Share Buyback</t>
  </si>
  <si>
    <t>Net Cash Flow</t>
  </si>
  <si>
    <t>Depreciation &amp; Amortization</t>
  </si>
  <si>
    <t xml:space="preserve">                                                                        </t>
  </si>
  <si>
    <t>Annual Growth Rate</t>
  </si>
  <si>
    <t>Average Growth Rate</t>
  </si>
  <si>
    <t>CVAR</t>
  </si>
  <si>
    <t>Last Year</t>
  </si>
  <si>
    <t>QUALITATIVE ANALYSIS</t>
  </si>
  <si>
    <t>SWOT ANALYSIS</t>
  </si>
  <si>
    <t>Pros</t>
  </si>
  <si>
    <t>Cons</t>
  </si>
  <si>
    <t>% Stake</t>
  </si>
  <si>
    <t xml:space="preserve">Brand Reputation
Quality &amp; Craftsmanship 
Diversified portfolio 
Presence 
Network 
Cultural and Artistic Commitment </t>
  </si>
  <si>
    <t>Exclusivity and affordability
Dependence on the luxury market
Limited online presence 
Chain complexity 
Geographical concentration 
Fakes 
Slow Innovation</t>
  </si>
  <si>
    <t xml:space="preserve">Regulatory Risks:   </t>
  </si>
  <si>
    <t>Risks</t>
  </si>
  <si>
    <t xml:space="preserve">Economic instability 
Changes in consumer trends 
Increased competition 
Forgery 
Supply chain disruptions 
Regulatory Risks
Sustainability concerns 
Over-dependence on certain markets </t>
  </si>
  <si>
    <t>NOTES</t>
  </si>
  <si>
    <t>STOCK PERFORMANCE (5 years)</t>
  </si>
  <si>
    <t>Invertir</t>
  </si>
  <si>
    <t>NO invertir</t>
  </si>
  <si>
    <t>Mantener sin elevar posición</t>
  </si>
  <si>
    <t>Mantener (y seguir comprando)</t>
  </si>
  <si>
    <t>Liquidar</t>
  </si>
  <si>
    <t>PENDIENTE</t>
  </si>
  <si>
    <t>Products</t>
  </si>
  <si>
    <t>Nominal value</t>
  </si>
  <si>
    <t>YoY Growth</t>
  </si>
  <si>
    <t>Weight</t>
  </si>
  <si>
    <t>Region</t>
  </si>
  <si>
    <t>France</t>
  </si>
  <si>
    <t>Europe (excluding France)</t>
  </si>
  <si>
    <t>Japan</t>
  </si>
  <si>
    <t>Asia-Pacific (excluding Japan)</t>
  </si>
  <si>
    <t>Americas</t>
  </si>
  <si>
    <t>Other Geographical Areas</t>
  </si>
  <si>
    <t>TOTAL</t>
  </si>
  <si>
    <t xml:space="preserve">
</t>
  </si>
  <si>
    <t>Category</t>
  </si>
  <si>
    <t>Leather Goods and Saddlery</t>
  </si>
  <si>
    <t>Ready-to-wear and Accessories</t>
  </si>
  <si>
    <t>Silk and Textiles</t>
  </si>
  <si>
    <t>Other Hermès Sectors</t>
  </si>
  <si>
    <t>Perfume and Beauty</t>
  </si>
  <si>
    <t>Watches</t>
  </si>
  <si>
    <t>Other Products</t>
  </si>
  <si>
    <t>Description</t>
  </si>
  <si>
    <t>Graphs</t>
  </si>
  <si>
    <t>Includes bags, travel articles, small leather goods, accessories and equestrian products (saddles,briddles, clothes), for both men and women.</t>
  </si>
  <si>
    <t>Includes ready-to-wear clothing, fashion accessories (jewelry, bags, belts, hats, and gloves), Tech accessories, and shoes, for both men and women.</t>
  </si>
  <si>
    <t>Includes scarves and ties for men, and scarves and shawls for women. This category focus on using materials like silk and cashmere to achieve the final product.</t>
  </si>
  <si>
    <t>Other Hermès Sectores</t>
  </si>
  <si>
    <t>Includes jewellery, porcelain tableware, lifestyle products and home decor items.</t>
  </si>
  <si>
    <t>Includes fragrances for both men and women, with different concentrations (eau de cologne, perfume essences, and eau de parfum) and Make-Up products (lipsticks, lip care oils, powders, highlighters,etc).</t>
  </si>
  <si>
    <t xml:space="preserve">Include watches for both men and woman with different styles, materials, colours, shapes and sizes.				</t>
  </si>
  <si>
    <t>Other Products and Brands</t>
  </si>
  <si>
    <t>Brands: Saint Louis, Puiforcat, John Lobb, J3L.                                                        Products:  textiles, tanneries and leathers, Hermès horizonts, Petit H.</t>
  </si>
  <si>
    <t>Industry</t>
  </si>
  <si>
    <t>Graphs (Industry Forecasts)</t>
  </si>
  <si>
    <t>Drivers</t>
  </si>
  <si>
    <t>Change in Consumption patterns</t>
  </si>
  <si>
    <t>Rise in E-commerce and Digital Transformation</t>
  </si>
  <si>
    <t>Increasing demand for sustainable
products</t>
  </si>
  <si>
    <t>Sales forecast</t>
  </si>
  <si>
    <t>Source</t>
  </si>
  <si>
    <t>Market Growth CAGR</t>
  </si>
  <si>
    <t>Period</t>
  </si>
  <si>
    <t>Statista</t>
  </si>
  <si>
    <t>2023-2028</t>
  </si>
  <si>
    <t>Globe Newswire</t>
  </si>
  <si>
    <t>2020-2026</t>
  </si>
  <si>
    <t>Mordor Intelligence (China)</t>
  </si>
  <si>
    <t>Mordor Intelligence (USA)</t>
  </si>
  <si>
    <t>https://www.mordorintelligence.com/industry-reports/united-states-luxury-goods-market</t>
  </si>
  <si>
    <t>Mordor Intelligence (Apparel)</t>
  </si>
  <si>
    <t>Average</t>
  </si>
  <si>
    <t>Company's Strategy / Extra Notes</t>
  </si>
  <si>
    <t>Source: Statista Market Insights</t>
  </si>
  <si>
    <t>Peer Logo</t>
  </si>
  <si>
    <t>Peer Name</t>
  </si>
  <si>
    <t xml:space="preserve">LVMH is a French-based luxury conglomerate, active worldwide in various high-end sectors, such as Fashion and Leather Goods with Louis Vuitton, Christian Dior, Fendi, among others; Selective Retailing, with Sephora, Le Bon Marche, DFS, among others; Watches and Jewerly, with Tiffany, Bvlgari, TAG Heuer and others; Perfumes and Cosmetics, with Parfums Dior, Guerlain, Parfums Givenchy and others; Wines and Spirits, with Moët &amp; Chandon, Dom Pérignon, Hennessy, among others.
</t>
  </si>
  <si>
    <t xml:space="preserve">Prada SpA is an Italy-based company engaged in fashion industry. The Company is a parent of the Prada Group. The Company, along with its subsidiaries, is engaged in the design, production and distribution of leather goods, handbags, clothing, eyewear, fragrances, footwear and accessories. The Company trades its products through several brands, such as Prada, Miu Miu, The Church and The Car Shoe. Prada SpA operates in approximately 70 countries through a numerous subsidiaries, including Artisans Shoes Srl, Angelo Marchesi Srl, Prada Far East BV, Tannerie Megisserie Hervy SAS and Prada SA, among others.			
</t>
  </si>
  <si>
    <t xml:space="preserve">Burberry Group plc is a United Kingdom-based global luxury goods manufacturer and retailer/wholesaler The Company also licenses third parties to manufacture and distribute products using the Burberry trademarks. The Retail/wholesale segment is engaged in the sale of luxury goods, such as Leather Goods, Clothing/Apparel, Shoes, beauty products and eyewear. The Company is worldwide active.					
</t>
  </si>
  <si>
    <t>In Millions EUR</t>
  </si>
  <si>
    <t>AVERAGE</t>
  </si>
  <si>
    <t>Deviation from Average</t>
  </si>
  <si>
    <t>Company Info</t>
  </si>
  <si>
    <t>TRAFFIC</t>
  </si>
  <si>
    <t>Market Cap</t>
  </si>
  <si>
    <t>Best Value</t>
  </si>
  <si>
    <t>Net Sales (current)</t>
  </si>
  <si>
    <t>Profitability</t>
  </si>
  <si>
    <t>Important Value</t>
  </si>
  <si>
    <t>Sales Growth (ttm)</t>
  </si>
  <si>
    <t>Sales Growth (36m)</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</si>
  <si>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</si>
  <si>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</si>
  <si>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</si>
  <si>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</si>
  <si>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</si>
  <si>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</si>
  <si>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</si>
  <si>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</si>
  <si>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</si>
  <si>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</si>
  <si>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</si>
  <si>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</si>
  <si>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</si>
  <si>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</si>
  <si>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</si>
  <si>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</si>
  <si>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</si>
  <si>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Valuation</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</si>
  <si>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</si>
  <si>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</si>
  <si>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</si>
  <si>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</si>
  <si>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</si>
  <si>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</si>
  <si>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</si>
  <si>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</si>
  <si>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</si>
  <si>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</si>
  <si>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</si>
  <si>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</si>
  <si>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</si>
  <si>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Extra</t>
  </si>
  <si>
    <t>3y Operating Cash Flow</t>
  </si>
  <si>
    <t>R&amp;D/Net Sales</t>
  </si>
  <si>
    <t>Financial Data</t>
  </si>
  <si>
    <t>IS</t>
  </si>
  <si>
    <t>Net Sales (36m ago)</t>
  </si>
  <si>
    <t>Net Sales (12m ago)</t>
  </si>
  <si>
    <t>COGS</t>
  </si>
  <si>
    <t>EBITDA</t>
  </si>
  <si>
    <t>Operating Income</t>
  </si>
  <si>
    <t>Net Financial Cost</t>
  </si>
  <si>
    <t>Taxes</t>
  </si>
  <si>
    <t>Net Income</t>
  </si>
  <si>
    <t>R&amp;D</t>
  </si>
  <si>
    <t>BS</t>
  </si>
  <si>
    <t>Cash &amp; Eq.</t>
  </si>
  <si>
    <t>Acc. Receivables</t>
  </si>
  <si>
    <t>Inventory</t>
  </si>
  <si>
    <t>Current Assets</t>
  </si>
  <si>
    <t>Fixed Assets</t>
  </si>
  <si>
    <t>Acc. Payable</t>
  </si>
  <si>
    <t>Current Liabilities</t>
  </si>
  <si>
    <t>Total Debt</t>
  </si>
  <si>
    <t>Total Equity</t>
  </si>
  <si>
    <t xml:space="preserve">Conversion from GBP to EUR; Exchange rate used (Mar 31th 2023, ECB): 1 GBP = 1,137 EUR </t>
  </si>
  <si>
    <t>Annual Report from 3/30/2023</t>
  </si>
  <si>
    <t>Company GICS Sector:</t>
  </si>
  <si>
    <t>Yes</t>
  </si>
  <si>
    <t>Consumer Discretionary</t>
  </si>
  <si>
    <t>&lt;- Select Industry</t>
  </si>
  <si>
    <t>No</t>
  </si>
  <si>
    <t>ESG Analysis</t>
  </si>
  <si>
    <t>Relative ESG Analysis</t>
  </si>
  <si>
    <t>Parameters</t>
  </si>
  <si>
    <t>Impact</t>
  </si>
  <si>
    <t>Do they report?</t>
  </si>
  <si>
    <t>Ranking</t>
  </si>
  <si>
    <t>Mitigation Plan</t>
  </si>
  <si>
    <t>Traffic Lights</t>
  </si>
  <si>
    <t>Improvement over time?</t>
  </si>
  <si>
    <t>Targets / Goals?</t>
  </si>
  <si>
    <t>Comments</t>
  </si>
  <si>
    <t>Environmental</t>
  </si>
  <si>
    <t>Ratios</t>
  </si>
  <si>
    <t>CO2 Direct Emissions</t>
  </si>
  <si>
    <t>one of the lowest emissions in the CAC 40</t>
  </si>
  <si>
    <t>CO2 Emissions/$M Sales</t>
  </si>
  <si>
    <t>Total Water Consumption</t>
  </si>
  <si>
    <t>net zero emissions by 2050</t>
  </si>
  <si>
    <t>Water Consumption/$M Sales</t>
  </si>
  <si>
    <t>Total Energy Consumption</t>
  </si>
  <si>
    <t>Medium High</t>
  </si>
  <si>
    <t>100% renewed electricity by 2023 and renewed energy by 2030</t>
  </si>
  <si>
    <t>All French sites supplied with 100% green energy ; worldwide 89% supplied with green energy (2021). Target: reduction of 10% electricity and gas consumption in French sites annually. Hermès is building the first energy-positive Leather Goods workshop in Louviers (Normandy)</t>
  </si>
  <si>
    <t>Energy Consumption/$M Sales</t>
  </si>
  <si>
    <t>Waste Management</t>
  </si>
  <si>
    <t>Medium</t>
  </si>
  <si>
    <t>Waste production increased across all procuction due to increase in sales. Increase in 17% of textile waste balanced with reduction of 9% of consumption per unit of textile produced (from 2021). 91% of all hazardous waste is recycled or recovered. Mitigation based on two levels: waste reduction and waste recycling; implementation of employee awareness activities</t>
  </si>
  <si>
    <t>Waste Production/$M Sales</t>
  </si>
  <si>
    <t>Land Degradation/Deforestation/Biodiversity loss/Animal sufering/…</t>
  </si>
  <si>
    <t>To train 100% of empoyees on biodiversity by 2025, to be working with several recognized NGOs by 2023, to implement action plans in the low and high impact areas by 2025. 95% of hides are by-product of the food industry</t>
  </si>
  <si>
    <t>Inputs</t>
  </si>
  <si>
    <t>Social</t>
  </si>
  <si>
    <t>Net Sales ($M)</t>
  </si>
  <si>
    <t>Employee Turnover %</t>
  </si>
  <si>
    <t>Low</t>
  </si>
  <si>
    <t xml:space="preserve">1,53% (LVMH: 24.1%; </t>
  </si>
  <si>
    <t>CO2 Emissions Total (Tonnes)</t>
  </si>
  <si>
    <t>Salaries &amp; Compensation</t>
  </si>
  <si>
    <t>Water Consumption Total (Cubic Meters)</t>
  </si>
  <si>
    <t>Reputation</t>
  </si>
  <si>
    <t>Energy Consumption Total (Gigajoules)</t>
  </si>
  <si>
    <t>Discrimination Events</t>
  </si>
  <si>
    <t xml:space="preserve">TOP 10 in the diversity leader ranking of the Financial Times </t>
  </si>
  <si>
    <t>Waste Production Total (Tonnes)</t>
  </si>
  <si>
    <t>Work Safety</t>
  </si>
  <si>
    <t>Workplace incidents where sick leave was required (bigger in production factories): severity 0.33%, frequency 8%</t>
  </si>
  <si>
    <t>ESG Scores</t>
  </si>
  <si>
    <t>Damage to consumer health</t>
  </si>
  <si>
    <t>Refinitiv</t>
  </si>
  <si>
    <t>B</t>
  </si>
  <si>
    <t>PXP?</t>
  </si>
  <si>
    <t>Sustainalytics</t>
  </si>
  <si>
    <t>Supply chain</t>
  </si>
  <si>
    <t>ISS</t>
  </si>
  <si>
    <t>Community involvement</t>
  </si>
  <si>
    <t>CDP</t>
  </si>
  <si>
    <t>Public Sector</t>
  </si>
  <si>
    <t>Litigation</t>
  </si>
  <si>
    <t>Corporate Governance</t>
  </si>
  <si>
    <t>PARAMETERS</t>
  </si>
  <si>
    <t>Diversity (Gender, Age, Industry, Region)</t>
  </si>
  <si>
    <t>54,2% women and 45,8% man (governing bodies)</t>
  </si>
  <si>
    <t>IMPACT</t>
  </si>
  <si>
    <t>RANKING</t>
  </si>
  <si>
    <t>MITIGATION PLAN</t>
  </si>
  <si>
    <t>% Independence</t>
  </si>
  <si>
    <t>"Best in class"</t>
  </si>
  <si>
    <t>Is there evidence of a plan/program ?</t>
  </si>
  <si>
    <t>average time as independent directors</t>
  </si>
  <si>
    <t>Recent departures of directors / C-level executives?</t>
  </si>
  <si>
    <t>High</t>
  </si>
  <si>
    <t>CEO/Chairman duality</t>
  </si>
  <si>
    <t>Very high</t>
  </si>
  <si>
    <t>"Villain"</t>
  </si>
  <si>
    <t>Transparency (ESG, segments, acquisitions, other)</t>
  </si>
  <si>
    <t>Time taken to report after the end of the quarter / year</t>
  </si>
  <si>
    <t>Additional participation of the CEO in other boards or excessive participation of Ch.</t>
  </si>
  <si>
    <t>Audit / Consulting</t>
  </si>
  <si>
    <t>ESG-compensation related</t>
  </si>
  <si>
    <t>Management compensation schemes</t>
  </si>
  <si>
    <t>VALUATION MODEL</t>
  </si>
  <si>
    <t>Short Term</t>
  </si>
  <si>
    <t>Long Term</t>
  </si>
  <si>
    <t>Section</t>
  </si>
  <si>
    <t>Line #</t>
  </si>
  <si>
    <t>ITEM</t>
  </si>
  <si>
    <t>2020 (Real)</t>
  </si>
  <si>
    <t>2021 (Real)</t>
  </si>
  <si>
    <t>2022 (Real)</t>
  </si>
  <si>
    <t>INCOME STATEMENT</t>
  </si>
  <si>
    <t>Growth</t>
  </si>
  <si>
    <t>Revenues/Sales</t>
  </si>
  <si>
    <t>EBIT/Operating Margin</t>
  </si>
  <si>
    <t>EBIT</t>
  </si>
  <si>
    <t>5a</t>
  </si>
  <si>
    <t>(Dep)</t>
  </si>
  <si>
    <t>5b</t>
  </si>
  <si>
    <t>Amort</t>
  </si>
  <si>
    <t>5c</t>
  </si>
  <si>
    <t>(Stock based compensation)</t>
  </si>
  <si>
    <t>(Net financing cost)</t>
  </si>
  <si>
    <t>Other income/(cost)</t>
  </si>
  <si>
    <t>Earnings before taxes</t>
  </si>
  <si>
    <t>(Income tax)</t>
  </si>
  <si>
    <t>Net income</t>
  </si>
  <si>
    <t> </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</si>
  <si>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</si>
  <si>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</si>
  <si>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</si>
  <si>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</si>
  <si>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</si>
  <si>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</si>
  <si>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</si>
  <si>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</si>
  <si>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</si>
  <si>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</si>
  <si>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</si>
  <si>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</si>
  <si>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</si>
  <si>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</si>
  <si>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</si>
  <si>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</si>
  <si>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</si>
  <si>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</si>
  <si>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</si>
  <si>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</si>
  <si>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</si>
  <si>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</si>
  <si>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</si>
  <si>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</si>
  <si>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</si>
  <si>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</si>
  <si>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</si>
  <si>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</si>
  <si>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</si>
  <si>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</si>
  <si>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</si>
  <si>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</si>
  <si>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</si>
  <si>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</si>
  <si>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</si>
  <si>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</si>
  <si>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</si>
  <si>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</si>
  <si>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Depreciation factor</t>
  </si>
  <si>
    <t>% PPE</t>
  </si>
  <si>
    <t>Amortization factor</t>
  </si>
  <si>
    <t>% IA</t>
  </si>
  <si>
    <t>Stock-based comp</t>
  </si>
  <si>
    <t>% revenue</t>
  </si>
  <si>
    <t>Tax Rate</t>
  </si>
  <si>
    <t>% (line 9)</t>
  </si>
  <si>
    <t>Interest Rate on debt</t>
  </si>
  <si>
    <t>% debt (l29)</t>
  </si>
  <si>
    <t>Interest Rate on cash</t>
  </si>
  <si>
    <t>% of cash (l28)</t>
  </si>
  <si>
    <t>PPE+ROA</t>
  </si>
  <si>
    <t>Growing with capex</t>
  </si>
  <si>
    <t>Working capital flows</t>
  </si>
  <si>
    <t>% of change revenues (l2)</t>
  </si>
  <si>
    <t>Intangible Assets</t>
  </si>
  <si>
    <t>Growing with amortization</t>
  </si>
  <si>
    <t>Capex</t>
  </si>
  <si>
    <t>% revenue (l2)</t>
  </si>
  <si>
    <t>Acquisition factor</t>
  </si>
  <si>
    <t>Dividends</t>
  </si>
  <si>
    <t>% net income (11)</t>
  </si>
  <si>
    <t>Repurchases</t>
  </si>
  <si>
    <t>Leases</t>
  </si>
  <si>
    <t>Cash Costs for EBIT</t>
  </si>
  <si>
    <t>% EBITDA</t>
  </si>
  <si>
    <t>$ millions</t>
  </si>
  <si>
    <t>Value of flows</t>
  </si>
  <si>
    <t>Value of perpetuity</t>
  </si>
  <si>
    <t>Total Value</t>
  </si>
  <si>
    <t xml:space="preserve">                                                                                         </t>
  </si>
  <si>
    <t>Actual share price</t>
  </si>
  <si>
    <t>Total value vs Mkt Cap</t>
  </si>
  <si>
    <t>Estimated NPV per share</t>
  </si>
  <si>
    <t>Sensibility</t>
  </si>
  <si>
    <t>Sensitivity +0.1%</t>
  </si>
  <si>
    <t>Sensitivity +0.5%</t>
  </si>
  <si>
    <t>Notes</t>
  </si>
  <si>
    <t>Assumptions</t>
  </si>
  <si>
    <t>Prospects:</t>
  </si>
  <si>
    <t>Links:</t>
  </si>
  <si>
    <t xml:space="preserve">Average </t>
  </si>
  <si>
    <t>Short Term Forecast</t>
  </si>
  <si>
    <t>Long Term Forecast</t>
  </si>
  <si>
    <t>Revenue growth</t>
  </si>
  <si>
    <t>Modelling Factors</t>
  </si>
  <si>
    <t>Last 5 Years</t>
  </si>
  <si>
    <t>Reference</t>
  </si>
  <si>
    <t xml:space="preserve">                                                                                                                   </t>
  </si>
  <si>
    <t xml:space="preserve">CAPEX </t>
  </si>
  <si>
    <t>Forecasts</t>
  </si>
  <si>
    <t>Results</t>
  </si>
  <si>
    <t>Growth vs. Previous year</t>
  </si>
  <si>
    <t>Gross Profit</t>
  </si>
  <si>
    <t>% over sales</t>
  </si>
  <si>
    <t>Operating expenses</t>
  </si>
  <si>
    <t xml:space="preserve">     Growth vs. Previous year</t>
  </si>
  <si>
    <t>Other Expenses (Revenues)</t>
  </si>
  <si>
    <t>Changes Net Working Capital</t>
  </si>
  <si>
    <t>EBITDA Margin</t>
  </si>
  <si>
    <t>% Tax</t>
  </si>
  <si>
    <t>Cash Generated</t>
  </si>
  <si>
    <t>Share buyback</t>
  </si>
  <si>
    <t>FNP''</t>
  </si>
  <si>
    <t>FNP'</t>
  </si>
  <si>
    <t>Net Capex</t>
  </si>
  <si>
    <t>Investments &amp; Acquisitions</t>
  </si>
  <si>
    <t>Capex + Investments</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</si>
  <si>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</si>
  <si>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</si>
  <si>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</si>
  <si>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</si>
  <si>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</si>
  <si>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</si>
  <si>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</si>
  <si>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</si>
  <si>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</si>
  <si>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</si>
  <si>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</si>
  <si>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</si>
  <si>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</si>
  <si>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</si>
  <si>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</si>
  <si>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</si>
  <si>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Cash Flow</t>
  </si>
  <si>
    <t>Operating CF</t>
  </si>
  <si>
    <t>Investing CF</t>
  </si>
  <si>
    <t>Financing CF</t>
  </si>
  <si>
    <t>FX</t>
  </si>
  <si>
    <t>Changes in cash</t>
  </si>
  <si>
    <t>Other Data</t>
  </si>
  <si>
    <t>Number of employees</t>
  </si>
  <si>
    <t xml:space="preserve">Shares Outstanding </t>
  </si>
  <si>
    <t>Fitch/ S&amp;P Rating</t>
  </si>
  <si>
    <t>Dividend Yield</t>
  </si>
  <si>
    <t>Daily Volume in Millions of USD</t>
  </si>
  <si>
    <t xml:space="preserve">Short % of Float </t>
  </si>
  <si>
    <t>EPS</t>
  </si>
  <si>
    <t>Corporate Bonds 3, 5 Y 10</t>
  </si>
  <si>
    <t>Average Price</t>
  </si>
  <si>
    <t>Moody's</t>
  </si>
  <si>
    <t>YTM</t>
  </si>
  <si>
    <t>DIVISA</t>
  </si>
  <si>
    <t>Sector</t>
  </si>
  <si>
    <t>Sub-Industry</t>
  </si>
  <si>
    <t>Environment</t>
  </si>
  <si>
    <t>Communication Services</t>
  </si>
  <si>
    <t>Interactive Home Entertainment</t>
  </si>
  <si>
    <t>CO2</t>
  </si>
  <si>
    <t>Water</t>
  </si>
  <si>
    <t>Energy</t>
  </si>
  <si>
    <t>Waste</t>
  </si>
  <si>
    <t>Degradation</t>
  </si>
  <si>
    <t>Turnover</t>
  </si>
  <si>
    <t>Compensation</t>
  </si>
  <si>
    <t>Discrimination</t>
  </si>
  <si>
    <t>Security</t>
  </si>
  <si>
    <t>Damage</t>
  </si>
  <si>
    <t>Pension</t>
  </si>
  <si>
    <t>Supply</t>
  </si>
  <si>
    <t>Community</t>
  </si>
  <si>
    <t>Public</t>
  </si>
  <si>
    <t>Interactive Media &amp; Services</t>
  </si>
  <si>
    <t>Integrated Telecommunication Services</t>
  </si>
  <si>
    <t>Very High</t>
  </si>
  <si>
    <t>Direct CO2 emissions</t>
  </si>
  <si>
    <t>Cable &amp; Satellite</t>
  </si>
  <si>
    <t>Consumer Staples</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</si>
  <si>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</si>
  <si>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</si>
  <si>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</si>
  <si>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</si>
  <si>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</si>
  <si>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</si>
  <si>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</si>
  <si>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</si>
  <si>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</si>
  <si>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</si>
  <si>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</si>
  <si>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</si>
  <si>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</si>
  <si>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</si>
  <si>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</si>
  <si>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</si>
  <si>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</si>
  <si>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</si>
  <si>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</si>
  <si>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</si>
  <si>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</si>
  <si>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</si>
  <si>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</si>
  <si>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</si>
  <si>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</si>
  <si>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</si>
  <si>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</si>
  <si>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</si>
  <si>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</si>
  <si>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</si>
  <si>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</si>
  <si>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</si>
  <si>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</si>
  <si>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</si>
  <si>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</si>
  <si>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</si>
  <si>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</si>
  <si>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</si>
  <si>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</si>
  <si>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</si>
  <si>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</si>
  <si>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</si>
  <si>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</si>
  <si>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</si>
  <si>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</si>
  <si>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</si>
  <si>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</si>
  <si>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</si>
  <si>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</si>
  <si>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</si>
  <si>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</si>
  <si>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</si>
  <si>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</si>
  <si>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</si>
  <si>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</si>
  <si>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</si>
  <si>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</si>
  <si>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</si>
  <si>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</si>
  <si>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</si>
  <si>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</si>
  <si>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</si>
  <si>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</si>
  <si>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</si>
  <si>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</si>
  <si>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</si>
  <si>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</si>
  <si>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</si>
  <si>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</si>
  <si>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</si>
  <si>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</si>
  <si>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</si>
  <si>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</si>
  <si>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</si>
  <si>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</si>
  <si>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</si>
  <si>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</si>
  <si>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</si>
  <si>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</si>
  <si>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</si>
  <si>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</si>
  <si>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</si>
  <si>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</si>
  <si>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</si>
  <si>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</si>
  <si>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</si>
  <si>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</si>
  <si>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</si>
  <si>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</si>
  <si>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</si>
  <si>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</si>
  <si>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</si>
  <si>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</si>
  <si>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</si>
  <si>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</si>
  <si>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</si>
  <si>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</si>
  <si>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</si>
  <si>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</si>
  <si>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</si>
  <si>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</si>
  <si>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</si>
  <si>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</si>
  <si>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</si>
  <si>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</si>
  <si>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</si>
  <si>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</si>
  <si>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</si>
  <si>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</si>
  <si>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</si>
  <si>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</si>
  <si>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</si>
  <si>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</si>
  <si>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</si>
  <si>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</si>
  <si>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</si>
  <si>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</si>
  <si>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</si>
  <si>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</si>
  <si>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</si>
  <si>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</si>
  <si>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</si>
  <si>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</si>
  <si>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</si>
  <si>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</si>
  <si>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</si>
  <si>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</si>
  <si>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</si>
  <si>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</si>
  <si>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</si>
  <si>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</si>
  <si>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</si>
  <si>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</si>
  <si>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</si>
  <si>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</si>
  <si>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</si>
  <si>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</si>
  <si>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Figures in Millions of USD</t>
  </si>
  <si>
    <t>Company</t>
  </si>
  <si>
    <t>Report in millions</t>
  </si>
  <si>
    <t>RESULTS</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</si>
  <si>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</si>
  <si>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</si>
  <si>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</si>
  <si>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</si>
  <si>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</si>
  <si>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</si>
  <si>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</si>
  <si>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</si>
  <si>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</si>
  <si>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</si>
  <si>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</si>
  <si>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</si>
  <si>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</si>
  <si>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</si>
  <si>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</si>
  <si>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</si>
  <si>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</si>
  <si>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</si>
  <si>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</si>
  <si>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</si>
  <si>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</si>
  <si>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Weighted Average Shares (Diluted NI)</t>
  </si>
  <si>
    <t>Net gains (losses) from ForEx</t>
  </si>
  <si>
    <t>Total Comprehensive Income</t>
  </si>
  <si>
    <t>cash flows</t>
  </si>
  <si>
    <t>NWC</t>
  </si>
  <si>
    <t>Net Working Capital</t>
  </si>
  <si>
    <t xml:space="preserve">  + Dividendos pagados</t>
  </si>
  <si>
    <t>Cambiar signo</t>
  </si>
  <si>
    <t xml:space="preserve">    + Aumento en capital</t>
  </si>
  <si>
    <t xml:space="preserve">    + Baja en capital</t>
  </si>
  <si>
    <t>Cambiar signo y hacer suma</t>
  </si>
  <si>
    <t>ASSETS</t>
  </si>
  <si>
    <t>Current</t>
  </si>
  <si>
    <t>--</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</si>
  <si>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</si>
  <si>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</si>
  <si>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</si>
  <si>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</si>
  <si>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</si>
  <si>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</si>
  <si>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</si>
  <si>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</si>
  <si>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</si>
  <si>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Operating leases</t>
  </si>
  <si>
    <t>Equity Method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</si>
  <si>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</si>
  <si>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</si>
  <si>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</si>
  <si>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</si>
  <si>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</si>
  <si>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</si>
  <si>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</si>
  <si>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</si>
  <si>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</si>
  <si>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</si>
  <si>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</si>
  <si>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</si>
  <si>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</si>
  <si>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</si>
  <si>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</si>
  <si>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</si>
  <si>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</si>
  <si>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Inflows (Outflows)</t>
  </si>
  <si>
    <t>Debt Borrowing</t>
  </si>
  <si>
    <t>Debt Repayment</t>
  </si>
  <si>
    <t>Lease Increases</t>
  </si>
  <si>
    <t>Lease Payments</t>
  </si>
  <si>
    <t>cash flows FINANCING</t>
  </si>
  <si>
    <t>Dividends paid</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</si>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</sst>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176" formatCode="_-&quot;$&quot;* #,##0.00_-;\-&quot;$&quot;* #,##0.00_-;_-&quot;$&quot;* &quot;-&quot;??_-;_-@_-"/>
    <numFmt numFmtId="177" formatCode="&quot;$&quot;#,##0.00"/>
    <numFmt numFmtId="178" formatCode="&quot;$&quot;#,##0"/>
    <numFmt numFmtId="179" formatCode="0.0%"/>
    <numFmt numFmtId="180" formatCode="0.0"/>
    <numFmt numFmtId="181" formatCode="#,##0.0"/>
    <numFmt numFmtId="182" formatCode="[$$-409]#,##0.00_ ;\-[$$-409]#,##0.00\ "/>
    <numFmt numFmtId="183" formatCode="[$$-409]#,##0.00"/>
    <numFmt numFmtId="184" formatCode="[$$-409]#,##0"/>
    <numFmt numFmtId="185" formatCode="_-[$$-409]* #,##0.00_ ;_-[$$-409]* \-#,##0.00\ ;_-[$$-409]* &quot;-&quot;??_ ;_-@_ "/>
    <numFmt numFmtId="186" formatCode="0.000000"/>
    <numFmt numFmtId="187" formatCode="_([$$-409]* #,##0.00_);_([$$-409]* \(#,##0.00\);_([$$-409]* &quot;-&quot;??_);_(@_)"/>
    <numFmt numFmtId="188" formatCode="0.000%"/>
    <numFmt numFmtId="189" formatCode="&quot;€&quot;#,##0.00"/>
    <numFmt numFmtId="190" formatCode="_-[$€-2]\ * #,##0.00_-;\-[$€-2]\ * #,##0.00_-;_-[$€-2]\ * &quot;-&quot;??_-;_-@_-"/>
    <numFmt numFmtId="191" formatCode="_([$€-2]\ * #,##0.00_);_([$€-2]\ * \(#,##0.00\);_([$€-2]\ * &quot;-&quot;??_);_(@_)"/>
  </numFmts>
  <fonts count="8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color indexed="8"/>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i/>
      <sz val="10"/>
      <color indexed="8"/>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b/>
      <sz val="12"/>
      <color indexed="9"/>
      <name val="Arial"/>
      <family val="2"/>
    </font>
    <font>
      <b/>
      <sz val="10"/>
      <color rgb="FFFF000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b/>
      <sz val="10"/>
      <color rgb="FF000000"/>
      <name val="Arial"/>
      <family val="2"/>
    </font>
    <font>
      <b/>
      <sz val="11"/>
      <color theme="1"/>
      <name val="Calibri"/>
      <family val="2"/>
      <scheme val="minor"/>
    </font>
    <font>
      <sz val="11"/>
      <color theme="0"/>
      <name val="Calibri"/>
      <family val="2"/>
    </font>
    <font>
      <sz val="12"/>
      <name val="Arial"/>
      <family val="2"/>
    </font>
    <font>
      <b/>
      <sz val="11"/>
      <color rgb="FF374151"/>
      <name val="Arial"/>
      <family val="2"/>
    </font>
    <font>
      <sz val="11"/>
      <color rgb="FFFF0000"/>
      <name val="Calibri"/>
      <family val="2"/>
    </font>
    <font>
      <sz val="10"/>
      <name val="Calibri"/>
      <family val="2"/>
      <charset val="1"/>
    </font>
    <font>
      <sz val="14"/>
      <name val="Arial"/>
      <family val="2"/>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11"/>
      <color indexed="9"/>
      <name val="Arial"/>
      <family val="2"/>
    </font>
    <font>
      <u/>
      <sz val="10"/>
      <color theme="10"/>
      <name val="Arial"/>
      <family val="2"/>
    </font>
    <font>
      <sz val="10"/>
      <color rgb="FF808080"/>
      <name val="Arial"/>
      <family val="2"/>
    </font>
    <font>
      <sz val="10"/>
      <color theme="6"/>
      <name val="Arial"/>
      <family val="2"/>
    </font>
    <font>
      <sz val="11"/>
      <color theme="6"/>
      <name val="Calibri"/>
      <family val="2"/>
      <charset val="1"/>
    </font>
    <font>
      <sz val="9"/>
      <color rgb="FF262626"/>
      <name val="Arial"/>
      <family val="2"/>
    </font>
  </fonts>
  <fills count="52">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rgb="FFF2F2F2"/>
        <bgColor indexed="64"/>
      </patternFill>
    </fill>
    <fill>
      <patternFill patternType="solid">
        <fgColor theme="3"/>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00206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rgb="FFC5D9F1"/>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
      <patternFill patternType="solid">
        <fgColor theme="6"/>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rgb="FFFFC000"/>
        <bgColor indexed="64"/>
      </patternFill>
    </fill>
    <fill>
      <patternFill patternType="solid">
        <fgColor rgb="FFF2B72E"/>
        <bgColor indexed="64"/>
      </patternFill>
    </fill>
  </fills>
  <borders count="242">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style="thin">
        <color theme="0" tint="-0.499984740745262"/>
      </top>
      <bottom style="thin">
        <color theme="0" tint="-0.499984740745262"/>
      </bottom>
      <diagonal/>
    </border>
    <border>
      <left/>
      <right style="medium">
        <color theme="3"/>
      </right>
      <top/>
      <bottom/>
      <diagonal/>
    </border>
    <border>
      <left style="medium">
        <color theme="3"/>
      </left>
      <right/>
      <top/>
      <bottom style="thin">
        <color theme="0" tint="-0.499984740745262"/>
      </bottom>
      <diagonal/>
    </border>
    <border>
      <left style="medium">
        <color theme="3"/>
      </left>
      <right/>
      <top/>
      <bottom style="medium">
        <color theme="3"/>
      </bottom>
      <diagonal/>
    </border>
    <border>
      <left/>
      <right style="thin">
        <color theme="0" tint="-0.499984740745262"/>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medium">
        <color theme="3"/>
      </bottom>
      <diagonal/>
    </border>
    <border>
      <left/>
      <right/>
      <top style="medium">
        <color theme="3"/>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3"/>
      </left>
      <right style="thin">
        <color theme="0" tint="-0.249977111117893"/>
      </right>
      <top style="medium">
        <color theme="3"/>
      </top>
      <bottom style="thin">
        <color theme="0" tint="-0.249977111117893"/>
      </bottom>
      <diagonal/>
    </border>
    <border>
      <left style="thin">
        <color theme="0" tint="-0.249977111117893"/>
      </left>
      <right style="thin">
        <color theme="0" tint="-0.249977111117893"/>
      </right>
      <top style="medium">
        <color theme="3"/>
      </top>
      <bottom style="thin">
        <color theme="0" tint="-0.249977111117893"/>
      </bottom>
      <diagonal/>
    </border>
    <border>
      <left style="medium">
        <color theme="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style="medium">
        <color theme="3"/>
      </top>
      <bottom style="thin">
        <color theme="0" tint="-0.499984740745262"/>
      </bottom>
      <diagonal/>
    </border>
    <border>
      <left/>
      <right style="medium">
        <color theme="3"/>
      </right>
      <top style="medium">
        <color theme="3"/>
      </top>
      <bottom style="thin">
        <color theme="0" tint="-0.499984740745262"/>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style="medium">
        <color indexed="64"/>
      </right>
      <top style="medium">
        <color indexed="64"/>
      </top>
      <bottom/>
      <diagonal/>
    </border>
    <border>
      <left/>
      <right style="medium">
        <color theme="3"/>
      </right>
      <top/>
      <bottom style="thin">
        <color theme="0" tint="-0.249977111117893"/>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medium">
        <color theme="3"/>
      </right>
      <top/>
      <bottom style="thin">
        <color theme="0" tint="-0.249977111117893"/>
      </bottom>
      <diagonal/>
    </border>
    <border>
      <left style="thin">
        <color theme="0" tint="-0.14999847407452621"/>
      </left>
      <right style="thin">
        <color theme="0" tint="-0.14999847407452621"/>
      </right>
      <top style="medium">
        <color theme="3"/>
      </top>
      <bottom/>
      <diagonal/>
    </border>
    <border>
      <left style="thin">
        <color theme="0" tint="-0.249977111117893"/>
      </left>
      <right/>
      <top style="medium">
        <color theme="3"/>
      </top>
      <bottom/>
      <diagonal/>
    </border>
    <border>
      <left/>
      <right style="thin">
        <color theme="0" tint="-0.249977111117893"/>
      </right>
      <top style="medium">
        <color theme="3"/>
      </top>
      <bottom/>
      <diagonal/>
    </border>
    <border>
      <left style="thin">
        <color theme="0" tint="-0.249977111117893"/>
      </left>
      <right style="thin">
        <color theme="0" tint="-0.249977111117893"/>
      </right>
      <top style="medium">
        <color theme="3"/>
      </top>
      <bottom/>
      <diagonal/>
    </border>
    <border>
      <left style="thin">
        <color theme="0" tint="-0.249977111117893"/>
      </left>
      <right style="medium">
        <color theme="3"/>
      </right>
      <top style="medium">
        <color theme="3"/>
      </top>
      <bottom/>
      <diagonal/>
    </border>
    <border>
      <left style="thin">
        <color indexed="64"/>
      </left>
      <right style="medium">
        <color rgb="FF1F497D"/>
      </right>
      <top style="thin">
        <color indexed="64"/>
      </top>
      <bottom style="thin">
        <color indexed="64"/>
      </bottom>
      <diagonal/>
    </border>
    <border>
      <left style="thin">
        <color theme="0" tint="-0.24994659260841701"/>
      </left>
      <right style="thin">
        <color theme="0" tint="-0.24994659260841701"/>
      </right>
      <top style="thin">
        <color theme="0" tint="-0.24994659260841701"/>
      </top>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right/>
      <top style="medium">
        <color theme="3"/>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style="medium">
        <color theme="3"/>
      </right>
      <top style="medium">
        <color rgb="FF1F497D"/>
      </top>
      <bottom style="thin">
        <color theme="0" tint="-0.24994659260841701"/>
      </bottom>
      <diagonal/>
    </border>
    <border>
      <left style="medium">
        <color theme="3"/>
      </left>
      <right style="medium">
        <color theme="3"/>
      </right>
      <top style="medium">
        <color rgb="FF1F497D"/>
      </top>
      <bottom style="thin">
        <color theme="0" tint="-0.24994659260841701"/>
      </bottom>
      <diagonal/>
    </border>
    <border>
      <left style="medium">
        <color theme="3"/>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theme="3"/>
      </left>
      <right style="medium">
        <color theme="3"/>
      </right>
      <top style="medium">
        <color theme="3"/>
      </top>
      <bottom style="medium">
        <color theme="3"/>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style="medium">
        <color rgb="FF1F497D"/>
      </left>
      <right/>
      <top style="medium">
        <color theme="3"/>
      </top>
      <bottom style="medium">
        <color rgb="FF1F497D"/>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right style="medium">
        <color indexed="64"/>
      </right>
      <top style="medium">
        <color rgb="FF1F497D"/>
      </top>
      <bottom style="medium">
        <color rgb="FF1F497D"/>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medium">
        <color theme="1" tint="0.24994659260841701"/>
      </left>
      <right style="medium">
        <color theme="1" tint="0.24994659260841701"/>
      </right>
      <top style="medium">
        <color theme="1" tint="0.24994659260841701"/>
      </top>
      <bottom style="medium">
        <color theme="1" tint="0.24994659260841701"/>
      </bottom>
      <diagonal/>
    </border>
    <border>
      <left style="medium">
        <color theme="1" tint="0.24994659260841701"/>
      </left>
      <right/>
      <top style="medium">
        <color theme="1" tint="0.24994659260841701"/>
      </top>
      <bottom style="medium">
        <color theme="1" tint="0.24994659260841701"/>
      </bottom>
      <diagonal/>
    </border>
    <border>
      <left/>
      <right/>
      <top style="medium">
        <color theme="1" tint="0.24994659260841701"/>
      </top>
      <bottom style="medium">
        <color theme="1" tint="0.24994659260841701"/>
      </bottom>
      <diagonal/>
    </border>
    <border>
      <left/>
      <right style="medium">
        <color theme="1" tint="0.24994659260841701"/>
      </right>
      <top style="medium">
        <color theme="1" tint="0.24994659260841701"/>
      </top>
      <bottom style="medium">
        <color theme="1" tint="0.24994659260841701"/>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theme="1" tint="0.24994659260841701"/>
      </left>
      <right/>
      <top style="medium">
        <color theme="3"/>
      </top>
      <bottom style="thin">
        <color theme="0" tint="-0.499984740745262"/>
      </bottom>
      <diagonal/>
    </border>
    <border>
      <left style="thin">
        <color theme="0" tint="-0.499984740745262"/>
      </left>
      <right style="medium">
        <color theme="3"/>
      </right>
      <top style="thin">
        <color theme="0" tint="-0.499984740745262"/>
      </top>
      <bottom/>
      <diagonal/>
    </border>
    <border>
      <left style="thin">
        <color theme="0" tint="-0.499984740745262"/>
      </left>
      <right style="medium">
        <color theme="3"/>
      </right>
      <top/>
      <bottom/>
      <diagonal/>
    </border>
    <border>
      <left style="thin">
        <color theme="0" tint="-0.499984740745262"/>
      </left>
      <right style="medium">
        <color theme="3"/>
      </right>
      <top/>
      <bottom style="medium">
        <color theme="3"/>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style="medium">
        <color indexed="64"/>
      </top>
      <bottom style="medium">
        <color rgb="FF000000"/>
      </bottom>
      <diagonal/>
    </border>
    <border>
      <left/>
      <right style="thin">
        <color indexed="64"/>
      </right>
      <top style="medium">
        <color indexed="64"/>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theme="3"/>
      </right>
      <top/>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thin">
        <color theme="0" tint="-0.24994659260841701"/>
      </right>
      <top style="medium">
        <color rgb="FF000000"/>
      </top>
      <bottom/>
      <diagonal/>
    </border>
    <border>
      <left style="thin">
        <color theme="0" tint="-0.24994659260841701"/>
      </left>
      <right style="thin">
        <color theme="0" tint="-0.24994659260841701"/>
      </right>
      <top style="medium">
        <color rgb="FF000000"/>
      </top>
      <bottom/>
      <diagonal/>
    </border>
    <border>
      <left style="thin">
        <color theme="0" tint="-0.24994659260841701"/>
      </left>
      <right style="medium">
        <color rgb="FF000000"/>
      </right>
      <top style="medium">
        <color rgb="FF000000"/>
      </top>
      <bottom/>
      <diagonal/>
    </border>
    <border>
      <left style="medium">
        <color rgb="FF000000"/>
      </left>
      <right style="thin">
        <color theme="0" tint="-0.24994659260841701"/>
      </right>
      <top style="medium">
        <color rgb="FF000000"/>
      </top>
      <bottom style="medium">
        <color rgb="FF000000"/>
      </bottom>
      <diagonal/>
    </border>
    <border>
      <left style="thin">
        <color theme="0" tint="-0.24994659260841701"/>
      </left>
      <right style="thin">
        <color theme="0" tint="-0.24994659260841701"/>
      </right>
      <top style="medium">
        <color rgb="FF000000"/>
      </top>
      <bottom style="medium">
        <color rgb="FF000000"/>
      </bottom>
      <diagonal/>
    </border>
    <border>
      <left style="thin">
        <color theme="0" tint="-0.24994659260841701"/>
      </left>
      <right style="medium">
        <color rgb="FF000000"/>
      </right>
      <top style="medium">
        <color rgb="FF000000"/>
      </top>
      <bottom style="medium">
        <color rgb="FF000000"/>
      </bottom>
      <diagonal/>
    </border>
    <border>
      <left style="medium">
        <color rgb="FF000000"/>
      </left>
      <right style="medium">
        <color theme="3"/>
      </right>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rgb="FF1F497D"/>
      </left>
      <right/>
      <top/>
      <bottom style="thin">
        <color theme="0" tint="-0.24994659260841701"/>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theme="4" tint="-0.24994659260841701"/>
      </left>
      <right style="medium">
        <color theme="4" tint="-0.24994659260841701"/>
      </right>
      <top style="medium">
        <color theme="4" tint="-0.24994659260841701"/>
      </top>
      <bottom style="thin">
        <color theme="0" tint="-0.499984740745262"/>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style="medium">
        <color rgb="FF000000"/>
      </left>
      <right style="medium">
        <color rgb="FF000000"/>
      </right>
      <top/>
      <bottom style="thin">
        <color theme="0" tint="-0.249977111117893"/>
      </bottom>
      <diagonal/>
    </border>
    <border>
      <left style="medium">
        <color rgb="FF000000"/>
      </left>
      <right style="medium">
        <color theme="3"/>
      </right>
      <top style="medium">
        <color rgb="FF000000"/>
      </top>
      <bottom/>
      <diagonal/>
    </border>
    <border>
      <left style="medium">
        <color rgb="FF000000"/>
      </left>
      <right style="medium">
        <color rgb="FF000000"/>
      </right>
      <top/>
      <bottom style="thin">
        <color indexed="64"/>
      </bottom>
      <diagonal/>
    </border>
    <border>
      <left style="thin">
        <color indexed="64"/>
      </left>
      <right style="medium">
        <color indexed="64"/>
      </right>
      <top/>
      <bottom/>
      <diagonal/>
    </border>
    <border>
      <left style="thin">
        <color rgb="FF000000"/>
      </left>
      <right style="medium">
        <color rgb="FF000000"/>
      </right>
      <top style="thin">
        <color rgb="FF000000"/>
      </top>
      <bottom style="thin">
        <color rgb="FF000000"/>
      </bottom>
      <diagonal/>
    </border>
    <border>
      <left style="medium">
        <color rgb="FF1F497D"/>
      </left>
      <right/>
      <top style="thin">
        <color theme="0" tint="-0.24994659260841701"/>
      </top>
      <bottom/>
      <diagonal/>
    </border>
    <border>
      <left style="thin">
        <color theme="0" tint="-0.24994659260841701"/>
      </left>
      <right/>
      <top style="thin">
        <color theme="0" tint="-0.24994659260841701"/>
      </top>
      <bottom style="thin">
        <color theme="0" tint="-0.24994659260841701"/>
      </bottom>
      <diagonal/>
    </border>
  </borders>
  <cellStyleXfs count="34">
    <xf numFmtId="0" fontId="0" fillId="0" borderId="0"/>
    <xf numFmtId="0" fontId="16" fillId="2" borderId="1" applyNumberFormat="0" applyProtection="0">
      <alignment horizontal="left" vertical="center" readingOrder="1"/>
    </xf>
    <xf numFmtId="0" fontId="17" fillId="2" borderId="2">
      <alignment horizontal="left"/>
    </xf>
    <xf numFmtId="0" fontId="17" fillId="2" borderId="3">
      <alignment horizontal="right"/>
    </xf>
    <xf numFmtId="0" fontId="17" fillId="2" borderId="3">
      <alignment horizontal="left"/>
    </xf>
    <xf numFmtId="3" fontId="18" fillId="3" borderId="4">
      <alignment horizontal="right"/>
    </xf>
    <xf numFmtId="181" fontId="11" fillId="3" borderId="4">
      <alignment horizontal="right"/>
    </xf>
    <xf numFmtId="4" fontId="11" fillId="3" borderId="4">
      <alignment horizontal="right"/>
    </xf>
    <xf numFmtId="0" fontId="20" fillId="4" borderId="5" applyNumberFormat="0" applyAlignment="0" applyProtection="0"/>
    <xf numFmtId="0" fontId="18" fillId="3" borderId="6"/>
    <xf numFmtId="0" fontId="19" fillId="3" borderId="6"/>
    <xf numFmtId="176" fontId="22" fillId="0" borderId="0" applyFont="0" applyFill="0" applyBorder="0" applyAlignment="0" applyProtection="0"/>
    <xf numFmtId="176" fontId="12" fillId="0" borderId="0" applyFont="0" applyFill="0" applyBorder="0" applyAlignment="0" applyProtection="0"/>
    <xf numFmtId="0" fontId="24" fillId="0" borderId="0"/>
    <xf numFmtId="0" fontId="12" fillId="0" borderId="0"/>
    <xf numFmtId="9" fontId="8" fillId="0" borderId="0" applyFont="0" applyFill="0" applyBorder="0" applyAlignment="0" applyProtection="0"/>
    <xf numFmtId="9" fontId="22" fillId="0" borderId="0" applyFont="0" applyFill="0" applyBorder="0" applyAlignment="0" applyProtection="0"/>
    <xf numFmtId="9" fontId="12" fillId="0" borderId="0" applyFont="0" applyFill="0" applyBorder="0" applyAlignment="0" applyProtection="0"/>
    <xf numFmtId="9" fontId="24"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xf numFmtId="0" fontId="78" fillId="0" borderId="0" applyNumberFormat="0" applyFill="0" applyBorder="0" applyAlignment="0" applyProtection="0"/>
  </cellStyleXfs>
  <cellXfs count="1054">
    <xf numFmtId="0" fontId="0" fillId="0" borderId="0" xfId="0"/>
    <xf numFmtId="9" fontId="0" fillId="0" borderId="0" xfId="15" applyFont="1" applyAlignment="1">
      <alignment horizontal="center"/>
    </xf>
    <xf numFmtId="0" fontId="0" fillId="0" borderId="0" xfId="0" applyAlignment="1">
      <alignment horizontal="center"/>
    </xf>
    <xf numFmtId="178" fontId="0" fillId="0" borderId="0" xfId="0" applyNumberFormat="1"/>
    <xf numFmtId="10" fontId="0" fillId="0" borderId="0" xfId="0" applyNumberFormat="1" applyAlignment="1">
      <alignment horizontal="center"/>
    </xf>
    <xf numFmtId="179" fontId="0" fillId="0" borderId="0" xfId="0" applyNumberFormat="1" applyAlignment="1">
      <alignment horizontal="center"/>
    </xf>
    <xf numFmtId="0" fontId="13" fillId="0" borderId="0" xfId="0" applyFont="1" applyAlignment="1">
      <alignment horizontal="center"/>
    </xf>
    <xf numFmtId="0" fontId="26" fillId="0" borderId="0" xfId="0" applyFont="1"/>
    <xf numFmtId="0" fontId="15" fillId="0" borderId="19" xfId="0" applyFont="1" applyBorder="1"/>
    <xf numFmtId="0" fontId="13" fillId="0" borderId="22" xfId="0" applyFont="1" applyBorder="1" applyAlignment="1">
      <alignment horizontal="center"/>
    </xf>
    <xf numFmtId="0" fontId="23" fillId="0" borderId="0" xfId="0" applyFont="1"/>
    <xf numFmtId="0" fontId="8" fillId="0" borderId="0" xfId="0" applyFont="1"/>
    <xf numFmtId="0" fontId="8" fillId="0" borderId="19" xfId="0" applyFont="1" applyBorder="1"/>
    <xf numFmtId="0" fontId="8" fillId="0" borderId="19" xfId="0" applyFont="1" applyBorder="1" applyAlignment="1">
      <alignment horizontal="left"/>
    </xf>
    <xf numFmtId="0" fontId="13" fillId="0" borderId="0" xfId="0" applyFont="1"/>
    <xf numFmtId="178" fontId="13" fillId="0" borderId="0" xfId="0" applyNumberFormat="1" applyFont="1" applyAlignment="1">
      <alignment horizontal="center"/>
    </xf>
    <xf numFmtId="9" fontId="13" fillId="0" borderId="0" xfId="15" applyFont="1"/>
    <xf numFmtId="9" fontId="8" fillId="8" borderId="19" xfId="15" applyFont="1" applyFill="1" applyBorder="1" applyAlignment="1">
      <alignment horizontal="center"/>
    </xf>
    <xf numFmtId="10" fontId="8" fillId="8" borderId="19" xfId="0" applyNumberFormat="1" applyFont="1" applyFill="1" applyBorder="1" applyAlignment="1">
      <alignment horizontal="center"/>
    </xf>
    <xf numFmtId="0" fontId="8" fillId="8" borderId="26" xfId="0" applyFont="1" applyFill="1" applyBorder="1" applyAlignment="1">
      <alignment horizontal="center" vertical="center"/>
    </xf>
    <xf numFmtId="0" fontId="26" fillId="8" borderId="0" xfId="0" applyFont="1" applyFill="1"/>
    <xf numFmtId="0" fontId="33" fillId="0" borderId="0" xfId="0" applyFont="1"/>
    <xf numFmtId="0" fontId="26" fillId="8" borderId="0" xfId="0" applyFont="1" applyFill="1" applyAlignment="1">
      <alignment horizontal="center"/>
    </xf>
    <xf numFmtId="0" fontId="35" fillId="0" borderId="0" xfId="0" applyFont="1"/>
    <xf numFmtId="0" fontId="35" fillId="12" borderId="0" xfId="0" applyFont="1" applyFill="1"/>
    <xf numFmtId="3" fontId="35" fillId="0" borderId="0" xfId="0" applyNumberFormat="1" applyFont="1" applyAlignment="1">
      <alignment horizontal="center"/>
    </xf>
    <xf numFmtId="0" fontId="35" fillId="0" borderId="0" xfId="0" applyFont="1" applyAlignment="1">
      <alignment horizontal="left"/>
    </xf>
    <xf numFmtId="0" fontId="35" fillId="19" borderId="0" xfId="0" applyFont="1" applyFill="1"/>
    <xf numFmtId="3" fontId="35" fillId="19" borderId="0" xfId="0" applyNumberFormat="1" applyFont="1" applyFill="1" applyAlignment="1">
      <alignment horizontal="center"/>
    </xf>
    <xf numFmtId="0" fontId="0" fillId="12" borderId="0" xfId="0" applyFill="1"/>
    <xf numFmtId="3" fontId="35" fillId="0" borderId="0" xfId="0" applyNumberFormat="1" applyFont="1"/>
    <xf numFmtId="3" fontId="36" fillId="19" borderId="0" xfId="0" applyNumberFormat="1" applyFont="1" applyFill="1" applyAlignment="1">
      <alignment horizontal="center"/>
    </xf>
    <xf numFmtId="3" fontId="35" fillId="12" borderId="0" xfId="0" applyNumberFormat="1" applyFont="1" applyFill="1" applyAlignment="1">
      <alignment horizontal="center"/>
    </xf>
    <xf numFmtId="3" fontId="36" fillId="12" borderId="0" xfId="0" applyNumberFormat="1" applyFont="1" applyFill="1" applyAlignment="1">
      <alignment horizontal="center"/>
    </xf>
    <xf numFmtId="0" fontId="19" fillId="3" borderId="6" xfId="10"/>
    <xf numFmtId="0" fontId="0" fillId="20" borderId="0" xfId="0" applyFill="1"/>
    <xf numFmtId="3" fontId="23" fillId="0" borderId="0" xfId="0" applyNumberFormat="1" applyFont="1" applyAlignment="1">
      <alignment horizontal="center"/>
    </xf>
    <xf numFmtId="3" fontId="23" fillId="0" borderId="0" xfId="0" applyNumberFormat="1" applyFont="1"/>
    <xf numFmtId="0" fontId="0" fillId="21" borderId="0" xfId="0" applyFill="1"/>
    <xf numFmtId="3" fontId="23" fillId="19" borderId="0" xfId="0" applyNumberFormat="1" applyFont="1" applyFill="1" applyAlignment="1">
      <alignment horizontal="center"/>
    </xf>
    <xf numFmtId="0" fontId="23" fillId="19" borderId="0" xfId="0" applyFont="1" applyFill="1"/>
    <xf numFmtId="0" fontId="0" fillId="22" borderId="0" xfId="0" applyFill="1"/>
    <xf numFmtId="181" fontId="35" fillId="0" borderId="0" xfId="0" applyNumberFormat="1" applyFont="1" applyAlignment="1">
      <alignment horizontal="center"/>
    </xf>
    <xf numFmtId="9" fontId="0" fillId="8" borderId="19" xfId="15" applyFont="1" applyFill="1" applyBorder="1" applyAlignment="1">
      <alignment horizontal="center"/>
    </xf>
    <xf numFmtId="0" fontId="0" fillId="0" borderId="43" xfId="0" applyBorder="1"/>
    <xf numFmtId="0" fontId="38" fillId="0" borderId="0" xfId="0" applyFont="1"/>
    <xf numFmtId="0" fontId="39" fillId="0" borderId="0" xfId="0" applyFont="1"/>
    <xf numFmtId="0" fontId="40" fillId="0" borderId="0" xfId="0" applyFont="1" applyAlignment="1">
      <alignment horizontal="center"/>
    </xf>
    <xf numFmtId="180" fontId="39" fillId="0" borderId="0" xfId="0" applyNumberFormat="1" applyFont="1" applyAlignment="1">
      <alignment horizontal="center"/>
    </xf>
    <xf numFmtId="0" fontId="41" fillId="0" borderId="0" xfId="0" applyFont="1"/>
    <xf numFmtId="0" fontId="42" fillId="0" borderId="0" xfId="0" applyFont="1"/>
    <xf numFmtId="0" fontId="0" fillId="0" borderId="12" xfId="0" applyBorder="1"/>
    <xf numFmtId="0" fontId="23" fillId="0" borderId="0" xfId="0" applyFont="1" applyAlignment="1">
      <alignment horizontal="center"/>
    </xf>
    <xf numFmtId="0" fontId="39" fillId="0" borderId="0" xfId="0" applyFont="1" applyAlignment="1">
      <alignment horizontal="center"/>
    </xf>
    <xf numFmtId="178" fontId="8" fillId="24" borderId="19" xfId="0" applyNumberFormat="1" applyFont="1" applyFill="1" applyBorder="1" applyAlignment="1">
      <alignment horizontal="center"/>
    </xf>
    <xf numFmtId="3" fontId="38" fillId="0" borderId="0" xfId="0" applyNumberFormat="1" applyFont="1"/>
    <xf numFmtId="0" fontId="40" fillId="17" borderId="0" xfId="0" applyFont="1" applyFill="1" applyAlignment="1">
      <alignment horizontal="center"/>
    </xf>
    <xf numFmtId="3" fontId="0" fillId="25" borderId="1" xfId="0" applyNumberFormat="1" applyFill="1" applyBorder="1" applyAlignment="1">
      <alignment horizontal="center"/>
    </xf>
    <xf numFmtId="3" fontId="0" fillId="25" borderId="45" xfId="0" applyNumberFormat="1" applyFill="1" applyBorder="1" applyAlignment="1">
      <alignment horizontal="center"/>
    </xf>
    <xf numFmtId="179" fontId="13" fillId="26" borderId="1" xfId="15" applyNumberFormat="1" applyFont="1" applyFill="1" applyBorder="1" applyAlignment="1">
      <alignment horizontal="center"/>
    </xf>
    <xf numFmtId="179" fontId="13" fillId="26" borderId="45" xfId="15" applyNumberFormat="1" applyFont="1" applyFill="1" applyBorder="1" applyAlignment="1">
      <alignment horizontal="center"/>
    </xf>
    <xf numFmtId="3" fontId="0" fillId="25" borderId="1" xfId="15" applyNumberFormat="1" applyFont="1" applyFill="1" applyBorder="1" applyAlignment="1">
      <alignment horizontal="center"/>
    </xf>
    <xf numFmtId="3" fontId="0" fillId="25" borderId="45" xfId="15" applyNumberFormat="1" applyFont="1" applyFill="1" applyBorder="1" applyAlignment="1">
      <alignment horizontal="center"/>
    </xf>
    <xf numFmtId="3" fontId="13" fillId="27" borderId="1" xfId="15" applyNumberFormat="1" applyFont="1" applyFill="1" applyBorder="1" applyAlignment="1">
      <alignment horizontal="center"/>
    </xf>
    <xf numFmtId="3" fontId="0" fillId="0" borderId="0" xfId="0" applyNumberFormat="1" applyAlignment="1">
      <alignment horizontal="center"/>
    </xf>
    <xf numFmtId="180" fontId="0" fillId="0" borderId="0" xfId="0" applyNumberFormat="1" applyAlignment="1">
      <alignment horizontal="center"/>
    </xf>
    <xf numFmtId="181" fontId="35" fillId="19" borderId="0" xfId="0" applyNumberFormat="1" applyFont="1" applyFill="1" applyAlignment="1">
      <alignment horizontal="center"/>
    </xf>
    <xf numFmtId="0" fontId="35" fillId="19" borderId="0" xfId="0" applyFont="1" applyFill="1" applyAlignment="1">
      <alignment horizontal="center"/>
    </xf>
    <xf numFmtId="179" fontId="35" fillId="19" borderId="0" xfId="0" applyNumberFormat="1" applyFont="1" applyFill="1" applyAlignment="1">
      <alignment horizontal="center"/>
    </xf>
    <xf numFmtId="9" fontId="35" fillId="0" borderId="0" xfId="15" applyFont="1" applyFill="1" applyAlignment="1">
      <alignment horizontal="center"/>
    </xf>
    <xf numFmtId="179" fontId="35" fillId="0" borderId="0" xfId="15" applyNumberFormat="1" applyFont="1" applyFill="1" applyAlignment="1">
      <alignment horizontal="center"/>
    </xf>
    <xf numFmtId="9" fontId="35" fillId="0" borderId="0" xfId="21" applyFont="1" applyFill="1" applyAlignment="1">
      <alignment horizontal="center"/>
    </xf>
    <xf numFmtId="183" fontId="8" fillId="24" borderId="19" xfId="0" applyNumberFormat="1" applyFont="1" applyFill="1" applyBorder="1" applyAlignment="1">
      <alignment horizontal="center"/>
    </xf>
    <xf numFmtId="179" fontId="33" fillId="24" borderId="19" xfId="15" applyNumberFormat="1" applyFont="1" applyFill="1" applyBorder="1" applyAlignment="1">
      <alignment horizontal="center"/>
    </xf>
    <xf numFmtId="0" fontId="13" fillId="0" borderId="37" xfId="0" applyFont="1" applyBorder="1"/>
    <xf numFmtId="0" fontId="17" fillId="5" borderId="8" xfId="4" applyFill="1" applyBorder="1" applyAlignment="1"/>
    <xf numFmtId="0" fontId="8" fillId="0" borderId="0" xfId="25"/>
    <xf numFmtId="0" fontId="27" fillId="5" borderId="7" xfId="25" applyFont="1" applyFill="1" applyBorder="1" applyAlignment="1">
      <alignment horizontal="center"/>
    </xf>
    <xf numFmtId="0" fontId="27" fillId="5" borderId="11" xfId="25" applyFont="1" applyFill="1" applyBorder="1" applyAlignment="1">
      <alignment horizontal="center"/>
    </xf>
    <xf numFmtId="0" fontId="29" fillId="3" borderId="10" xfId="10" applyFont="1" applyBorder="1"/>
    <xf numFmtId="0" fontId="8" fillId="0" borderId="0" xfId="25" applyAlignment="1">
      <alignment vertical="center"/>
    </xf>
    <xf numFmtId="0" fontId="29" fillId="3" borderId="13" xfId="10" applyFont="1" applyBorder="1"/>
    <xf numFmtId="0" fontId="29" fillId="0" borderId="10" xfId="10" applyFont="1" applyFill="1" applyBorder="1"/>
    <xf numFmtId="0" fontId="20" fillId="0" borderId="0" xfId="8" applyFill="1" applyBorder="1"/>
    <xf numFmtId="9" fontId="8" fillId="0" borderId="0" xfId="27" applyFont="1"/>
    <xf numFmtId="0" fontId="30" fillId="0" borderId="0" xfId="33" applyFont="1" applyAlignment="1" applyProtection="1"/>
    <xf numFmtId="0" fontId="27" fillId="29" borderId="0" xfId="25" applyFont="1" applyFill="1" applyAlignment="1">
      <alignment horizontal="center" vertical="center"/>
    </xf>
    <xf numFmtId="0" fontId="28" fillId="0" borderId="9" xfId="9" applyFont="1" applyFill="1" applyBorder="1"/>
    <xf numFmtId="0" fontId="19" fillId="3" borderId="13" xfId="10" applyBorder="1"/>
    <xf numFmtId="0" fontId="19" fillId="3" borderId="10" xfId="10" applyBorder="1"/>
    <xf numFmtId="0" fontId="26" fillId="0" borderId="0" xfId="25" applyFont="1"/>
    <xf numFmtId="0" fontId="13" fillId="0" borderId="32" xfId="0" applyFont="1" applyBorder="1"/>
    <xf numFmtId="0" fontId="13" fillId="0" borderId="38" xfId="0" applyFont="1" applyBorder="1"/>
    <xf numFmtId="0" fontId="0" fillId="0" borderId="4" xfId="0" applyBorder="1"/>
    <xf numFmtId="0" fontId="0" fillId="0" borderId="6" xfId="0" applyBorder="1"/>
    <xf numFmtId="0" fontId="0" fillId="0" borderId="36" xfId="0" applyBorder="1"/>
    <xf numFmtId="0" fontId="0" fillId="0" borderId="2" xfId="0" applyBorder="1"/>
    <xf numFmtId="0" fontId="0" fillId="0" borderId="37" xfId="0" applyBorder="1"/>
    <xf numFmtId="0" fontId="0" fillId="0" borderId="32" xfId="0" applyBorder="1"/>
    <xf numFmtId="0" fontId="0" fillId="0" borderId="38" xfId="0" applyBorder="1"/>
    <xf numFmtId="0" fontId="13" fillId="0" borderId="44" xfId="0" applyFont="1" applyBorder="1"/>
    <xf numFmtId="0" fontId="13" fillId="0" borderId="1" xfId="0" applyFont="1" applyBorder="1"/>
    <xf numFmtId="0" fontId="13" fillId="0" borderId="45" xfId="0" applyFont="1" applyBorder="1"/>
    <xf numFmtId="0" fontId="0" fillId="8" borderId="0" xfId="0" applyFill="1"/>
    <xf numFmtId="0" fontId="35" fillId="19" borderId="0" xfId="0" applyFont="1" applyFill="1" applyAlignment="1">
      <alignment horizontal="left" indent="1"/>
    </xf>
    <xf numFmtId="181" fontId="35" fillId="19" borderId="0" xfId="0" applyNumberFormat="1" applyFont="1" applyFill="1" applyAlignment="1">
      <alignment horizontal="left" indent="1"/>
    </xf>
    <xf numFmtId="0" fontId="35" fillId="30" borderId="0" xfId="0" applyFont="1" applyFill="1" applyAlignment="1">
      <alignment horizontal="left" indent="1"/>
    </xf>
    <xf numFmtId="0" fontId="23" fillId="0" borderId="0" xfId="0" applyFont="1" applyAlignment="1">
      <alignment horizontal="left"/>
    </xf>
    <xf numFmtId="0" fontId="27" fillId="32" borderId="28" xfId="0" applyFont="1" applyFill="1" applyBorder="1" applyAlignment="1">
      <alignment horizontal="center"/>
    </xf>
    <xf numFmtId="0" fontId="27" fillId="32" borderId="25" xfId="0" applyFont="1" applyFill="1" applyBorder="1" applyAlignment="1">
      <alignment horizontal="center"/>
    </xf>
    <xf numFmtId="9" fontId="33" fillId="8" borderId="52" xfId="15" applyFont="1" applyFill="1" applyBorder="1" applyAlignment="1">
      <alignment horizontal="center"/>
    </xf>
    <xf numFmtId="9" fontId="8" fillId="8" borderId="52" xfId="15" applyFont="1" applyFill="1" applyBorder="1" applyAlignment="1">
      <alignment horizontal="center"/>
    </xf>
    <xf numFmtId="0" fontId="13" fillId="0" borderId="52" xfId="0" applyFont="1" applyBorder="1" applyAlignment="1">
      <alignment horizontal="center"/>
    </xf>
    <xf numFmtId="179" fontId="33" fillId="24" borderId="52" xfId="15" applyNumberFormat="1" applyFont="1" applyFill="1" applyBorder="1" applyAlignment="1">
      <alignment horizontal="center"/>
    </xf>
    <xf numFmtId="0" fontId="27" fillId="32" borderId="19" xfId="0" applyFont="1" applyFill="1" applyBorder="1" applyAlignment="1">
      <alignment horizontal="center" vertical="center" wrapText="1"/>
    </xf>
    <xf numFmtId="0" fontId="27" fillId="32" borderId="19" xfId="0" applyFont="1" applyFill="1" applyBorder="1" applyAlignment="1">
      <alignment horizontal="center"/>
    </xf>
    <xf numFmtId="0" fontId="27" fillId="32" borderId="23" xfId="0" applyFont="1" applyFill="1" applyBorder="1" applyAlignment="1">
      <alignment horizontal="center" vertical="center" wrapText="1"/>
    </xf>
    <xf numFmtId="0" fontId="8" fillId="8" borderId="19" xfId="0" applyFont="1" applyFill="1" applyBorder="1" applyAlignment="1">
      <alignment vertical="center" wrapText="1"/>
    </xf>
    <xf numFmtId="0" fontId="27" fillId="32" borderId="52" xfId="0" applyFont="1" applyFill="1" applyBorder="1" applyAlignment="1">
      <alignment horizontal="center"/>
    </xf>
    <xf numFmtId="0" fontId="13" fillId="0" borderId="44" xfId="0" applyFont="1" applyBorder="1" applyAlignment="1">
      <alignment horizontal="left"/>
    </xf>
    <xf numFmtId="0" fontId="13" fillId="17" borderId="44" xfId="0" applyFont="1" applyFill="1" applyBorder="1"/>
    <xf numFmtId="184" fontId="8" fillId="24" borderId="19" xfId="0" applyNumberFormat="1" applyFont="1" applyFill="1" applyBorder="1" applyAlignment="1">
      <alignment horizontal="center"/>
    </xf>
    <xf numFmtId="9" fontId="8" fillId="24" borderId="19" xfId="15" applyFont="1" applyFill="1" applyBorder="1" applyAlignment="1">
      <alignment horizontal="center"/>
    </xf>
    <xf numFmtId="183" fontId="8" fillId="0" borderId="19" xfId="0" applyNumberFormat="1" applyFont="1" applyBorder="1" applyAlignment="1">
      <alignment horizontal="center"/>
    </xf>
    <xf numFmtId="178" fontId="8" fillId="7" borderId="19" xfId="0" applyNumberFormat="1" applyFont="1" applyFill="1" applyBorder="1" applyAlignment="1">
      <alignment horizontal="center"/>
    </xf>
    <xf numFmtId="4" fontId="8" fillId="7" borderId="19" xfId="0" applyNumberFormat="1" applyFont="1" applyFill="1" applyBorder="1" applyAlignment="1">
      <alignment horizontal="center"/>
    </xf>
    <xf numFmtId="9" fontId="33" fillId="7" borderId="52" xfId="15" applyFont="1" applyFill="1" applyBorder="1" applyAlignment="1">
      <alignment horizontal="center"/>
    </xf>
    <xf numFmtId="0" fontId="8" fillId="7" borderId="19" xfId="0" applyFont="1" applyFill="1" applyBorder="1"/>
    <xf numFmtId="9" fontId="8" fillId="7" borderId="19" xfId="15" applyFont="1" applyFill="1" applyBorder="1" applyAlignment="1">
      <alignment horizontal="center"/>
    </xf>
    <xf numFmtId="179" fontId="8" fillId="7" borderId="19" xfId="15" applyNumberFormat="1" applyFont="1" applyFill="1" applyBorder="1" applyAlignment="1">
      <alignment horizontal="center"/>
    </xf>
    <xf numFmtId="9" fontId="8" fillId="7" borderId="19" xfId="15" applyFont="1" applyFill="1" applyBorder="1"/>
    <xf numFmtId="184" fontId="33" fillId="8" borderId="52" xfId="15" applyNumberFormat="1" applyFont="1" applyFill="1" applyBorder="1" applyAlignment="1">
      <alignment horizontal="center"/>
    </xf>
    <xf numFmtId="184" fontId="8" fillId="8" borderId="52" xfId="0" applyNumberFormat="1" applyFont="1" applyFill="1" applyBorder="1" applyAlignment="1">
      <alignment horizontal="center"/>
    </xf>
    <xf numFmtId="0" fontId="47" fillId="32" borderId="52" xfId="0" applyFont="1" applyFill="1" applyBorder="1" applyAlignment="1">
      <alignment horizontal="center"/>
    </xf>
    <xf numFmtId="0" fontId="48" fillId="32" borderId="52" xfId="0" applyFont="1" applyFill="1" applyBorder="1" applyAlignment="1">
      <alignment horizontal="center"/>
    </xf>
    <xf numFmtId="178" fontId="13" fillId="24" borderId="19" xfId="0" applyNumberFormat="1" applyFont="1" applyFill="1" applyBorder="1" applyAlignment="1">
      <alignment horizontal="center"/>
    </xf>
    <xf numFmtId="0" fontId="13" fillId="14" borderId="12" xfId="0" applyFont="1" applyFill="1" applyBorder="1" applyAlignment="1">
      <alignment horizontal="center"/>
    </xf>
    <xf numFmtId="0" fontId="0" fillId="0" borderId="50" xfId="0" applyBorder="1"/>
    <xf numFmtId="0" fontId="0" fillId="0" borderId="70" xfId="0" applyBorder="1"/>
    <xf numFmtId="0" fontId="13" fillId="0" borderId="88" xfId="0" applyFont="1" applyBorder="1" applyAlignment="1">
      <alignment horizontal="left"/>
    </xf>
    <xf numFmtId="0" fontId="13" fillId="0" borderId="89" xfId="0" applyFont="1" applyBorder="1" applyAlignment="1">
      <alignment horizontal="left"/>
    </xf>
    <xf numFmtId="178" fontId="13" fillId="0" borderId="75" xfId="0" applyNumberFormat="1" applyFont="1" applyBorder="1" applyAlignment="1">
      <alignment horizontal="center"/>
    </xf>
    <xf numFmtId="9" fontId="0" fillId="0" borderId="89" xfId="15" applyFont="1" applyBorder="1"/>
    <xf numFmtId="9" fontId="0" fillId="0" borderId="90" xfId="15" applyFont="1" applyBorder="1"/>
    <xf numFmtId="0" fontId="13" fillId="0" borderId="88" xfId="0" applyFont="1" applyBorder="1" applyAlignment="1">
      <alignment horizontal="center"/>
    </xf>
    <xf numFmtId="9" fontId="0" fillId="0" borderId="66" xfId="0" applyNumberFormat="1" applyBorder="1"/>
    <xf numFmtId="178" fontId="0" fillId="0" borderId="83" xfId="0" applyNumberFormat="1" applyBorder="1" applyAlignment="1">
      <alignment horizontal="center"/>
    </xf>
    <xf numFmtId="178" fontId="0" fillId="0" borderId="86" xfId="0" applyNumberFormat="1" applyBorder="1" applyAlignment="1">
      <alignment horizontal="center"/>
    </xf>
    <xf numFmtId="0" fontId="0" fillId="33" borderId="91" xfId="0" applyFill="1" applyBorder="1"/>
    <xf numFmtId="0" fontId="0" fillId="33" borderId="92" xfId="0" applyFill="1" applyBorder="1"/>
    <xf numFmtId="10" fontId="0" fillId="33" borderId="92" xfId="0" applyNumberFormat="1" applyFill="1" applyBorder="1"/>
    <xf numFmtId="10" fontId="0" fillId="33" borderId="93" xfId="0" applyNumberFormat="1" applyFill="1" applyBorder="1"/>
    <xf numFmtId="0" fontId="13" fillId="8" borderId="39" xfId="0" applyFont="1" applyFill="1" applyBorder="1" applyAlignment="1">
      <alignment horizontal="center"/>
    </xf>
    <xf numFmtId="9" fontId="0" fillId="0" borderId="94" xfId="15" applyFont="1" applyBorder="1"/>
    <xf numFmtId="0" fontId="13" fillId="0" borderId="94" xfId="0" applyFont="1" applyBorder="1"/>
    <xf numFmtId="0" fontId="13" fillId="14" borderId="65" xfId="0" applyFont="1" applyFill="1" applyBorder="1" applyAlignment="1">
      <alignment horizontal="center"/>
    </xf>
    <xf numFmtId="9" fontId="13" fillId="14" borderId="65" xfId="15" applyFont="1" applyFill="1" applyBorder="1" applyAlignment="1">
      <alignment horizontal="center"/>
    </xf>
    <xf numFmtId="0" fontId="13" fillId="0" borderId="65" xfId="0" applyFont="1" applyBorder="1" applyAlignment="1">
      <alignment horizontal="center"/>
    </xf>
    <xf numFmtId="178" fontId="0" fillId="0" borderId="95" xfId="0" applyNumberFormat="1" applyBorder="1" applyAlignment="1">
      <alignment horizontal="center"/>
    </xf>
    <xf numFmtId="0" fontId="13" fillId="0" borderId="97" xfId="0" applyFont="1" applyBorder="1"/>
    <xf numFmtId="0" fontId="13" fillId="0" borderId="96" xfId="0" applyFont="1" applyBorder="1" applyAlignment="1">
      <alignment horizontal="center"/>
    </xf>
    <xf numFmtId="0" fontId="0" fillId="0" borderId="67" xfId="0" applyBorder="1"/>
    <xf numFmtId="0" fontId="0" fillId="0" borderId="68" xfId="0" applyBorder="1"/>
    <xf numFmtId="0" fontId="0" fillId="0" borderId="69" xfId="0" applyBorder="1"/>
    <xf numFmtId="0" fontId="0" fillId="0" borderId="51" xfId="0" applyBorder="1"/>
    <xf numFmtId="0" fontId="0" fillId="0" borderId="75" xfId="0" applyBorder="1"/>
    <xf numFmtId="0" fontId="0" fillId="0" borderId="76" xfId="0" applyBorder="1"/>
    <xf numFmtId="9" fontId="0" fillId="0" borderId="0" xfId="0" applyNumberFormat="1"/>
    <xf numFmtId="0" fontId="13" fillId="14" borderId="93" xfId="0" applyFont="1" applyFill="1" applyBorder="1" applyAlignment="1">
      <alignment horizontal="center"/>
    </xf>
    <xf numFmtId="0" fontId="0" fillId="33" borderId="72" xfId="0" applyFill="1" applyBorder="1"/>
    <xf numFmtId="0" fontId="0" fillId="33" borderId="74" xfId="0" applyFill="1" applyBorder="1"/>
    <xf numFmtId="0" fontId="13" fillId="0" borderId="72" xfId="0" applyFont="1" applyBorder="1" applyAlignment="1">
      <alignment horizontal="center"/>
    </xf>
    <xf numFmtId="178" fontId="0" fillId="0" borderId="84" xfId="0" applyNumberFormat="1" applyBorder="1" applyAlignment="1">
      <alignment horizontal="center"/>
    </xf>
    <xf numFmtId="178" fontId="0" fillId="0" borderId="87" xfId="0" applyNumberFormat="1" applyBorder="1" applyAlignment="1">
      <alignment horizontal="center"/>
    </xf>
    <xf numFmtId="0" fontId="13" fillId="8" borderId="9" xfId="0" applyFont="1" applyFill="1" applyBorder="1" applyAlignment="1">
      <alignment horizontal="center"/>
    </xf>
    <xf numFmtId="184" fontId="0" fillId="0" borderId="100" xfId="0" applyNumberFormat="1" applyBorder="1" applyAlignment="1">
      <alignment horizontal="center"/>
    </xf>
    <xf numFmtId="184" fontId="0" fillId="0" borderId="102" xfId="0" applyNumberFormat="1" applyBorder="1" applyAlignment="1">
      <alignment horizontal="center"/>
    </xf>
    <xf numFmtId="0" fontId="0" fillId="31" borderId="73" xfId="0" applyFill="1" applyBorder="1"/>
    <xf numFmtId="0" fontId="27" fillId="31" borderId="73" xfId="0" applyFont="1" applyFill="1" applyBorder="1" applyAlignment="1">
      <alignment horizontal="left"/>
    </xf>
    <xf numFmtId="182" fontId="27" fillId="31" borderId="74" xfId="0" applyNumberFormat="1" applyFont="1" applyFill="1" applyBorder="1" applyAlignment="1">
      <alignment horizontal="center" vertical="center"/>
    </xf>
    <xf numFmtId="0" fontId="13" fillId="17" borderId="106" xfId="0" applyFont="1" applyFill="1" applyBorder="1"/>
    <xf numFmtId="0" fontId="13" fillId="17" borderId="108" xfId="0" applyFont="1" applyFill="1" applyBorder="1"/>
    <xf numFmtId="0" fontId="27" fillId="32" borderId="111" xfId="0" applyFont="1" applyFill="1" applyBorder="1" applyAlignment="1">
      <alignment horizontal="center"/>
    </xf>
    <xf numFmtId="0" fontId="0" fillId="32" borderId="112" xfId="0" applyFill="1" applyBorder="1"/>
    <xf numFmtId="0" fontId="27" fillId="32" borderId="106" xfId="0" applyFont="1" applyFill="1" applyBorder="1" applyAlignment="1">
      <alignment horizontal="center"/>
    </xf>
    <xf numFmtId="0" fontId="0" fillId="32" borderId="102" xfId="0" applyFill="1" applyBorder="1"/>
    <xf numFmtId="0" fontId="13" fillId="0" borderId="104" xfId="0" applyFont="1" applyBorder="1" applyAlignment="1">
      <alignment horizontal="left" vertical="center"/>
    </xf>
    <xf numFmtId="0" fontId="46" fillId="5" borderId="72" xfId="0" applyFont="1" applyFill="1" applyBorder="1" applyAlignment="1">
      <alignment horizontal="left" vertical="center"/>
    </xf>
    <xf numFmtId="0" fontId="46" fillId="31" borderId="72" xfId="0" applyFont="1" applyFill="1" applyBorder="1" applyAlignment="1">
      <alignment horizontal="left" vertical="center"/>
    </xf>
    <xf numFmtId="0" fontId="46" fillId="13" borderId="74" xfId="0" applyFont="1" applyFill="1" applyBorder="1" applyAlignment="1">
      <alignment horizontal="center"/>
    </xf>
    <xf numFmtId="0" fontId="13" fillId="8" borderId="104" xfId="0" applyFont="1" applyFill="1" applyBorder="1" applyAlignment="1">
      <alignment horizontal="left" vertical="center"/>
    </xf>
    <xf numFmtId="0" fontId="13" fillId="8" borderId="106" xfId="0" applyFont="1" applyFill="1" applyBorder="1" applyAlignment="1">
      <alignment horizontal="left" vertical="center"/>
    </xf>
    <xf numFmtId="0" fontId="0" fillId="31" borderId="73" xfId="0" applyFill="1" applyBorder="1" applyAlignment="1">
      <alignment horizontal="center"/>
    </xf>
    <xf numFmtId="0" fontId="8" fillId="0" borderId="67" xfId="0" applyFont="1" applyBorder="1"/>
    <xf numFmtId="0" fontId="49" fillId="5" borderId="64" xfId="0" applyFont="1" applyFill="1" applyBorder="1" applyAlignment="1">
      <alignment horizontal="center"/>
    </xf>
    <xf numFmtId="0" fontId="49" fillId="5" borderId="64" xfId="0" applyFont="1" applyFill="1" applyBorder="1"/>
    <xf numFmtId="0" fontId="0" fillId="0" borderId="64" xfId="0" applyBorder="1"/>
    <xf numFmtId="184" fontId="0" fillId="24" borderId="102" xfId="0" applyNumberFormat="1" applyFill="1" applyBorder="1" applyAlignment="1">
      <alignment horizontal="center"/>
    </xf>
    <xf numFmtId="184" fontId="0" fillId="24" borderId="109" xfId="0" applyNumberFormat="1" applyFill="1" applyBorder="1" applyAlignment="1">
      <alignment horizontal="center"/>
    </xf>
    <xf numFmtId="0" fontId="29" fillId="0" borderId="10" xfId="25" applyFont="1" applyBorder="1" applyAlignment="1">
      <alignment horizontal="center"/>
    </xf>
    <xf numFmtId="0" fontId="29" fillId="0" borderId="16" xfId="25" applyFont="1" applyBorder="1" applyAlignment="1">
      <alignment horizontal="center"/>
    </xf>
    <xf numFmtId="0" fontId="29" fillId="0" borderId="10" xfId="25" applyFont="1" applyBorder="1" applyAlignment="1">
      <alignment horizontal="center" vertical="center"/>
    </xf>
    <xf numFmtId="0" fontId="29" fillId="0" borderId="16" xfId="25" applyFont="1" applyBorder="1" applyAlignment="1">
      <alignment horizontal="center" vertical="center"/>
    </xf>
    <xf numFmtId="0" fontId="29" fillId="0" borderId="14" xfId="25" applyFont="1" applyBorder="1" applyAlignment="1">
      <alignment horizontal="center"/>
    </xf>
    <xf numFmtId="0" fontId="29" fillId="0" borderId="17" xfId="25" applyFont="1" applyBorder="1" applyAlignment="1">
      <alignment horizontal="center"/>
    </xf>
    <xf numFmtId="0" fontId="50" fillId="5" borderId="116" xfId="4" applyFont="1" applyFill="1" applyBorder="1" applyAlignment="1">
      <alignment horizontal="center" vertical="center"/>
    </xf>
    <xf numFmtId="0" fontId="50" fillId="5" borderId="116" xfId="3" applyFont="1" applyFill="1" applyBorder="1" applyAlignment="1">
      <alignment horizontal="center" vertical="center" wrapText="1"/>
    </xf>
    <xf numFmtId="0" fontId="50" fillId="5" borderId="116" xfId="3" applyFont="1" applyFill="1" applyBorder="1" applyAlignment="1">
      <alignment horizontal="center" vertical="center"/>
    </xf>
    <xf numFmtId="0" fontId="8" fillId="3" borderId="116" xfId="10" applyFont="1" applyBorder="1" applyAlignment="1">
      <alignment horizontal="center" vertical="center"/>
    </xf>
    <xf numFmtId="181" fontId="8" fillId="8" borderId="116" xfId="6" applyFont="1" applyFill="1" applyBorder="1" applyAlignment="1">
      <alignment horizontal="right" vertical="center" wrapText="1"/>
    </xf>
    <xf numFmtId="0" fontId="29" fillId="3" borderId="116" xfId="10" applyFont="1" applyBorder="1" applyAlignment="1">
      <alignment vertical="center"/>
    </xf>
    <xf numFmtId="181" fontId="8" fillId="3" borderId="116" xfId="6" applyFont="1" applyBorder="1" applyAlignment="1">
      <alignment horizontal="right" vertical="center" wrapText="1"/>
    </xf>
    <xf numFmtId="0" fontId="29" fillId="3" borderId="116" xfId="10" applyFont="1" applyBorder="1" applyAlignment="1">
      <alignment horizontal="center" vertical="center"/>
    </xf>
    <xf numFmtId="3" fontId="13" fillId="34" borderId="118" xfId="5" applyFont="1" applyFill="1" applyBorder="1" applyAlignment="1">
      <alignment horizontal="center" vertical="center"/>
    </xf>
    <xf numFmtId="0" fontId="13" fillId="0" borderId="0" xfId="25" applyFont="1" applyAlignment="1">
      <alignment vertical="center"/>
    </xf>
    <xf numFmtId="0" fontId="8" fillId="12" borderId="0" xfId="25" applyFill="1" applyAlignment="1">
      <alignment vertical="center"/>
    </xf>
    <xf numFmtId="0" fontId="28" fillId="0" borderId="116" xfId="9" applyFont="1" applyFill="1" applyBorder="1" applyAlignment="1">
      <alignment horizontal="center" vertical="center"/>
    </xf>
    <xf numFmtId="3" fontId="51" fillId="34" borderId="117" xfId="5" applyFont="1" applyFill="1" applyBorder="1" applyAlignment="1">
      <alignment horizontal="right" vertical="center"/>
    </xf>
    <xf numFmtId="3" fontId="51" fillId="34" borderId="118" xfId="5" applyFont="1" applyFill="1" applyBorder="1" applyAlignment="1">
      <alignment horizontal="right" vertical="center"/>
    </xf>
    <xf numFmtId="3" fontId="51" fillId="34" borderId="119" xfId="5" applyFont="1" applyFill="1" applyBorder="1" applyAlignment="1">
      <alignment horizontal="right" vertical="center"/>
    </xf>
    <xf numFmtId="181" fontId="8" fillId="3" borderId="116" xfId="6" applyFont="1" applyBorder="1" applyAlignment="1">
      <alignment horizontal="center" vertical="center"/>
    </xf>
    <xf numFmtId="4" fontId="32" fillId="0" borderId="116" xfId="7" applyFont="1" applyFill="1" applyBorder="1" applyAlignment="1">
      <alignment horizontal="right" vertical="center"/>
    </xf>
    <xf numFmtId="0" fontId="0" fillId="34" borderId="118" xfId="0" applyFill="1" applyBorder="1" applyAlignment="1">
      <alignment horizontal="center" vertical="center"/>
    </xf>
    <xf numFmtId="4" fontId="8" fillId="34" borderId="118" xfId="7" applyFont="1" applyFill="1" applyBorder="1" applyAlignment="1">
      <alignment horizontal="right" vertical="center"/>
    </xf>
    <xf numFmtId="3" fontId="13" fillId="34" borderId="119" xfId="5" applyFont="1" applyFill="1" applyBorder="1" applyAlignment="1">
      <alignment horizontal="right" vertical="center" wrapText="1"/>
    </xf>
    <xf numFmtId="4" fontId="8" fillId="8" borderId="116" xfId="7" applyFont="1" applyFill="1" applyBorder="1" applyAlignment="1">
      <alignment horizontal="right" vertical="center" wrapText="1"/>
    </xf>
    <xf numFmtId="4" fontId="8" fillId="3" borderId="116" xfId="7" applyFont="1" applyBorder="1" applyAlignment="1">
      <alignment horizontal="center" vertical="center"/>
    </xf>
    <xf numFmtId="4" fontId="8" fillId="3" borderId="116" xfId="7" applyFont="1" applyBorder="1" applyAlignment="1">
      <alignment horizontal="right" vertical="center" wrapText="1"/>
    </xf>
    <xf numFmtId="0" fontId="29" fillId="0" borderId="116" xfId="10" applyFont="1" applyFill="1" applyBorder="1" applyAlignment="1">
      <alignment vertical="center"/>
    </xf>
    <xf numFmtId="0" fontId="8" fillId="0" borderId="116" xfId="10" applyFont="1" applyFill="1" applyBorder="1" applyAlignment="1">
      <alignment horizontal="center" vertical="center"/>
    </xf>
    <xf numFmtId="0" fontId="8" fillId="0" borderId="116" xfId="26" applyFont="1" applyBorder="1" applyAlignment="1">
      <alignment horizontal="right" vertical="center" wrapText="1"/>
    </xf>
    <xf numFmtId="3" fontId="13" fillId="34" borderId="117" xfId="5" applyFont="1" applyFill="1" applyBorder="1" applyAlignment="1">
      <alignment horizontal="right" vertical="center"/>
    </xf>
    <xf numFmtId="4" fontId="8" fillId="6" borderId="116" xfId="7" applyFont="1" applyFill="1" applyBorder="1" applyAlignment="1">
      <alignment horizontal="right" vertical="center"/>
    </xf>
    <xf numFmtId="4" fontId="8" fillId="6" borderId="116" xfId="7" applyFont="1" applyFill="1" applyBorder="1" applyAlignment="1">
      <alignment horizontal="center" vertical="center"/>
    </xf>
    <xf numFmtId="4" fontId="8" fillId="0" borderId="116" xfId="7" applyFont="1" applyFill="1" applyBorder="1" applyAlignment="1">
      <alignment horizontal="right" vertical="center" wrapText="1"/>
    </xf>
    <xf numFmtId="0" fontId="29" fillId="3" borderId="116" xfId="10" applyFont="1" applyBorder="1" applyAlignment="1">
      <alignment vertical="center" wrapText="1"/>
    </xf>
    <xf numFmtId="4" fontId="8" fillId="0" borderId="116" xfId="7" applyFont="1" applyFill="1" applyBorder="1" applyAlignment="1">
      <alignment horizontal="center" vertical="center"/>
    </xf>
    <xf numFmtId="0" fontId="50" fillId="32" borderId="116" xfId="3" applyFont="1" applyFill="1" applyBorder="1" applyAlignment="1">
      <alignment horizontal="center" vertical="center" wrapText="1"/>
    </xf>
    <xf numFmtId="0" fontId="8" fillId="0" borderId="116" xfId="25" applyBorder="1" applyAlignment="1">
      <alignment vertical="center"/>
    </xf>
    <xf numFmtId="0" fontId="35" fillId="12" borderId="116" xfId="25" applyFont="1" applyFill="1" applyBorder="1" applyAlignment="1">
      <alignment horizontal="center" vertical="center"/>
    </xf>
    <xf numFmtId="0" fontId="53" fillId="0" borderId="0" xfId="0" applyFont="1"/>
    <xf numFmtId="0" fontId="55" fillId="0" borderId="0" xfId="0" applyFont="1"/>
    <xf numFmtId="0" fontId="13" fillId="0" borderId="38" xfId="0" applyFont="1" applyBorder="1" applyAlignment="1">
      <alignment horizontal="center"/>
    </xf>
    <xf numFmtId="0" fontId="13" fillId="0" borderId="36" xfId="0" applyFont="1" applyBorder="1" applyAlignment="1">
      <alignment horizontal="center"/>
    </xf>
    <xf numFmtId="0" fontId="55" fillId="0" borderId="38" xfId="0" applyFont="1" applyBorder="1" applyAlignment="1">
      <alignment horizontal="center"/>
    </xf>
    <xf numFmtId="0" fontId="55" fillId="0" borderId="36" xfId="0" applyFont="1" applyBorder="1" applyAlignment="1">
      <alignment horizontal="center"/>
    </xf>
    <xf numFmtId="0" fontId="55" fillId="0" borderId="32" xfId="0" applyFont="1" applyBorder="1"/>
    <xf numFmtId="0" fontId="55" fillId="0" borderId="121" xfId="0" applyFont="1" applyBorder="1" applyAlignment="1">
      <alignment horizontal="center" vertical="center"/>
    </xf>
    <xf numFmtId="0" fontId="55" fillId="0" borderId="125" xfId="0" applyFont="1" applyBorder="1" applyAlignment="1">
      <alignment horizontal="center" vertical="center"/>
    </xf>
    <xf numFmtId="0" fontId="8" fillId="0" borderId="32" xfId="0" applyFont="1" applyBorder="1"/>
    <xf numFmtId="0" fontId="13" fillId="12" borderId="128" xfId="0" applyFont="1" applyFill="1" applyBorder="1" applyAlignment="1">
      <alignment horizontal="center"/>
    </xf>
    <xf numFmtId="0" fontId="55" fillId="12" borderId="128" xfId="0" applyFont="1" applyFill="1" applyBorder="1"/>
    <xf numFmtId="0" fontId="55" fillId="12" borderId="134" xfId="0" applyFont="1" applyFill="1" applyBorder="1"/>
    <xf numFmtId="0" fontId="53" fillId="12" borderId="134" xfId="0" applyFont="1" applyFill="1" applyBorder="1"/>
    <xf numFmtId="10" fontId="0" fillId="0" borderId="131" xfId="0" applyNumberFormat="1" applyBorder="1" applyAlignment="1">
      <alignment horizontal="center" vertical="center"/>
    </xf>
    <xf numFmtId="10" fontId="0" fillId="0" borderId="135" xfId="0" applyNumberFormat="1" applyBorder="1" applyAlignment="1">
      <alignment horizontal="center" vertical="center"/>
    </xf>
    <xf numFmtId="10" fontId="0" fillId="0" borderId="136" xfId="0" applyNumberFormat="1" applyBorder="1" applyAlignment="1">
      <alignment horizontal="center" vertical="center"/>
    </xf>
    <xf numFmtId="10" fontId="0" fillId="0" borderId="137" xfId="0" applyNumberFormat="1" applyBorder="1" applyAlignment="1">
      <alignment horizontal="center" vertical="center"/>
    </xf>
    <xf numFmtId="0" fontId="55" fillId="0" borderId="138" xfId="0" applyFont="1" applyBorder="1" applyAlignment="1">
      <alignment horizontal="center" vertical="center"/>
    </xf>
    <xf numFmtId="0" fontId="55" fillId="0" borderId="139" xfId="0" applyFont="1" applyBorder="1" applyAlignment="1">
      <alignment horizontal="center" vertical="center"/>
    </xf>
    <xf numFmtId="0" fontId="27" fillId="5" borderId="8" xfId="25" applyFont="1" applyFill="1" applyBorder="1" applyAlignment="1">
      <alignment horizontal="center"/>
    </xf>
    <xf numFmtId="0" fontId="53" fillId="8" borderId="0" xfId="0" applyFont="1" applyFill="1"/>
    <xf numFmtId="0" fontId="57" fillId="42" borderId="0" xfId="0" applyFont="1" applyFill="1"/>
    <xf numFmtId="0" fontId="8" fillId="37" borderId="32" xfId="0" applyFont="1" applyFill="1" applyBorder="1"/>
    <xf numFmtId="0" fontId="55" fillId="0" borderId="144" xfId="0" applyFont="1" applyBorder="1" applyAlignment="1">
      <alignment horizontal="center"/>
    </xf>
    <xf numFmtId="0" fontId="53" fillId="12" borderId="145" xfId="0" applyFont="1" applyFill="1" applyBorder="1" applyAlignment="1">
      <alignment horizontal="center"/>
    </xf>
    <xf numFmtId="0" fontId="8" fillId="39" borderId="145" xfId="0" applyFont="1" applyFill="1" applyBorder="1"/>
    <xf numFmtId="0" fontId="55" fillId="0" borderId="146" xfId="0" applyFont="1" applyBorder="1" applyAlignment="1">
      <alignment horizontal="center"/>
    </xf>
    <xf numFmtId="0" fontId="56" fillId="0" borderId="147" xfId="0" applyFont="1" applyBorder="1" applyAlignment="1">
      <alignment horizontal="center"/>
    </xf>
    <xf numFmtId="0" fontId="13" fillId="0" borderId="148" xfId="0" applyFont="1" applyBorder="1" applyAlignment="1">
      <alignment horizontal="center"/>
    </xf>
    <xf numFmtId="0" fontId="13" fillId="0" borderId="151" xfId="0" applyFont="1" applyBorder="1" applyAlignment="1">
      <alignment horizontal="center"/>
    </xf>
    <xf numFmtId="0" fontId="8" fillId="39" borderId="0" xfId="0" applyFont="1" applyFill="1"/>
    <xf numFmtId="0" fontId="13" fillId="41" borderId="32" xfId="0" quotePrefix="1" applyFont="1" applyFill="1" applyBorder="1"/>
    <xf numFmtId="0" fontId="13" fillId="41" borderId="0" xfId="0" quotePrefix="1" applyFont="1" applyFill="1"/>
    <xf numFmtId="0" fontId="53" fillId="39" borderId="0" xfId="0" applyFont="1" applyFill="1"/>
    <xf numFmtId="0" fontId="13" fillId="37" borderId="32" xfId="0" applyFont="1" applyFill="1" applyBorder="1"/>
    <xf numFmtId="0" fontId="8" fillId="0" borderId="161" xfId="0" applyFont="1" applyBorder="1"/>
    <xf numFmtId="0" fontId="13" fillId="0" borderId="162" xfId="0" applyFont="1" applyBorder="1" applyAlignment="1">
      <alignment horizontal="center"/>
    </xf>
    <xf numFmtId="0" fontId="13" fillId="0" borderId="41" xfId="0" applyFont="1" applyBorder="1" applyAlignment="1">
      <alignment horizontal="center"/>
    </xf>
    <xf numFmtId="0" fontId="13" fillId="0" borderId="163" xfId="0" applyFont="1" applyBorder="1" applyAlignment="1">
      <alignment horizontal="center"/>
    </xf>
    <xf numFmtId="0" fontId="13" fillId="0" borderId="154" xfId="0" applyFont="1" applyBorder="1" applyAlignment="1">
      <alignment horizontal="center"/>
    </xf>
    <xf numFmtId="0" fontId="8" fillId="39" borderId="129" xfId="0" applyFont="1" applyFill="1" applyBorder="1"/>
    <xf numFmtId="14" fontId="13" fillId="0" borderId="21" xfId="0" applyNumberFormat="1" applyFont="1" applyBorder="1" applyAlignment="1">
      <alignment horizontal="center" vertical="center"/>
    </xf>
    <xf numFmtId="0" fontId="8" fillId="0" borderId="57" xfId="0" applyFont="1" applyBorder="1" applyAlignment="1">
      <alignment horizontal="center" vertical="center"/>
    </xf>
    <xf numFmtId="0" fontId="39" fillId="8" borderId="23" xfId="0" applyFont="1" applyFill="1" applyBorder="1" applyAlignment="1">
      <alignment horizontal="left" vertical="center" wrapText="1"/>
    </xf>
    <xf numFmtId="9" fontId="33" fillId="38" borderId="156" xfId="15" applyFont="1" applyFill="1" applyBorder="1" applyAlignment="1">
      <alignment horizontal="center" vertical="center"/>
    </xf>
    <xf numFmtId="3" fontId="23" fillId="0" borderId="0" xfId="0" applyNumberFormat="1" applyFont="1" applyAlignment="1">
      <alignment horizontal="center" vertical="center"/>
    </xf>
    <xf numFmtId="3" fontId="35" fillId="19" borderId="0" xfId="0" applyNumberFormat="1" applyFont="1" applyFill="1" applyAlignment="1">
      <alignment horizontal="center" vertical="center"/>
    </xf>
    <xf numFmtId="179" fontId="33" fillId="43" borderId="157" xfId="29" applyNumberFormat="1" applyFont="1" applyFill="1" applyBorder="1" applyAlignment="1">
      <alignment horizontal="center" vertical="center"/>
    </xf>
    <xf numFmtId="0" fontId="58" fillId="0" borderId="157" xfId="0" applyFont="1" applyBorder="1" applyAlignment="1">
      <alignment horizontal="center" vertical="center"/>
    </xf>
    <xf numFmtId="0" fontId="58" fillId="0" borderId="159" xfId="0" applyFont="1" applyBorder="1" applyAlignment="1">
      <alignment horizontal="center" vertical="center"/>
    </xf>
    <xf numFmtId="0" fontId="58" fillId="0" borderId="46" xfId="0" applyFont="1" applyBorder="1" applyAlignment="1">
      <alignment horizontal="center" vertical="center"/>
    </xf>
    <xf numFmtId="0" fontId="58" fillId="41" borderId="159" xfId="0" applyFont="1" applyFill="1" applyBorder="1" applyAlignment="1">
      <alignment horizontal="center" vertical="center"/>
    </xf>
    <xf numFmtId="0" fontId="58" fillId="41" borderId="46" xfId="0" applyFont="1" applyFill="1" applyBorder="1" applyAlignment="1">
      <alignment horizontal="center" vertical="center"/>
    </xf>
    <xf numFmtId="3" fontId="58" fillId="40" borderId="46" xfId="0" applyNumberFormat="1" applyFont="1" applyFill="1" applyBorder="1" applyAlignment="1">
      <alignment horizontal="center" vertical="center"/>
    </xf>
    <xf numFmtId="3" fontId="58" fillId="40" borderId="159" xfId="0" applyNumberFormat="1" applyFont="1" applyFill="1" applyBorder="1" applyAlignment="1">
      <alignment horizontal="center" vertical="center"/>
    </xf>
    <xf numFmtId="0" fontId="61" fillId="0" borderId="159" xfId="0" applyFont="1" applyBorder="1" applyAlignment="1">
      <alignment horizontal="center" vertical="center"/>
    </xf>
    <xf numFmtId="0" fontId="61" fillId="0" borderId="46" xfId="0" applyFont="1" applyBorder="1" applyAlignment="1">
      <alignment horizontal="center" vertical="center"/>
    </xf>
    <xf numFmtId="0" fontId="8" fillId="0" borderId="46" xfId="0" quotePrefix="1" applyFont="1" applyBorder="1" applyAlignment="1">
      <alignment horizontal="center" vertical="center"/>
    </xf>
    <xf numFmtId="0" fontId="8" fillId="0" borderId="150" xfId="0" quotePrefix="1" applyFont="1" applyBorder="1" applyAlignment="1">
      <alignment horizontal="center" vertical="center"/>
    </xf>
    <xf numFmtId="9" fontId="38" fillId="0" borderId="0" xfId="15" applyFont="1"/>
    <xf numFmtId="9" fontId="0" fillId="0" borderId="95" xfId="0" applyNumberFormat="1" applyBorder="1" applyAlignment="1">
      <alignment horizontal="center"/>
    </xf>
    <xf numFmtId="9" fontId="13" fillId="0" borderId="72" xfId="0" applyNumberFormat="1" applyFont="1" applyBorder="1" applyAlignment="1">
      <alignment horizontal="center"/>
    </xf>
    <xf numFmtId="9" fontId="13" fillId="0" borderId="73" xfId="0" applyNumberFormat="1" applyFont="1" applyBorder="1" applyAlignment="1">
      <alignment horizontal="center"/>
    </xf>
    <xf numFmtId="9" fontId="8" fillId="0" borderId="77" xfId="0" applyNumberFormat="1" applyFont="1" applyBorder="1" applyAlignment="1">
      <alignment horizontal="center"/>
    </xf>
    <xf numFmtId="9" fontId="8" fillId="0" borderId="82" xfId="0" applyNumberFormat="1" applyFont="1" applyBorder="1" applyAlignment="1">
      <alignment horizontal="center"/>
    </xf>
    <xf numFmtId="3" fontId="0" fillId="0" borderId="0" xfId="0" applyNumberFormat="1"/>
    <xf numFmtId="0" fontId="10" fillId="0" borderId="50" xfId="33" applyFont="1" applyBorder="1" applyAlignment="1" applyProtection="1"/>
    <xf numFmtId="10" fontId="0" fillId="0" borderId="0" xfId="0" applyNumberFormat="1"/>
    <xf numFmtId="4" fontId="32" fillId="12" borderId="116" xfId="7" applyFont="1" applyFill="1" applyBorder="1" applyAlignment="1">
      <alignment horizontal="right" vertical="center"/>
    </xf>
    <xf numFmtId="4" fontId="8" fillId="0" borderId="0" xfId="7" applyFont="1" applyFill="1" applyBorder="1">
      <alignment horizontal="right"/>
    </xf>
    <xf numFmtId="4" fontId="32" fillId="0" borderId="0" xfId="7" applyFont="1" applyFill="1" applyBorder="1">
      <alignment horizontal="right"/>
    </xf>
    <xf numFmtId="4" fontId="32" fillId="9" borderId="116" xfId="7" applyFont="1" applyFill="1" applyBorder="1" applyAlignment="1">
      <alignment horizontal="right" vertical="center"/>
    </xf>
    <xf numFmtId="4" fontId="32" fillId="28" borderId="116" xfId="7" applyFont="1" applyFill="1" applyBorder="1" applyAlignment="1">
      <alignment horizontal="right" vertical="center"/>
    </xf>
    <xf numFmtId="4" fontId="25" fillId="12" borderId="116" xfId="7" applyFont="1" applyFill="1" applyBorder="1" applyAlignment="1">
      <alignment horizontal="right" vertical="center"/>
    </xf>
    <xf numFmtId="4" fontId="25" fillId="28" borderId="116" xfId="7" applyFont="1" applyFill="1" applyBorder="1" applyAlignment="1">
      <alignment horizontal="right" vertical="center"/>
    </xf>
    <xf numFmtId="1" fontId="58" fillId="41" borderId="150" xfId="0" applyNumberFormat="1" applyFont="1" applyFill="1" applyBorder="1" applyAlignment="1">
      <alignment horizontal="center" vertical="center"/>
    </xf>
    <xf numFmtId="3" fontId="58" fillId="40" borderId="46" xfId="0" quotePrefix="1" applyNumberFormat="1" applyFont="1" applyFill="1" applyBorder="1" applyAlignment="1">
      <alignment horizontal="center" vertical="center"/>
    </xf>
    <xf numFmtId="3" fontId="58" fillId="40" borderId="159" xfId="0" quotePrefix="1" applyNumberFormat="1" applyFont="1" applyFill="1" applyBorder="1" applyAlignment="1">
      <alignment horizontal="center" vertical="center"/>
    </xf>
    <xf numFmtId="1" fontId="53" fillId="40" borderId="38" xfId="0" applyNumberFormat="1" applyFont="1" applyFill="1" applyBorder="1" applyAlignment="1">
      <alignment horizontal="center" vertical="center"/>
    </xf>
    <xf numFmtId="4" fontId="5" fillId="0" borderId="46" xfId="28" applyNumberFormat="1" applyBorder="1" applyAlignment="1">
      <alignment horizontal="center"/>
    </xf>
    <xf numFmtId="0" fontId="26" fillId="0" borderId="0" xfId="0" applyFont="1" applyAlignment="1">
      <alignment horizontal="center"/>
    </xf>
    <xf numFmtId="0" fontId="64" fillId="0" borderId="0" xfId="0" applyFont="1"/>
    <xf numFmtId="0" fontId="0" fillId="0" borderId="46" xfId="0" applyBorder="1"/>
    <xf numFmtId="0" fontId="63" fillId="0" borderId="0" xfId="0" applyFont="1"/>
    <xf numFmtId="3" fontId="53" fillId="0" borderId="38" xfId="0" applyNumberFormat="1" applyFont="1" applyBorder="1" applyAlignment="1">
      <alignment horizontal="center" vertical="center"/>
    </xf>
    <xf numFmtId="0" fontId="53" fillId="0" borderId="38" xfId="0" applyFont="1" applyBorder="1" applyAlignment="1">
      <alignment horizontal="center" vertical="center"/>
    </xf>
    <xf numFmtId="3" fontId="8" fillId="8" borderId="15" xfId="0" applyNumberFormat="1" applyFont="1" applyFill="1" applyBorder="1" applyAlignment="1">
      <alignment horizontal="center"/>
    </xf>
    <xf numFmtId="179" fontId="33" fillId="38" borderId="46" xfId="15" applyNumberFormat="1" applyFont="1" applyFill="1" applyBorder="1" applyAlignment="1">
      <alignment horizontal="center" vertical="center"/>
    </xf>
    <xf numFmtId="3" fontId="61" fillId="0" borderId="46" xfId="0" applyNumberFormat="1" applyFont="1" applyBorder="1" applyAlignment="1">
      <alignment horizontal="center" vertical="center"/>
    </xf>
    <xf numFmtId="3" fontId="61" fillId="38" borderId="46" xfId="0" applyNumberFormat="1" applyFont="1" applyFill="1" applyBorder="1" applyAlignment="1">
      <alignment horizontal="center" vertical="center"/>
    </xf>
    <xf numFmtId="179" fontId="33" fillId="38" borderId="159" xfId="15" applyNumberFormat="1" applyFont="1" applyFill="1" applyBorder="1" applyAlignment="1">
      <alignment horizontal="center" vertical="center"/>
    </xf>
    <xf numFmtId="3" fontId="61" fillId="0" borderId="159" xfId="0" applyNumberFormat="1" applyFont="1" applyBorder="1" applyAlignment="1">
      <alignment horizontal="center" vertical="center"/>
    </xf>
    <xf numFmtId="3" fontId="61" fillId="38" borderId="159" xfId="0" applyNumberFormat="1" applyFont="1" applyFill="1" applyBorder="1" applyAlignment="1">
      <alignment horizontal="center" vertical="center"/>
    </xf>
    <xf numFmtId="0" fontId="61" fillId="38" borderId="160" xfId="0" applyFont="1" applyFill="1" applyBorder="1" applyAlignment="1">
      <alignment horizontal="center" vertical="center"/>
    </xf>
    <xf numFmtId="179" fontId="33" fillId="43" borderId="175" xfId="29" applyNumberFormat="1" applyFont="1" applyFill="1" applyBorder="1" applyAlignment="1">
      <alignment horizontal="center" vertical="center"/>
    </xf>
    <xf numFmtId="3" fontId="4" fillId="43" borderId="44" xfId="29" applyNumberFormat="1" applyFill="1" applyBorder="1" applyAlignment="1">
      <alignment horizontal="center" vertical="center"/>
    </xf>
    <xf numFmtId="179" fontId="33" fillId="38" borderId="44" xfId="15" applyNumberFormat="1" applyFont="1" applyFill="1" applyBorder="1" applyAlignment="1">
      <alignment horizontal="center" vertical="center"/>
    </xf>
    <xf numFmtId="3" fontId="61" fillId="0" borderId="44" xfId="0" applyNumberFormat="1" applyFont="1" applyBorder="1" applyAlignment="1">
      <alignment horizontal="center" vertical="center"/>
    </xf>
    <xf numFmtId="0" fontId="61" fillId="0" borderId="44" xfId="0" applyFont="1" applyBorder="1" applyAlignment="1">
      <alignment horizontal="center" vertical="center"/>
    </xf>
    <xf numFmtId="3" fontId="61" fillId="38" borderId="44" xfId="0" applyNumberFormat="1" applyFont="1" applyFill="1" applyBorder="1" applyAlignment="1">
      <alignment horizontal="center" vertical="center"/>
    </xf>
    <xf numFmtId="0" fontId="61" fillId="38" borderId="176" xfId="0" applyFont="1" applyFill="1" applyBorder="1" applyAlignment="1">
      <alignment horizontal="center" vertical="center"/>
    </xf>
    <xf numFmtId="1" fontId="53" fillId="0" borderId="46" xfId="0" applyNumberFormat="1" applyFont="1" applyBorder="1" applyAlignment="1">
      <alignment horizontal="center" vertical="center"/>
    </xf>
    <xf numFmtId="1" fontId="58" fillId="0" borderId="46" xfId="0" applyNumberFormat="1" applyFont="1" applyBorder="1" applyAlignment="1">
      <alignment horizontal="center" vertical="center"/>
    </xf>
    <xf numFmtId="1" fontId="53" fillId="0" borderId="159" xfId="0" applyNumberFormat="1" applyFont="1" applyBorder="1" applyAlignment="1">
      <alignment horizontal="center" vertical="center"/>
    </xf>
    <xf numFmtId="1" fontId="53" fillId="0" borderId="150" xfId="0" applyNumberFormat="1" applyFont="1" applyBorder="1" applyAlignment="1">
      <alignment horizontal="center" vertical="center"/>
    </xf>
    <xf numFmtId="1" fontId="58" fillId="0" borderId="159" xfId="0" applyNumberFormat="1" applyFont="1" applyBorder="1" applyAlignment="1">
      <alignment horizontal="center" vertical="center"/>
    </xf>
    <xf numFmtId="1" fontId="58" fillId="0" borderId="150" xfId="0" applyNumberFormat="1" applyFont="1" applyBorder="1" applyAlignment="1">
      <alignment horizontal="center" vertical="center"/>
    </xf>
    <xf numFmtId="1" fontId="61" fillId="38" borderId="160" xfId="0" applyNumberFormat="1" applyFont="1" applyFill="1" applyBorder="1" applyAlignment="1">
      <alignment horizontal="center" vertical="center"/>
    </xf>
    <xf numFmtId="1" fontId="61" fillId="38" borderId="173" xfId="0" applyNumberFormat="1" applyFont="1" applyFill="1" applyBorder="1" applyAlignment="1">
      <alignment horizontal="center" vertical="center"/>
    </xf>
    <xf numFmtId="1" fontId="61" fillId="38" borderId="174" xfId="0" applyNumberFormat="1" applyFont="1" applyFill="1" applyBorder="1" applyAlignment="1">
      <alignment horizontal="center" vertical="center"/>
    </xf>
    <xf numFmtId="179" fontId="8" fillId="0" borderId="156" xfId="15" applyNumberFormat="1" applyFont="1" applyFill="1" applyBorder="1" applyAlignment="1">
      <alignment horizontal="center" vertical="center"/>
    </xf>
    <xf numFmtId="179" fontId="8" fillId="0" borderId="157" xfId="15" applyNumberFormat="1" applyFont="1" applyFill="1" applyBorder="1" applyAlignment="1">
      <alignment horizontal="center" vertical="center"/>
    </xf>
    <xf numFmtId="179" fontId="0" fillId="0" borderId="158" xfId="15" applyNumberFormat="1" applyFont="1" applyFill="1" applyBorder="1" applyAlignment="1">
      <alignment horizontal="center" vertical="center"/>
    </xf>
    <xf numFmtId="179" fontId="33" fillId="0" borderId="159" xfId="15" applyNumberFormat="1" applyFont="1" applyFill="1" applyBorder="1" applyAlignment="1">
      <alignment horizontal="center" vertical="center"/>
    </xf>
    <xf numFmtId="179" fontId="33" fillId="0" borderId="46" xfId="15" applyNumberFormat="1" applyFont="1" applyFill="1" applyBorder="1" applyAlignment="1">
      <alignment horizontal="center" vertical="center"/>
    </xf>
    <xf numFmtId="179" fontId="33" fillId="0" borderId="150" xfId="15" applyNumberFormat="1" applyFont="1" applyFill="1" applyBorder="1" applyAlignment="1">
      <alignment horizontal="center" vertical="center"/>
    </xf>
    <xf numFmtId="1" fontId="61" fillId="0" borderId="159" xfId="0" applyNumberFormat="1" applyFont="1" applyBorder="1" applyAlignment="1">
      <alignment horizontal="center" vertical="center"/>
    </xf>
    <xf numFmtId="1" fontId="61" fillId="0" borderId="46" xfId="0" applyNumberFormat="1" applyFont="1" applyBorder="1" applyAlignment="1">
      <alignment horizontal="center" vertical="center"/>
    </xf>
    <xf numFmtId="1" fontId="61" fillId="0" borderId="150" xfId="0" applyNumberFormat="1" applyFont="1" applyBorder="1" applyAlignment="1">
      <alignment horizontal="center" vertical="center"/>
    </xf>
    <xf numFmtId="1" fontId="58" fillId="41" borderId="46" xfId="0" applyNumberFormat="1" applyFont="1" applyFill="1" applyBorder="1" applyAlignment="1">
      <alignment horizontal="center" vertical="center"/>
    </xf>
    <xf numFmtId="1" fontId="58" fillId="41" borderId="159" xfId="0" applyNumberFormat="1" applyFont="1" applyFill="1" applyBorder="1" applyAlignment="1">
      <alignment horizontal="center" vertical="center"/>
    </xf>
    <xf numFmtId="0" fontId="8" fillId="0" borderId="159" xfId="0" quotePrefix="1" applyFont="1" applyBorder="1" applyAlignment="1">
      <alignment horizontal="center" vertical="center"/>
    </xf>
    <xf numFmtId="1" fontId="53" fillId="40" borderId="46" xfId="0" applyNumberFormat="1" applyFont="1" applyFill="1" applyBorder="1" applyAlignment="1">
      <alignment horizontal="center" vertical="center"/>
    </xf>
    <xf numFmtId="1" fontId="53" fillId="40" borderId="156" xfId="0" applyNumberFormat="1" applyFont="1" applyFill="1" applyBorder="1" applyAlignment="1">
      <alignment horizontal="center" vertical="center"/>
    </xf>
    <xf numFmtId="1" fontId="53" fillId="40" borderId="157" xfId="0" applyNumberFormat="1" applyFont="1" applyFill="1" applyBorder="1" applyAlignment="1">
      <alignment horizontal="center" vertical="center"/>
    </xf>
    <xf numFmtId="1" fontId="53" fillId="40" borderId="159" xfId="0" applyNumberFormat="1" applyFont="1" applyFill="1" applyBorder="1" applyAlignment="1">
      <alignment horizontal="center" vertical="center"/>
    </xf>
    <xf numFmtId="1" fontId="53" fillId="40" borderId="175" xfId="0" applyNumberFormat="1" applyFont="1" applyFill="1" applyBorder="1" applyAlignment="1">
      <alignment horizontal="center" vertical="center"/>
    </xf>
    <xf numFmtId="1" fontId="53" fillId="40" borderId="44" xfId="0" applyNumberFormat="1" applyFont="1" applyFill="1" applyBorder="1" applyAlignment="1">
      <alignment horizontal="center" vertical="center"/>
    </xf>
    <xf numFmtId="1" fontId="53" fillId="40" borderId="176" xfId="0" applyNumberFormat="1" applyFont="1" applyFill="1" applyBorder="1" applyAlignment="1">
      <alignment horizontal="center" vertical="center"/>
    </xf>
    <xf numFmtId="1" fontId="0" fillId="0" borderId="46" xfId="0" applyNumberFormat="1" applyBorder="1" applyAlignment="1">
      <alignment horizontal="center" vertical="center"/>
    </xf>
    <xf numFmtId="1" fontId="0" fillId="0" borderId="156" xfId="0" applyNumberFormat="1" applyBorder="1" applyAlignment="1">
      <alignment horizontal="center" vertical="center"/>
    </xf>
    <xf numFmtId="1" fontId="0" fillId="0" borderId="157" xfId="0" applyNumberFormat="1" applyBorder="1" applyAlignment="1">
      <alignment horizontal="center" vertical="center"/>
    </xf>
    <xf numFmtId="1" fontId="0" fillId="0" borderId="158" xfId="0" applyNumberFormat="1" applyBorder="1" applyAlignment="1">
      <alignment horizontal="center" vertical="center"/>
    </xf>
    <xf numFmtId="1" fontId="0" fillId="0" borderId="159" xfId="0" applyNumberFormat="1" applyBorder="1" applyAlignment="1">
      <alignment horizontal="center" vertical="center"/>
    </xf>
    <xf numFmtId="1" fontId="0" fillId="0" borderId="150" xfId="0" applyNumberFormat="1" applyBorder="1" applyAlignment="1">
      <alignment horizontal="center" vertical="center"/>
    </xf>
    <xf numFmtId="1" fontId="53" fillId="40" borderId="148" xfId="0" applyNumberFormat="1" applyFont="1" applyFill="1" applyBorder="1" applyAlignment="1">
      <alignment horizontal="center" vertical="center"/>
    </xf>
    <xf numFmtId="1" fontId="53" fillId="40" borderId="149" xfId="0" applyNumberFormat="1" applyFont="1" applyFill="1" applyBorder="1" applyAlignment="1">
      <alignment horizontal="center" vertical="center"/>
    </xf>
    <xf numFmtId="1" fontId="53" fillId="40" borderId="151" xfId="0" applyNumberFormat="1" applyFont="1" applyFill="1" applyBorder="1" applyAlignment="1">
      <alignment horizontal="center" vertical="center"/>
    </xf>
    <xf numFmtId="1" fontId="53" fillId="40" borderId="152" xfId="0" applyNumberFormat="1" applyFont="1" applyFill="1" applyBorder="1" applyAlignment="1">
      <alignment horizontal="center" vertical="center"/>
    </xf>
    <xf numFmtId="1" fontId="53" fillId="40" borderId="153" xfId="0" applyNumberFormat="1" applyFont="1" applyFill="1" applyBorder="1" applyAlignment="1">
      <alignment horizontal="center" vertical="center"/>
    </xf>
    <xf numFmtId="4" fontId="5" fillId="0" borderId="159" xfId="28" applyNumberFormat="1" applyBorder="1" applyAlignment="1">
      <alignment horizontal="center"/>
    </xf>
    <xf numFmtId="4" fontId="5" fillId="0" borderId="150" xfId="28" applyNumberFormat="1" applyBorder="1" applyAlignment="1">
      <alignment horizontal="center"/>
    </xf>
    <xf numFmtId="9" fontId="0" fillId="0" borderId="0" xfId="15" applyFont="1" applyBorder="1" applyAlignment="1">
      <alignment horizontal="left"/>
    </xf>
    <xf numFmtId="3" fontId="8" fillId="0" borderId="159" xfId="0" applyNumberFormat="1" applyFont="1" applyBorder="1" applyAlignment="1">
      <alignment horizontal="center" vertical="center"/>
    </xf>
    <xf numFmtId="3" fontId="58" fillId="0" borderId="46" xfId="0" applyNumberFormat="1" applyFont="1" applyBorder="1" applyAlignment="1">
      <alignment horizontal="center" vertical="center"/>
    </xf>
    <xf numFmtId="3" fontId="58" fillId="0" borderId="159" xfId="0" applyNumberFormat="1" applyFont="1" applyBorder="1" applyAlignment="1">
      <alignment horizontal="center" vertical="center"/>
    </xf>
    <xf numFmtId="2" fontId="8" fillId="24" borderId="19" xfId="0" applyNumberFormat="1" applyFont="1" applyFill="1" applyBorder="1" applyAlignment="1">
      <alignment horizontal="center"/>
    </xf>
    <xf numFmtId="0" fontId="23" fillId="0" borderId="0" xfId="0" applyFont="1" applyAlignment="1">
      <alignment horizontal="center" vertical="center"/>
    </xf>
    <xf numFmtId="3" fontId="35" fillId="19" borderId="0" xfId="20" applyNumberFormat="1" applyFont="1" applyFill="1" applyAlignment="1">
      <alignment horizontal="center" vertical="center"/>
    </xf>
    <xf numFmtId="3" fontId="36" fillId="19" borderId="0" xfId="20" applyNumberFormat="1" applyFont="1" applyFill="1" applyAlignment="1">
      <alignment horizontal="center" vertical="center"/>
    </xf>
    <xf numFmtId="3" fontId="36" fillId="19" borderId="0" xfId="0" applyNumberFormat="1" applyFont="1" applyFill="1" applyAlignment="1">
      <alignment horizontal="center" vertical="center"/>
    </xf>
    <xf numFmtId="3" fontId="35" fillId="0" borderId="0" xfId="0" applyNumberFormat="1" applyFont="1" applyAlignment="1">
      <alignment horizontal="center" vertical="center"/>
    </xf>
    <xf numFmtId="181" fontId="23" fillId="0" borderId="0" xfId="0" applyNumberFormat="1" applyFont="1" applyAlignment="1">
      <alignment horizontal="center" vertical="center"/>
    </xf>
    <xf numFmtId="4" fontId="35" fillId="19" borderId="0" xfId="0" applyNumberFormat="1" applyFont="1" applyFill="1" applyAlignment="1">
      <alignment horizontal="center" vertical="center"/>
    </xf>
    <xf numFmtId="4" fontId="35" fillId="19" borderId="0" xfId="20" applyNumberFormat="1" applyFont="1" applyFill="1" applyAlignment="1">
      <alignment horizontal="center" vertical="center"/>
    </xf>
    <xf numFmtId="3" fontId="23" fillId="19" borderId="0" xfId="0" applyNumberFormat="1" applyFont="1" applyFill="1" applyAlignment="1">
      <alignment horizontal="center" vertical="center"/>
    </xf>
    <xf numFmtId="0" fontId="0" fillId="0" borderId="0" xfId="0" applyAlignment="1">
      <alignment horizontal="center" vertical="center"/>
    </xf>
    <xf numFmtId="0" fontId="26" fillId="0" borderId="0" xfId="0" applyFont="1" applyAlignment="1">
      <alignment horizontal="center" vertical="center"/>
    </xf>
    <xf numFmtId="0" fontId="8" fillId="8" borderId="19" xfId="0" applyFont="1" applyFill="1" applyBorder="1" applyAlignment="1">
      <alignment horizontal="center" vertical="center" wrapText="1"/>
    </xf>
    <xf numFmtId="0" fontId="46" fillId="9" borderId="72" xfId="0" applyFont="1" applyFill="1" applyBorder="1" applyAlignment="1">
      <alignment horizontal="center" vertical="center" wrapText="1"/>
    </xf>
    <xf numFmtId="0" fontId="46" fillId="11" borderId="73" xfId="0" applyFont="1" applyFill="1" applyBorder="1" applyAlignment="1">
      <alignment horizontal="center" vertical="center" wrapText="1"/>
    </xf>
    <xf numFmtId="0" fontId="46" fillId="15" borderId="73" xfId="0" applyFont="1" applyFill="1" applyBorder="1" applyAlignment="1">
      <alignment horizontal="center" vertical="center" wrapText="1"/>
    </xf>
    <xf numFmtId="0" fontId="46" fillId="23" borderId="103" xfId="0" applyFont="1" applyFill="1" applyBorder="1" applyAlignment="1">
      <alignment horizontal="center" vertical="center" wrapText="1"/>
    </xf>
    <xf numFmtId="0" fontId="46" fillId="10" borderId="64" xfId="0" applyFont="1" applyFill="1" applyBorder="1" applyAlignment="1">
      <alignment horizontal="center" vertical="center" wrapText="1"/>
    </xf>
    <xf numFmtId="0" fontId="46" fillId="11" borderId="64" xfId="0" applyFont="1" applyFill="1" applyBorder="1" applyAlignment="1">
      <alignment horizontal="center" vertical="center" wrapText="1"/>
    </xf>
    <xf numFmtId="0" fontId="46" fillId="15" borderId="64" xfId="0" applyFont="1" applyFill="1" applyBorder="1" applyAlignment="1">
      <alignment horizontal="center" vertical="center" wrapText="1"/>
    </xf>
    <xf numFmtId="0" fontId="46" fillId="23" borderId="64" xfId="0" applyFont="1" applyFill="1" applyBorder="1" applyAlignment="1">
      <alignment horizontal="center" vertical="center" wrapText="1"/>
    </xf>
    <xf numFmtId="0" fontId="46" fillId="16" borderId="64" xfId="0" applyFont="1" applyFill="1" applyBorder="1" applyAlignment="1">
      <alignment horizontal="center" vertical="center" wrapText="1"/>
    </xf>
    <xf numFmtId="0" fontId="55" fillId="0" borderId="0" xfId="0" applyFont="1" applyAlignment="1">
      <alignment horizontal="center" vertical="center"/>
    </xf>
    <xf numFmtId="14" fontId="13" fillId="0" borderId="20" xfId="0" applyNumberFormat="1" applyFont="1" applyBorder="1" applyAlignment="1">
      <alignment horizontal="center" vertical="center"/>
    </xf>
    <xf numFmtId="14" fontId="13" fillId="0" borderId="54" xfId="0" applyNumberFormat="1" applyFont="1" applyBorder="1" applyAlignment="1">
      <alignment horizontal="center" vertical="center"/>
    </xf>
    <xf numFmtId="2" fontId="8" fillId="24" borderId="52" xfId="0" applyNumberFormat="1" applyFont="1" applyFill="1" applyBorder="1" applyAlignment="1">
      <alignment horizontal="center"/>
    </xf>
    <xf numFmtId="2" fontId="33" fillId="24" borderId="52" xfId="15" applyNumberFormat="1" applyFont="1" applyFill="1" applyBorder="1" applyAlignment="1">
      <alignment horizontal="center"/>
    </xf>
    <xf numFmtId="0" fontId="27" fillId="32" borderId="62" xfId="0" applyFont="1" applyFill="1" applyBorder="1" applyAlignment="1">
      <alignment horizontal="center"/>
    </xf>
    <xf numFmtId="0" fontId="13" fillId="0" borderId="62" xfId="0" applyFont="1" applyBorder="1" applyAlignment="1">
      <alignment horizontal="center"/>
    </xf>
    <xf numFmtId="178" fontId="13" fillId="24" borderId="23" xfId="0" applyNumberFormat="1" applyFont="1" applyFill="1" applyBorder="1" applyAlignment="1">
      <alignment horizontal="center"/>
    </xf>
    <xf numFmtId="2" fontId="33" fillId="24" borderId="62" xfId="15" applyNumberFormat="1" applyFont="1" applyFill="1" applyBorder="1" applyAlignment="1">
      <alignment horizontal="center"/>
    </xf>
    <xf numFmtId="10" fontId="62" fillId="8" borderId="62" xfId="0" applyNumberFormat="1" applyFont="1" applyFill="1" applyBorder="1" applyAlignment="1">
      <alignment horizontal="center"/>
    </xf>
    <xf numFmtId="0" fontId="8" fillId="0" borderId="0" xfId="0" applyFont="1" applyAlignment="1">
      <alignment horizontal="center"/>
    </xf>
    <xf numFmtId="10" fontId="8" fillId="0" borderId="127" xfId="0" applyNumberFormat="1" applyFont="1" applyBorder="1" applyAlignment="1">
      <alignment horizontal="center" vertical="center"/>
    </xf>
    <xf numFmtId="10" fontId="8" fillId="0" borderId="5" xfId="0" applyNumberFormat="1" applyFont="1" applyBorder="1" applyAlignment="1">
      <alignment horizontal="center" vertical="center"/>
    </xf>
    <xf numFmtId="10" fontId="0" fillId="0" borderId="122" xfId="0" applyNumberFormat="1" applyBorder="1" applyAlignment="1">
      <alignment horizontal="center" vertical="center"/>
    </xf>
    <xf numFmtId="10" fontId="0" fillId="0" borderId="120" xfId="0" applyNumberFormat="1" applyBorder="1" applyAlignment="1">
      <alignment horizontal="center" vertical="center"/>
    </xf>
    <xf numFmtId="10" fontId="0" fillId="0" borderId="126" xfId="0" applyNumberFormat="1" applyBorder="1" applyAlignment="1">
      <alignment horizontal="center" vertical="center"/>
    </xf>
    <xf numFmtId="10" fontId="8" fillId="0" borderId="120" xfId="0" applyNumberFormat="1" applyFont="1" applyBorder="1" applyAlignment="1">
      <alignment horizontal="center" vertical="center"/>
    </xf>
    <xf numFmtId="1" fontId="58" fillId="40" borderId="160" xfId="0" applyNumberFormat="1" applyFont="1" applyFill="1" applyBorder="1" applyAlignment="1">
      <alignment horizontal="center" vertical="center"/>
    </xf>
    <xf numFmtId="1" fontId="58" fillId="40" borderId="173" xfId="0" applyNumberFormat="1" applyFont="1" applyFill="1" applyBorder="1" applyAlignment="1">
      <alignment horizontal="center" vertical="center"/>
    </xf>
    <xf numFmtId="10" fontId="8" fillId="0" borderId="126" xfId="0" applyNumberFormat="1" applyFont="1" applyBorder="1" applyAlignment="1">
      <alignment horizontal="center" vertical="center"/>
    </xf>
    <xf numFmtId="10" fontId="8" fillId="0" borderId="122" xfId="0" applyNumberFormat="1" applyFont="1" applyBorder="1" applyAlignment="1">
      <alignment horizontal="center" vertical="center"/>
    </xf>
    <xf numFmtId="0" fontId="0" fillId="0" borderId="46" xfId="0" applyBorder="1" applyAlignment="1">
      <alignment horizontal="center"/>
    </xf>
    <xf numFmtId="178" fontId="0" fillId="0" borderId="46" xfId="0" applyNumberFormat="1" applyBorder="1" applyAlignment="1">
      <alignment horizontal="center"/>
    </xf>
    <xf numFmtId="179" fontId="63" fillId="0" borderId="46" xfId="15" applyNumberFormat="1" applyFont="1" applyBorder="1" applyAlignment="1">
      <alignment horizontal="center"/>
    </xf>
    <xf numFmtId="0" fontId="63" fillId="0" borderId="46" xfId="0" applyFont="1" applyBorder="1"/>
    <xf numFmtId="177" fontId="63" fillId="0" borderId="46" xfId="0" applyNumberFormat="1" applyFont="1" applyBorder="1" applyAlignment="1">
      <alignment horizontal="center"/>
    </xf>
    <xf numFmtId="9" fontId="0" fillId="0" borderId="0" xfId="15" applyFont="1" applyAlignment="1">
      <alignment horizontal="left"/>
    </xf>
    <xf numFmtId="4" fontId="5" fillId="0" borderId="45" xfId="28" applyNumberFormat="1" applyBorder="1" applyAlignment="1">
      <alignment horizontal="center"/>
    </xf>
    <xf numFmtId="0" fontId="53" fillId="0" borderId="177" xfId="0" applyFont="1" applyBorder="1"/>
    <xf numFmtId="0" fontId="53" fillId="0" borderId="35" xfId="0" applyFont="1" applyBorder="1"/>
    <xf numFmtId="3" fontId="58" fillId="0" borderId="156" xfId="0" applyNumberFormat="1" applyFont="1" applyBorder="1" applyAlignment="1">
      <alignment horizontal="center" vertical="center"/>
    </xf>
    <xf numFmtId="3" fontId="67" fillId="0" borderId="159" xfId="0" quotePrefix="1" applyNumberFormat="1" applyFont="1" applyBorder="1" applyAlignment="1">
      <alignment horizontal="center" vertical="center"/>
    </xf>
    <xf numFmtId="3" fontId="67" fillId="0" borderId="46" xfId="0" quotePrefix="1" applyNumberFormat="1" applyFont="1" applyBorder="1" applyAlignment="1">
      <alignment horizontal="center" vertical="center"/>
    </xf>
    <xf numFmtId="3" fontId="67" fillId="0" borderId="150" xfId="0" quotePrefix="1" applyNumberFormat="1" applyFont="1" applyBorder="1" applyAlignment="1">
      <alignment horizontal="center" vertical="center"/>
    </xf>
    <xf numFmtId="0" fontId="53" fillId="40" borderId="148" xfId="0" applyFont="1" applyFill="1" applyBorder="1" applyAlignment="1">
      <alignment horizontal="center" vertical="center"/>
    </xf>
    <xf numFmtId="0" fontId="53" fillId="40" borderId="2" xfId="0" applyFont="1" applyFill="1" applyBorder="1" applyAlignment="1">
      <alignment horizontal="center" vertical="center"/>
    </xf>
    <xf numFmtId="1" fontId="53" fillId="40" borderId="125" xfId="0" applyNumberFormat="1" applyFont="1" applyFill="1" applyBorder="1" applyAlignment="1">
      <alignment horizontal="center" vertical="center"/>
    </xf>
    <xf numFmtId="1" fontId="53" fillId="40" borderId="179" xfId="0" applyNumberFormat="1" applyFont="1" applyFill="1" applyBorder="1" applyAlignment="1">
      <alignment horizontal="center" vertical="center"/>
    </xf>
    <xf numFmtId="3" fontId="58" fillId="41" borderId="180" xfId="0" applyNumberFormat="1" applyFont="1" applyFill="1" applyBorder="1" applyAlignment="1">
      <alignment horizontal="center" vertical="center"/>
    </xf>
    <xf numFmtId="3" fontId="58" fillId="41" borderId="3" xfId="0" applyNumberFormat="1" applyFont="1" applyFill="1" applyBorder="1" applyAlignment="1">
      <alignment horizontal="center" vertical="center"/>
    </xf>
    <xf numFmtId="3" fontId="58" fillId="41" borderId="34" xfId="0" applyNumberFormat="1" applyFont="1" applyFill="1" applyBorder="1" applyAlignment="1">
      <alignment horizontal="center" vertical="center"/>
    </xf>
    <xf numFmtId="3" fontId="59" fillId="12" borderId="0" xfId="0" applyNumberFormat="1" applyFont="1" applyFill="1" applyAlignment="1">
      <alignment horizontal="center" vertical="center"/>
    </xf>
    <xf numFmtId="3" fontId="59" fillId="12" borderId="181" xfId="0" applyNumberFormat="1" applyFont="1" applyFill="1" applyBorder="1" applyAlignment="1">
      <alignment horizontal="center" vertical="center"/>
    </xf>
    <xf numFmtId="1" fontId="58" fillId="41" borderId="44" xfId="0" applyNumberFormat="1" applyFont="1" applyFill="1" applyBorder="1" applyAlignment="1">
      <alignment horizontal="center" vertical="center"/>
    </xf>
    <xf numFmtId="1" fontId="58" fillId="0" borderId="44" xfId="0" applyNumberFormat="1" applyFont="1" applyBorder="1" applyAlignment="1">
      <alignment horizontal="center" vertical="center"/>
    </xf>
    <xf numFmtId="0" fontId="8" fillId="0" borderId="44" xfId="0" quotePrefix="1" applyFont="1" applyBorder="1" applyAlignment="1">
      <alignment horizontal="center" vertical="center"/>
    </xf>
    <xf numFmtId="0" fontId="0" fillId="37" borderId="32" xfId="0" applyFill="1" applyBorder="1"/>
    <xf numFmtId="0" fontId="63" fillId="0" borderId="0" xfId="28" applyFont="1" applyAlignment="1">
      <alignment horizontal="center" vertical="center"/>
    </xf>
    <xf numFmtId="0" fontId="5" fillId="0" borderId="0" xfId="28"/>
    <xf numFmtId="0" fontId="5" fillId="0" borderId="36" xfId="28" applyBorder="1"/>
    <xf numFmtId="0" fontId="53" fillId="0" borderId="182" xfId="0" applyFont="1" applyBorder="1"/>
    <xf numFmtId="0" fontId="55" fillId="0" borderId="123" xfId="0" applyFont="1" applyBorder="1" applyAlignment="1">
      <alignment horizontal="center" vertical="center"/>
    </xf>
    <xf numFmtId="0" fontId="55" fillId="0" borderId="124" xfId="0" applyFont="1" applyBorder="1" applyAlignment="1">
      <alignment horizontal="center" vertical="center"/>
    </xf>
    <xf numFmtId="0" fontId="53" fillId="0" borderId="183" xfId="0" applyFont="1" applyBorder="1"/>
    <xf numFmtId="0" fontId="53" fillId="0" borderId="122" xfId="0" applyFont="1" applyBorder="1" applyAlignment="1">
      <alignment horizontal="center" vertical="center"/>
    </xf>
    <xf numFmtId="0" fontId="53" fillId="0" borderId="184" xfId="0" applyFont="1" applyBorder="1"/>
    <xf numFmtId="0" fontId="53" fillId="0" borderId="126" xfId="0" applyFont="1" applyBorder="1" applyAlignment="1">
      <alignment horizontal="center" vertical="center"/>
    </xf>
    <xf numFmtId="10" fontId="0" fillId="0" borderId="0" xfId="0" applyNumberFormat="1" applyAlignment="1">
      <alignment horizontal="center" vertical="center"/>
    </xf>
    <xf numFmtId="0" fontId="53" fillId="0" borderId="123" xfId="0" applyFont="1" applyBorder="1" applyAlignment="1">
      <alignment horizontal="center" vertical="center"/>
    </xf>
    <xf numFmtId="0" fontId="53" fillId="0" borderId="122" xfId="0" applyFont="1" applyBorder="1"/>
    <xf numFmtId="0" fontId="55" fillId="0" borderId="46" xfId="0" applyFont="1" applyBorder="1"/>
    <xf numFmtId="9" fontId="23" fillId="0" borderId="0" xfId="15" applyFont="1" applyAlignment="1">
      <alignment horizontal="center" vertical="center"/>
    </xf>
    <xf numFmtId="1" fontId="58" fillId="41" borderId="148" xfId="0" applyNumberFormat="1" applyFont="1" applyFill="1" applyBorder="1" applyAlignment="1">
      <alignment horizontal="center" vertical="center"/>
    </xf>
    <xf numFmtId="1" fontId="58" fillId="41" borderId="2" xfId="0" applyNumberFormat="1" applyFont="1" applyFill="1" applyBorder="1" applyAlignment="1">
      <alignment horizontal="center" vertical="center"/>
    </xf>
    <xf numFmtId="1" fontId="58" fillId="41" borderId="37" xfId="0" applyNumberFormat="1" applyFont="1" applyFill="1" applyBorder="1" applyAlignment="1">
      <alignment horizontal="center" vertical="center"/>
    </xf>
    <xf numFmtId="1" fontId="58" fillId="41" borderId="178" xfId="0" applyNumberFormat="1" applyFont="1" applyFill="1" applyBorder="1" applyAlignment="1">
      <alignment horizontal="center" vertical="center"/>
    </xf>
    <xf numFmtId="3" fontId="0" fillId="0" borderId="46" xfId="0" applyNumberFormat="1" applyBorder="1" applyAlignment="1">
      <alignment horizontal="center" vertical="center"/>
    </xf>
    <xf numFmtId="3" fontId="0" fillId="0" borderId="150" xfId="0" applyNumberFormat="1" applyBorder="1" applyAlignment="1">
      <alignment horizontal="center" vertical="center"/>
    </xf>
    <xf numFmtId="179" fontId="38" fillId="0" borderId="0" xfId="0" applyNumberFormat="1" applyFont="1"/>
    <xf numFmtId="10" fontId="8" fillId="0" borderId="123" xfId="0" applyNumberFormat="1" applyFont="1" applyBorder="1" applyAlignment="1">
      <alignment horizontal="center" vertical="center"/>
    </xf>
    <xf numFmtId="10" fontId="8" fillId="0" borderId="124" xfId="0" applyNumberFormat="1" applyFont="1" applyBorder="1" applyAlignment="1">
      <alignment horizontal="center" vertical="center"/>
    </xf>
    <xf numFmtId="10" fontId="53" fillId="0" borderId="122" xfId="0" applyNumberFormat="1" applyFont="1" applyBorder="1" applyAlignment="1">
      <alignment horizontal="center" vertical="center"/>
    </xf>
    <xf numFmtId="10" fontId="0" fillId="0" borderId="122" xfId="15" applyNumberFormat="1" applyFont="1" applyFill="1" applyBorder="1" applyAlignment="1">
      <alignment horizontal="center" vertical="center"/>
    </xf>
    <xf numFmtId="10" fontId="8" fillId="0" borderId="122" xfId="15" applyNumberFormat="1" applyFont="1" applyFill="1" applyBorder="1" applyAlignment="1">
      <alignment horizontal="center" vertical="center"/>
    </xf>
    <xf numFmtId="1" fontId="53" fillId="40" borderId="186" xfId="0" applyNumberFormat="1" applyFont="1" applyFill="1" applyBorder="1" applyAlignment="1">
      <alignment horizontal="center" vertical="center"/>
    </xf>
    <xf numFmtId="0" fontId="53" fillId="40" borderId="37" xfId="0" applyFont="1" applyFill="1" applyBorder="1" applyAlignment="1">
      <alignment horizontal="center" vertical="center"/>
    </xf>
    <xf numFmtId="1" fontId="0" fillId="0" borderId="187" xfId="0" applyNumberFormat="1" applyBorder="1" applyAlignment="1">
      <alignment horizontal="center" vertical="center"/>
    </xf>
    <xf numFmtId="1" fontId="0" fillId="0" borderId="45" xfId="0" applyNumberFormat="1" applyBorder="1" applyAlignment="1">
      <alignment horizontal="center" vertical="center"/>
    </xf>
    <xf numFmtId="1" fontId="53" fillId="0" borderId="45" xfId="0" applyNumberFormat="1" applyFont="1" applyBorder="1" applyAlignment="1">
      <alignment horizontal="center" vertical="center"/>
    </xf>
    <xf numFmtId="3" fontId="67" fillId="0" borderId="159" xfId="0" applyNumberFormat="1" applyFont="1" applyBorder="1" applyAlignment="1">
      <alignment horizontal="center" vertical="center"/>
    </xf>
    <xf numFmtId="2" fontId="0" fillId="24" borderId="62" xfId="0" applyNumberFormat="1" applyFill="1" applyBorder="1" applyAlignment="1">
      <alignment horizontal="center"/>
    </xf>
    <xf numFmtId="178" fontId="0" fillId="24" borderId="23" xfId="0" applyNumberFormat="1" applyFill="1" applyBorder="1" applyAlignment="1">
      <alignment horizontal="center"/>
    </xf>
    <xf numFmtId="10" fontId="0" fillId="8" borderId="23" xfId="24" applyNumberFormat="1" applyFont="1" applyFill="1" applyBorder="1" applyAlignment="1">
      <alignment horizontal="center"/>
    </xf>
    <xf numFmtId="179" fontId="0" fillId="8" borderId="23" xfId="24" applyNumberFormat="1" applyFont="1" applyFill="1" applyBorder="1" applyAlignment="1">
      <alignment horizontal="center"/>
    </xf>
    <xf numFmtId="179" fontId="0" fillId="8" borderId="23" xfId="15" quotePrefix="1" applyNumberFormat="1" applyFont="1" applyFill="1" applyBorder="1" applyAlignment="1">
      <alignment horizontal="center"/>
    </xf>
    <xf numFmtId="180" fontId="0" fillId="24" borderId="23" xfId="0" applyNumberFormat="1" applyFill="1" applyBorder="1" applyAlignment="1">
      <alignment horizontal="center"/>
    </xf>
    <xf numFmtId="180" fontId="0" fillId="24" borderId="23" xfId="15" applyNumberFormat="1" applyFont="1" applyFill="1" applyBorder="1" applyAlignment="1">
      <alignment horizontal="center"/>
    </xf>
    <xf numFmtId="179" fontId="0" fillId="24" borderId="23" xfId="15" applyNumberFormat="1" applyFont="1" applyFill="1" applyBorder="1" applyAlignment="1">
      <alignment horizontal="center"/>
    </xf>
    <xf numFmtId="2" fontId="0" fillId="24" borderId="23" xfId="15" applyNumberFormat="1" applyFont="1" applyFill="1" applyBorder="1" applyAlignment="1">
      <alignment horizontal="center"/>
    </xf>
    <xf numFmtId="179" fontId="0" fillId="8" borderId="23" xfId="15" applyNumberFormat="1" applyFont="1" applyFill="1" applyBorder="1" applyAlignment="1">
      <alignment horizontal="center"/>
    </xf>
    <xf numFmtId="0" fontId="0" fillId="0" borderId="22" xfId="0" quotePrefix="1" applyBorder="1"/>
    <xf numFmtId="10" fontId="0" fillId="8" borderId="23" xfId="15" applyNumberFormat="1" applyFont="1" applyFill="1" applyBorder="1" applyAlignment="1">
      <alignment horizontal="center"/>
    </xf>
    <xf numFmtId="4" fontId="0" fillId="8" borderId="23" xfId="0" applyNumberFormat="1" applyFill="1" applyBorder="1" applyAlignment="1">
      <alignment horizontal="center"/>
    </xf>
    <xf numFmtId="0" fontId="0" fillId="0" borderId="22" xfId="0" applyBorder="1"/>
    <xf numFmtId="0" fontId="0" fillId="8" borderId="23" xfId="0" applyFill="1" applyBorder="1" applyAlignment="1">
      <alignment horizontal="left" vertical="center" wrapText="1"/>
    </xf>
    <xf numFmtId="0" fontId="0" fillId="0" borderId="58" xfId="0" applyBorder="1" applyAlignment="1">
      <alignment horizontal="center" vertical="center"/>
    </xf>
    <xf numFmtId="186" fontId="0" fillId="0" borderId="0" xfId="0" applyNumberFormat="1" applyAlignment="1">
      <alignment horizontal="center"/>
    </xf>
    <xf numFmtId="1" fontId="58" fillId="0" borderId="148" xfId="0" applyNumberFormat="1" applyFont="1" applyBorder="1" applyAlignment="1">
      <alignment horizontal="center" vertical="center"/>
    </xf>
    <xf numFmtId="1" fontId="58" fillId="0" borderId="2" xfId="0" applyNumberFormat="1" applyFont="1" applyBorder="1" applyAlignment="1">
      <alignment horizontal="center" vertical="center"/>
    </xf>
    <xf numFmtId="1" fontId="58" fillId="0" borderId="178" xfId="0" applyNumberFormat="1" applyFont="1" applyBorder="1" applyAlignment="1">
      <alignment horizontal="center" vertical="center"/>
    </xf>
    <xf numFmtId="1" fontId="8" fillId="0" borderId="180" xfId="0" applyNumberFormat="1" applyFont="1" applyBorder="1" applyAlignment="1">
      <alignment horizontal="center" vertical="center"/>
    </xf>
    <xf numFmtId="10" fontId="69" fillId="35" borderId="116" xfId="25" applyNumberFormat="1" applyFont="1" applyFill="1" applyBorder="1"/>
    <xf numFmtId="185" fontId="8" fillId="0" borderId="116" xfId="25" applyNumberFormat="1" applyBorder="1"/>
    <xf numFmtId="179" fontId="53" fillId="0" borderId="0" xfId="15" applyNumberFormat="1" applyFont="1"/>
    <xf numFmtId="3" fontId="67" fillId="38" borderId="159" xfId="0" quotePrefix="1" applyNumberFormat="1" applyFont="1" applyFill="1" applyBorder="1" applyAlignment="1">
      <alignment horizontal="center" vertical="center"/>
    </xf>
    <xf numFmtId="3" fontId="67" fillId="38" borderId="46" xfId="0" quotePrefix="1" applyNumberFormat="1" applyFont="1" applyFill="1" applyBorder="1" applyAlignment="1">
      <alignment horizontal="center" vertical="center"/>
    </xf>
    <xf numFmtId="3" fontId="67" fillId="38" borderId="44" xfId="0" quotePrefix="1" applyNumberFormat="1" applyFont="1" applyFill="1" applyBorder="1" applyAlignment="1">
      <alignment horizontal="center" vertical="center"/>
    </xf>
    <xf numFmtId="3" fontId="25" fillId="38" borderId="159" xfId="0" applyNumberFormat="1" applyFont="1" applyFill="1" applyBorder="1" applyAlignment="1">
      <alignment horizontal="center" vertical="center"/>
    </xf>
    <xf numFmtId="3" fontId="25" fillId="38" borderId="46" xfId="0" applyNumberFormat="1" applyFont="1" applyFill="1" applyBorder="1" applyAlignment="1">
      <alignment horizontal="center" vertical="center"/>
    </xf>
    <xf numFmtId="3" fontId="25" fillId="38" borderId="44" xfId="0" applyNumberFormat="1" applyFont="1" applyFill="1" applyBorder="1" applyAlignment="1">
      <alignment horizontal="center" vertical="center"/>
    </xf>
    <xf numFmtId="0" fontId="67" fillId="38" borderId="159" xfId="0" applyFont="1" applyFill="1" applyBorder="1" applyAlignment="1">
      <alignment horizontal="center" vertical="center"/>
    </xf>
    <xf numFmtId="0" fontId="67" fillId="38" borderId="46" xfId="0" applyFont="1" applyFill="1" applyBorder="1" applyAlignment="1">
      <alignment horizontal="center" vertical="center"/>
    </xf>
    <xf numFmtId="0" fontId="67" fillId="38" borderId="44" xfId="0" applyFont="1" applyFill="1" applyBorder="1" applyAlignment="1">
      <alignment horizontal="center" vertical="center"/>
    </xf>
    <xf numFmtId="1" fontId="67" fillId="0" borderId="159" xfId="0" applyNumberFormat="1" applyFont="1" applyBorder="1" applyAlignment="1">
      <alignment horizontal="center" vertical="center"/>
    </xf>
    <xf numFmtId="1" fontId="67" fillId="0" borderId="46" xfId="0" quotePrefix="1" applyNumberFormat="1" applyFont="1" applyBorder="1" applyAlignment="1">
      <alignment horizontal="center" vertical="center"/>
    </xf>
    <xf numFmtId="1" fontId="67" fillId="0" borderId="150" xfId="0" quotePrefix="1" applyNumberFormat="1" applyFont="1" applyBorder="1" applyAlignment="1">
      <alignment horizontal="center" vertical="center"/>
    </xf>
    <xf numFmtId="1" fontId="25" fillId="0" borderId="159" xfId="0" applyNumberFormat="1" applyFont="1" applyBorder="1" applyAlignment="1">
      <alignment horizontal="center" vertical="center"/>
    </xf>
    <xf numFmtId="1" fontId="25" fillId="0" borderId="46" xfId="0" applyNumberFormat="1" applyFont="1" applyBorder="1" applyAlignment="1">
      <alignment horizontal="center" vertical="center"/>
    </xf>
    <xf numFmtId="1" fontId="25" fillId="0" borderId="150" xfId="0" applyNumberFormat="1" applyFont="1" applyBorder="1" applyAlignment="1">
      <alignment horizontal="center" vertical="center"/>
    </xf>
    <xf numFmtId="1" fontId="67" fillId="0" borderId="46" xfId="0" applyNumberFormat="1" applyFont="1" applyBorder="1" applyAlignment="1">
      <alignment horizontal="center" vertical="center"/>
    </xf>
    <xf numFmtId="1" fontId="67" fillId="0" borderId="150" xfId="0" applyNumberFormat="1" applyFont="1" applyBorder="1" applyAlignment="1">
      <alignment horizontal="center" vertical="center"/>
    </xf>
    <xf numFmtId="1" fontId="8" fillId="0" borderId="3" xfId="0" applyNumberFormat="1" applyFont="1" applyBorder="1" applyAlignment="1">
      <alignment horizontal="center" vertical="center"/>
    </xf>
    <xf numFmtId="1" fontId="8" fillId="0" borderId="34" xfId="0" applyNumberFormat="1" applyFont="1" applyBorder="1" applyAlignment="1">
      <alignment horizontal="center" vertical="center"/>
    </xf>
    <xf numFmtId="1" fontId="8" fillId="0" borderId="185" xfId="0" applyNumberFormat="1" applyFont="1" applyBorder="1" applyAlignment="1">
      <alignment horizontal="center" vertical="center"/>
    </xf>
    <xf numFmtId="0" fontId="64" fillId="0" borderId="0" xfId="0" applyFont="1" applyAlignment="1">
      <alignment horizontal="center"/>
    </xf>
    <xf numFmtId="1" fontId="64" fillId="0" borderId="0" xfId="0" applyNumberFormat="1" applyFont="1" applyAlignment="1">
      <alignment horizontal="center"/>
    </xf>
    <xf numFmtId="1" fontId="70" fillId="0" borderId="0" xfId="0" applyNumberFormat="1" applyFont="1" applyAlignment="1">
      <alignment horizontal="left"/>
    </xf>
    <xf numFmtId="0" fontId="8" fillId="0" borderId="0" xfId="25" applyAlignment="1">
      <alignment vertical="center" wrapText="1"/>
    </xf>
    <xf numFmtId="3" fontId="51" fillId="34" borderId="118" xfId="5" applyFont="1" applyFill="1" applyBorder="1" applyAlignment="1">
      <alignment horizontal="right" vertical="center" wrapText="1"/>
    </xf>
    <xf numFmtId="4" fontId="8" fillId="34" borderId="118" xfId="7" applyFont="1" applyFill="1" applyBorder="1" applyAlignment="1">
      <alignment horizontal="right" vertical="center" wrapText="1"/>
    </xf>
    <xf numFmtId="4" fontId="32" fillId="0" borderId="116" xfId="7" applyFont="1" applyFill="1" applyBorder="1" applyAlignment="1">
      <alignment horizontal="right" vertical="center" wrapText="1"/>
    </xf>
    <xf numFmtId="0" fontId="8" fillId="0" borderId="116" xfId="10" applyFont="1" applyFill="1" applyBorder="1" applyAlignment="1">
      <alignment horizontal="right" vertical="center" wrapText="1"/>
    </xf>
    <xf numFmtId="0" fontId="20" fillId="0" borderId="0" xfId="8" applyFill="1" applyBorder="1" applyAlignment="1">
      <alignment wrapText="1"/>
    </xf>
    <xf numFmtId="0" fontId="8" fillId="0" borderId="0" xfId="25" applyAlignment="1">
      <alignment wrapText="1"/>
    </xf>
    <xf numFmtId="0" fontId="0" fillId="0" borderId="0" xfId="0" applyAlignment="1">
      <alignment wrapText="1"/>
    </xf>
    <xf numFmtId="9" fontId="0" fillId="8" borderId="23" xfId="15" applyFont="1" applyFill="1" applyBorder="1" applyAlignment="1">
      <alignment horizontal="center"/>
    </xf>
    <xf numFmtId="0" fontId="0" fillId="0" borderId="0" xfId="25" applyFont="1"/>
    <xf numFmtId="2" fontId="8" fillId="0" borderId="0" xfId="25" applyNumberFormat="1"/>
    <xf numFmtId="2" fontId="0" fillId="0" borderId="0" xfId="25" applyNumberFormat="1" applyFont="1"/>
    <xf numFmtId="0" fontId="58" fillId="0" borderId="0" xfId="0" applyFont="1"/>
    <xf numFmtId="0" fontId="58" fillId="0" borderId="0" xfId="0" applyFont="1" applyAlignment="1">
      <alignment horizontal="center"/>
    </xf>
    <xf numFmtId="178" fontId="8" fillId="0" borderId="0" xfId="0" applyNumberFormat="1" applyFont="1"/>
    <xf numFmtId="177" fontId="8" fillId="0" borderId="0" xfId="0" applyNumberFormat="1" applyFont="1"/>
    <xf numFmtId="178" fontId="26" fillId="0" borderId="0" xfId="0" applyNumberFormat="1" applyFont="1"/>
    <xf numFmtId="179" fontId="8" fillId="24" borderId="19" xfId="15" applyNumberFormat="1" applyFont="1" applyFill="1" applyBorder="1" applyAlignment="1">
      <alignment horizontal="center"/>
    </xf>
    <xf numFmtId="184" fontId="34" fillId="24" borderId="102" xfId="0" applyNumberFormat="1" applyFont="1" applyFill="1" applyBorder="1" applyAlignment="1">
      <alignment horizontal="center"/>
    </xf>
    <xf numFmtId="0" fontId="46" fillId="9" borderId="72" xfId="0" applyFont="1" applyFill="1" applyBorder="1" applyAlignment="1">
      <alignment horizontal="center" vertical="center"/>
    </xf>
    <xf numFmtId="0" fontId="46" fillId="31" borderId="72" xfId="0" applyFont="1" applyFill="1" applyBorder="1" applyAlignment="1">
      <alignment horizontal="center" vertical="center"/>
    </xf>
    <xf numFmtId="4" fontId="25" fillId="9" borderId="116" xfId="7" applyFont="1" applyFill="1" applyBorder="1" applyAlignment="1">
      <alignment horizontal="right" vertical="center"/>
    </xf>
    <xf numFmtId="0" fontId="8" fillId="12" borderId="116" xfId="10" applyFont="1" applyFill="1" applyBorder="1" applyAlignment="1">
      <alignment horizontal="right" vertical="center"/>
    </xf>
    <xf numFmtId="0" fontId="46" fillId="5" borderId="144" xfId="0" applyFont="1" applyFill="1" applyBorder="1" applyAlignment="1">
      <alignment horizontal="center"/>
    </xf>
    <xf numFmtId="0" fontId="27" fillId="32" borderId="10" xfId="0" applyFont="1" applyFill="1" applyBorder="1" applyAlignment="1">
      <alignment horizontal="center"/>
    </xf>
    <xf numFmtId="0" fontId="0" fillId="8" borderId="191" xfId="0" applyFill="1" applyBorder="1" applyAlignment="1">
      <alignment vertical="center" wrapText="1"/>
    </xf>
    <xf numFmtId="0" fontId="0" fillId="8" borderId="188" xfId="0" applyFill="1" applyBorder="1" applyAlignment="1">
      <alignment vertical="center" wrapText="1"/>
    </xf>
    <xf numFmtId="0" fontId="46" fillId="5" borderId="129" xfId="0" applyFont="1" applyFill="1" applyBorder="1" applyAlignment="1">
      <alignment horizontal="center"/>
    </xf>
    <xf numFmtId="0" fontId="27" fillId="32" borderId="191" xfId="0" applyFont="1" applyFill="1" applyBorder="1" applyAlignment="1">
      <alignment horizontal="center"/>
    </xf>
    <xf numFmtId="0" fontId="0" fillId="8" borderId="191" xfId="0" applyFill="1" applyBorder="1" applyAlignment="1">
      <alignment horizontal="left"/>
    </xf>
    <xf numFmtId="0" fontId="0" fillId="8" borderId="188" xfId="0" applyFill="1" applyBorder="1" applyAlignment="1">
      <alignment horizontal="left"/>
    </xf>
    <xf numFmtId="0" fontId="13" fillId="17" borderId="105" xfId="0" applyFont="1" applyFill="1" applyBorder="1" applyAlignment="1">
      <alignment horizontal="left" vertical="center"/>
    </xf>
    <xf numFmtId="184" fontId="0" fillId="17" borderId="101" xfId="0" applyNumberFormat="1" applyFill="1" applyBorder="1" applyAlignment="1">
      <alignment horizontal="center"/>
    </xf>
    <xf numFmtId="0" fontId="13" fillId="17" borderId="106" xfId="0" applyFont="1" applyFill="1" applyBorder="1" applyAlignment="1">
      <alignment horizontal="left" vertical="center"/>
    </xf>
    <xf numFmtId="9" fontId="0" fillId="17" borderId="102" xfId="15" applyFont="1" applyFill="1" applyBorder="1" applyAlignment="1">
      <alignment horizontal="center"/>
    </xf>
    <xf numFmtId="9" fontId="8" fillId="17" borderId="101" xfId="15" applyFont="1" applyFill="1" applyBorder="1" applyAlignment="1">
      <alignment horizontal="center"/>
    </xf>
    <xf numFmtId="9" fontId="0" fillId="17" borderId="101" xfId="15" applyFont="1" applyFill="1" applyBorder="1" applyAlignment="1">
      <alignment horizontal="center"/>
    </xf>
    <xf numFmtId="2" fontId="8" fillId="17" borderId="102" xfId="0" applyNumberFormat="1" applyFont="1" applyFill="1" applyBorder="1" applyAlignment="1">
      <alignment horizontal="center" vertical="center"/>
    </xf>
    <xf numFmtId="2" fontId="0" fillId="17" borderId="102" xfId="0" applyNumberFormat="1" applyFill="1" applyBorder="1" applyAlignment="1">
      <alignment horizontal="center"/>
    </xf>
    <xf numFmtId="0" fontId="13" fillId="17" borderId="104" xfId="0" applyFont="1" applyFill="1" applyBorder="1" applyAlignment="1">
      <alignment horizontal="left" vertical="center"/>
    </xf>
    <xf numFmtId="2" fontId="0" fillId="17" borderId="100" xfId="0" applyNumberFormat="1" applyFill="1" applyBorder="1" applyAlignment="1">
      <alignment horizontal="center"/>
    </xf>
    <xf numFmtId="2" fontId="8" fillId="17" borderId="102" xfId="0" applyNumberFormat="1" applyFont="1" applyFill="1" applyBorder="1" applyAlignment="1">
      <alignment horizontal="center"/>
    </xf>
    <xf numFmtId="180" fontId="0" fillId="17" borderId="102" xfId="0" applyNumberFormat="1" applyFill="1" applyBorder="1" applyAlignment="1">
      <alignment horizontal="center"/>
    </xf>
    <xf numFmtId="9" fontId="0" fillId="0" borderId="100" xfId="15" applyFont="1" applyFill="1" applyBorder="1" applyAlignment="1">
      <alignment horizontal="center"/>
    </xf>
    <xf numFmtId="0" fontId="13" fillId="0" borderId="106" xfId="0" applyFont="1" applyBorder="1" applyAlignment="1">
      <alignment horizontal="left" vertical="center"/>
    </xf>
    <xf numFmtId="9" fontId="0" fillId="0" borderId="102" xfId="15" applyFont="1" applyFill="1" applyBorder="1" applyAlignment="1">
      <alignment horizontal="center"/>
    </xf>
    <xf numFmtId="2" fontId="0" fillId="0" borderId="100" xfId="0" applyNumberFormat="1" applyBorder="1" applyAlignment="1">
      <alignment horizontal="center"/>
    </xf>
    <xf numFmtId="0" fontId="13" fillId="0" borderId="105" xfId="0" applyFont="1" applyBorder="1" applyAlignment="1">
      <alignment horizontal="left" vertical="center"/>
    </xf>
    <xf numFmtId="2" fontId="0" fillId="0" borderId="102" xfId="0" applyNumberFormat="1" applyBorder="1" applyAlignment="1">
      <alignment horizontal="center"/>
    </xf>
    <xf numFmtId="2" fontId="8" fillId="17" borderId="100" xfId="0" applyNumberFormat="1" applyFont="1" applyFill="1" applyBorder="1" applyAlignment="1">
      <alignment horizontal="center"/>
    </xf>
    <xf numFmtId="2" fontId="0" fillId="17" borderId="101" xfId="0" applyNumberFormat="1" applyFill="1" applyBorder="1" applyAlignment="1">
      <alignment horizontal="center"/>
    </xf>
    <xf numFmtId="0" fontId="14" fillId="17" borderId="106" xfId="0" applyFont="1" applyFill="1" applyBorder="1" applyAlignment="1">
      <alignment horizontal="left" vertical="center"/>
    </xf>
    <xf numFmtId="2" fontId="0" fillId="17" borderId="102" xfId="15" applyNumberFormat="1" applyFont="1" applyFill="1" applyBorder="1" applyAlignment="1">
      <alignment horizontal="center"/>
    </xf>
    <xf numFmtId="187" fontId="0" fillId="17" borderId="102" xfId="0" applyNumberFormat="1" applyFill="1" applyBorder="1" applyAlignment="1">
      <alignment horizontal="center"/>
    </xf>
    <xf numFmtId="0" fontId="13" fillId="0" borderId="108" xfId="0" applyFont="1" applyBorder="1" applyAlignment="1">
      <alignment horizontal="left" vertical="center"/>
    </xf>
    <xf numFmtId="9" fontId="0" fillId="0" borderId="109" xfId="15" applyFont="1" applyFill="1" applyBorder="1" applyAlignment="1">
      <alignment horizontal="center"/>
    </xf>
    <xf numFmtId="10" fontId="8" fillId="0" borderId="101" xfId="15" applyNumberFormat="1" applyFont="1" applyFill="1" applyBorder="1" applyAlignment="1">
      <alignment horizontal="center"/>
    </xf>
    <xf numFmtId="10" fontId="0" fillId="0" borderId="101" xfId="15" applyNumberFormat="1" applyFont="1" applyFill="1" applyBorder="1" applyAlignment="1">
      <alignment horizontal="center"/>
    </xf>
    <xf numFmtId="180" fontId="0" fillId="0" borderId="101" xfId="0" applyNumberFormat="1" applyBorder="1" applyAlignment="1">
      <alignment horizontal="center"/>
    </xf>
    <xf numFmtId="180" fontId="8" fillId="0" borderId="100" xfId="0" applyNumberFormat="1" applyFont="1" applyBorder="1" applyAlignment="1">
      <alignment horizontal="center"/>
    </xf>
    <xf numFmtId="180" fontId="0" fillId="0" borderId="100" xfId="0" applyNumberFormat="1" applyBorder="1" applyAlignment="1">
      <alignment horizontal="center"/>
    </xf>
    <xf numFmtId="2" fontId="0" fillId="0" borderId="101" xfId="0" applyNumberFormat="1" applyBorder="1" applyAlignment="1">
      <alignment horizontal="center"/>
    </xf>
    <xf numFmtId="180" fontId="0" fillId="0" borderId="102" xfId="0" applyNumberFormat="1" applyBorder="1" applyAlignment="1">
      <alignment horizontal="center"/>
    </xf>
    <xf numFmtId="179" fontId="0" fillId="0" borderId="100" xfId="15" applyNumberFormat="1" applyFont="1" applyFill="1" applyBorder="1" applyAlignment="1">
      <alignment horizontal="center"/>
    </xf>
    <xf numFmtId="9" fontId="26" fillId="31" borderId="74" xfId="15" applyFont="1" applyFill="1" applyBorder="1" applyAlignment="1">
      <alignment horizontal="center" vertical="center"/>
    </xf>
    <xf numFmtId="9" fontId="26" fillId="18" borderId="208" xfId="15" applyFont="1" applyFill="1" applyBorder="1" applyAlignment="1">
      <alignment horizontal="center"/>
    </xf>
    <xf numFmtId="9" fontId="26" fillId="18" borderId="107" xfId="15" applyFont="1" applyFill="1" applyBorder="1" applyAlignment="1">
      <alignment horizontal="center"/>
    </xf>
    <xf numFmtId="9" fontId="26" fillId="18" borderId="209" xfId="15" applyFont="1" applyFill="1" applyBorder="1" applyAlignment="1">
      <alignment horizontal="center"/>
    </xf>
    <xf numFmtId="0" fontId="26" fillId="31" borderId="74" xfId="0" applyFont="1" applyFill="1" applyBorder="1" applyAlignment="1">
      <alignment horizontal="center" vertical="center"/>
    </xf>
    <xf numFmtId="2" fontId="26" fillId="18" borderId="107" xfId="0" applyNumberFormat="1" applyFont="1" applyFill="1" applyBorder="1" applyAlignment="1">
      <alignment horizontal="center"/>
    </xf>
    <xf numFmtId="2" fontId="26" fillId="18" borderId="209" xfId="0" applyNumberFormat="1" applyFont="1" applyFill="1" applyBorder="1" applyAlignment="1">
      <alignment horizontal="center"/>
    </xf>
    <xf numFmtId="2" fontId="26" fillId="31" borderId="74" xfId="15" applyNumberFormat="1" applyFont="1" applyFill="1" applyBorder="1" applyAlignment="1">
      <alignment horizontal="center" vertical="center"/>
    </xf>
    <xf numFmtId="2" fontId="26" fillId="18" borderId="208" xfId="0" applyNumberFormat="1" applyFont="1" applyFill="1" applyBorder="1" applyAlignment="1">
      <alignment horizontal="center"/>
    </xf>
    <xf numFmtId="10" fontId="26" fillId="31" borderId="74" xfId="0" applyNumberFormat="1" applyFont="1" applyFill="1" applyBorder="1" applyAlignment="1">
      <alignment horizontal="center" vertical="center"/>
    </xf>
    <xf numFmtId="182" fontId="26" fillId="31" borderId="74" xfId="18" applyNumberFormat="1" applyFont="1" applyFill="1" applyBorder="1" applyAlignment="1">
      <alignment horizontal="center" vertical="center"/>
    </xf>
    <xf numFmtId="2" fontId="26" fillId="18" borderId="107" xfId="15" applyNumberFormat="1" applyFont="1" applyFill="1" applyBorder="1" applyAlignment="1">
      <alignment horizontal="center"/>
    </xf>
    <xf numFmtId="0" fontId="26" fillId="31" borderId="74" xfId="0" applyFont="1" applyFill="1" applyBorder="1" applyAlignment="1">
      <alignment horizontal="center"/>
    </xf>
    <xf numFmtId="9" fontId="26" fillId="18" borderId="76" xfId="15" applyFont="1" applyFill="1" applyBorder="1" applyAlignment="1">
      <alignment horizontal="center"/>
    </xf>
    <xf numFmtId="0" fontId="13" fillId="0" borderId="94" xfId="0" applyFont="1" applyBorder="1" applyAlignment="1">
      <alignment horizontal="left"/>
    </xf>
    <xf numFmtId="9" fontId="8" fillId="0" borderId="210" xfId="0" applyNumberFormat="1" applyFont="1" applyBorder="1" applyAlignment="1">
      <alignment horizontal="center"/>
    </xf>
    <xf numFmtId="3" fontId="53" fillId="0" borderId="148" xfId="0" applyNumberFormat="1" applyFont="1" applyBorder="1" applyAlignment="1">
      <alignment horizontal="center" vertical="center"/>
    </xf>
    <xf numFmtId="3" fontId="53" fillId="8" borderId="149" xfId="0" applyNumberFormat="1" applyFont="1" applyFill="1" applyBorder="1" applyAlignment="1">
      <alignment horizontal="center" vertical="center"/>
    </xf>
    <xf numFmtId="0" fontId="53" fillId="0" borderId="211" xfId="0" applyFont="1" applyBorder="1"/>
    <xf numFmtId="4" fontId="5" fillId="0" borderId="212" xfId="28" applyNumberFormat="1" applyBorder="1" applyAlignment="1">
      <alignment horizontal="center"/>
    </xf>
    <xf numFmtId="0" fontId="53" fillId="0" borderId="43" xfId="0" applyFont="1" applyBorder="1"/>
    <xf numFmtId="10" fontId="5" fillId="0" borderId="0" xfId="28" quotePrefix="1" applyNumberFormat="1" applyAlignment="1">
      <alignment horizontal="right"/>
    </xf>
    <xf numFmtId="0" fontId="58" fillId="0" borderId="158" xfId="0" applyFont="1" applyBorder="1" applyAlignment="1">
      <alignment horizontal="center" vertical="center"/>
    </xf>
    <xf numFmtId="0" fontId="58" fillId="0" borderId="150" xfId="0" applyFont="1" applyBorder="1" applyAlignment="1">
      <alignment horizontal="center" vertical="center"/>
    </xf>
    <xf numFmtId="3" fontId="58" fillId="40" borderId="150" xfId="0" applyNumberFormat="1" applyFont="1" applyFill="1" applyBorder="1" applyAlignment="1">
      <alignment horizontal="center" vertical="center"/>
    </xf>
    <xf numFmtId="0" fontId="58" fillId="41" borderId="150" xfId="0" applyFont="1" applyFill="1" applyBorder="1" applyAlignment="1">
      <alignment horizontal="center" vertical="center"/>
    </xf>
    <xf numFmtId="3" fontId="58" fillId="40" borderId="150" xfId="0" quotePrefix="1" applyNumberFormat="1" applyFont="1" applyFill="1" applyBorder="1" applyAlignment="1">
      <alignment horizontal="center" vertical="center"/>
    </xf>
    <xf numFmtId="3" fontId="58" fillId="0" borderId="150" xfId="0" applyNumberFormat="1" applyFont="1" applyBorder="1" applyAlignment="1">
      <alignment horizontal="center" vertical="center"/>
    </xf>
    <xf numFmtId="3" fontId="58" fillId="41" borderId="185" xfId="0" applyNumberFormat="1" applyFont="1" applyFill="1" applyBorder="1" applyAlignment="1">
      <alignment horizontal="center" vertical="center"/>
    </xf>
    <xf numFmtId="1" fontId="53" fillId="40" borderId="213" xfId="0" applyNumberFormat="1" applyFont="1" applyFill="1" applyBorder="1" applyAlignment="1">
      <alignment horizontal="center" vertical="center"/>
    </xf>
    <xf numFmtId="1" fontId="53" fillId="40" borderId="180" xfId="0" applyNumberFormat="1" applyFont="1" applyFill="1" applyBorder="1" applyAlignment="1">
      <alignment horizontal="center" vertical="center"/>
    </xf>
    <xf numFmtId="1" fontId="53" fillId="40" borderId="3" xfId="0" applyNumberFormat="1" applyFont="1" applyFill="1" applyBorder="1" applyAlignment="1">
      <alignment horizontal="center" vertical="center"/>
    </xf>
    <xf numFmtId="1" fontId="53" fillId="40" borderId="34" xfId="0" applyNumberFormat="1" applyFont="1" applyFill="1" applyBorder="1" applyAlignment="1">
      <alignment horizontal="center" vertical="center"/>
    </xf>
    <xf numFmtId="1" fontId="0" fillId="0" borderId="180" xfId="0" applyNumberFormat="1" applyBorder="1" applyAlignment="1">
      <alignment horizontal="center" vertical="center"/>
    </xf>
    <xf numFmtId="1" fontId="0" fillId="0" borderId="3" xfId="0" applyNumberFormat="1" applyBorder="1" applyAlignment="1">
      <alignment horizontal="center" vertical="center"/>
    </xf>
    <xf numFmtId="1" fontId="0" fillId="0" borderId="185" xfId="0" applyNumberFormat="1" applyBorder="1" applyAlignment="1">
      <alignment horizontal="center" vertical="center"/>
    </xf>
    <xf numFmtId="1" fontId="0" fillId="0" borderId="35" xfId="0" applyNumberFormat="1" applyBorder="1" applyAlignment="1">
      <alignment horizontal="center" vertical="center"/>
    </xf>
    <xf numFmtId="0" fontId="53" fillId="0" borderId="149" xfId="0" applyFont="1" applyBorder="1" applyAlignment="1">
      <alignment horizontal="center" vertical="center"/>
    </xf>
    <xf numFmtId="1" fontId="53" fillId="0" borderId="148" xfId="0" applyNumberFormat="1" applyFont="1" applyBorder="1" applyAlignment="1">
      <alignment horizontal="center" vertical="center"/>
    </xf>
    <xf numFmtId="1" fontId="53" fillId="0" borderId="2" xfId="0" applyNumberFormat="1" applyFont="1" applyBorder="1" applyAlignment="1">
      <alignment horizontal="center" vertical="center"/>
    </xf>
    <xf numFmtId="1" fontId="53" fillId="0" borderId="178" xfId="0" applyNumberFormat="1" applyFont="1" applyBorder="1" applyAlignment="1">
      <alignment horizontal="center" vertical="center"/>
    </xf>
    <xf numFmtId="1" fontId="53" fillId="0" borderId="38" xfId="0" applyNumberFormat="1" applyFont="1" applyBorder="1" applyAlignment="1">
      <alignment horizontal="center" vertical="center"/>
    </xf>
    <xf numFmtId="4" fontId="5" fillId="0" borderId="185" xfId="28" applyNumberFormat="1" applyBorder="1" applyAlignment="1">
      <alignment horizontal="center"/>
    </xf>
    <xf numFmtId="4" fontId="5" fillId="0" borderId="180" xfId="28" applyNumberFormat="1" applyBorder="1" applyAlignment="1">
      <alignment horizontal="center"/>
    </xf>
    <xf numFmtId="4" fontId="5" fillId="0" borderId="3" xfId="28" applyNumberFormat="1" applyBorder="1" applyAlignment="1">
      <alignment horizontal="center"/>
    </xf>
    <xf numFmtId="4" fontId="5" fillId="0" borderId="35" xfId="28" applyNumberFormat="1" applyBorder="1" applyAlignment="1">
      <alignment horizontal="center"/>
    </xf>
    <xf numFmtId="0" fontId="27" fillId="0" borderId="0" xfId="25" applyFont="1" applyAlignment="1">
      <alignment horizontal="center" vertical="center"/>
    </xf>
    <xf numFmtId="4" fontId="25" fillId="0" borderId="0" xfId="7" applyFont="1" applyFill="1" applyBorder="1">
      <alignment horizontal="right"/>
    </xf>
    <xf numFmtId="0" fontId="46" fillId="31" borderId="65" xfId="0" applyFont="1" applyFill="1" applyBorder="1" applyAlignment="1">
      <alignment horizontal="left" vertical="center"/>
    </xf>
    <xf numFmtId="10" fontId="0" fillId="0" borderId="51" xfId="0" applyNumberFormat="1" applyBorder="1" applyAlignment="1">
      <alignment horizontal="center" vertical="center"/>
    </xf>
    <xf numFmtId="0" fontId="13" fillId="8" borderId="108" xfId="0" applyFont="1" applyFill="1" applyBorder="1" applyAlignment="1">
      <alignment horizontal="left" vertical="center"/>
    </xf>
    <xf numFmtId="10" fontId="0" fillId="8" borderId="109" xfId="15" applyNumberFormat="1" applyFont="1" applyFill="1" applyBorder="1" applyAlignment="1">
      <alignment horizontal="center" vertical="center"/>
    </xf>
    <xf numFmtId="10" fontId="0" fillId="8" borderId="110" xfId="15" applyNumberFormat="1" applyFont="1" applyFill="1" applyBorder="1" applyAlignment="1">
      <alignment horizontal="center" vertical="center"/>
    </xf>
    <xf numFmtId="0" fontId="46" fillId="0" borderId="0" xfId="0" applyFont="1" applyAlignment="1">
      <alignment horizontal="left" vertical="center"/>
    </xf>
    <xf numFmtId="10" fontId="0" fillId="0" borderId="0" xfId="15" applyNumberFormat="1" applyFont="1" applyFill="1" applyBorder="1" applyAlignment="1">
      <alignment horizontal="center" vertical="center"/>
    </xf>
    <xf numFmtId="0" fontId="57" fillId="36" borderId="76" xfId="0" applyFont="1" applyFill="1" applyBorder="1" applyAlignment="1">
      <alignment horizontal="center" vertical="center"/>
    </xf>
    <xf numFmtId="0" fontId="0" fillId="31" borderId="74" xfId="0" applyFill="1" applyBorder="1" applyAlignment="1">
      <alignment horizontal="center"/>
    </xf>
    <xf numFmtId="9" fontId="0" fillId="0" borderId="208" xfId="15" applyFont="1" applyFill="1" applyBorder="1" applyAlignment="1">
      <alignment horizontal="center"/>
    </xf>
    <xf numFmtId="9" fontId="0" fillId="17" borderId="107" xfId="15" applyFont="1" applyFill="1" applyBorder="1" applyAlignment="1">
      <alignment horizontal="center"/>
    </xf>
    <xf numFmtId="9" fontId="0" fillId="0" borderId="107" xfId="15" applyFont="1" applyFill="1" applyBorder="1" applyAlignment="1">
      <alignment horizontal="center"/>
    </xf>
    <xf numFmtId="9" fontId="0" fillId="17" borderId="209" xfId="15" applyFont="1" applyFill="1" applyBorder="1" applyAlignment="1">
      <alignment horizontal="center"/>
    </xf>
    <xf numFmtId="2" fontId="0" fillId="0" borderId="208" xfId="0" applyNumberFormat="1" applyBorder="1" applyAlignment="1">
      <alignment horizontal="center"/>
    </xf>
    <xf numFmtId="2" fontId="0" fillId="17" borderId="107" xfId="0" applyNumberFormat="1" applyFill="1" applyBorder="1" applyAlignment="1">
      <alignment horizontal="center"/>
    </xf>
    <xf numFmtId="2" fontId="0" fillId="0" borderId="209" xfId="0" applyNumberFormat="1" applyBorder="1" applyAlignment="1">
      <alignment horizontal="center"/>
    </xf>
    <xf numFmtId="2" fontId="0" fillId="17" borderId="208" xfId="0" applyNumberFormat="1" applyFill="1" applyBorder="1" applyAlignment="1">
      <alignment horizontal="center"/>
    </xf>
    <xf numFmtId="2" fontId="0" fillId="0" borderId="107" xfId="0" applyNumberFormat="1" applyBorder="1" applyAlignment="1">
      <alignment horizontal="center"/>
    </xf>
    <xf numFmtId="2" fontId="0" fillId="17" borderId="209" xfId="0" applyNumberFormat="1" applyFill="1" applyBorder="1" applyAlignment="1">
      <alignment horizontal="center"/>
    </xf>
    <xf numFmtId="180" fontId="0" fillId="0" borderId="208" xfId="0" applyNumberFormat="1" applyBorder="1" applyAlignment="1">
      <alignment horizontal="center"/>
    </xf>
    <xf numFmtId="180" fontId="0" fillId="17" borderId="107" xfId="0" applyNumberFormat="1" applyFill="1" applyBorder="1" applyAlignment="1">
      <alignment horizontal="center"/>
    </xf>
    <xf numFmtId="180" fontId="0" fillId="0" borderId="107" xfId="0" applyNumberFormat="1" applyBorder="1" applyAlignment="1">
      <alignment horizontal="center"/>
    </xf>
    <xf numFmtId="180" fontId="0" fillId="0" borderId="209" xfId="0" applyNumberFormat="1" applyBorder="1" applyAlignment="1">
      <alignment horizontal="center"/>
    </xf>
    <xf numFmtId="179" fontId="0" fillId="0" borderId="208" xfId="15" applyNumberFormat="1" applyFont="1" applyFill="1" applyBorder="1" applyAlignment="1">
      <alignment horizontal="center"/>
    </xf>
    <xf numFmtId="2" fontId="0" fillId="17" borderId="107" xfId="15" applyNumberFormat="1" applyFont="1" applyFill="1" applyBorder="1" applyAlignment="1">
      <alignment horizontal="center"/>
    </xf>
    <xf numFmtId="10" fontId="0" fillId="0" borderId="209" xfId="15" applyNumberFormat="1" applyFont="1" applyFill="1" applyBorder="1" applyAlignment="1">
      <alignment horizontal="center"/>
    </xf>
    <xf numFmtId="10" fontId="0" fillId="17" borderId="107" xfId="15" applyNumberFormat="1" applyFont="1" applyFill="1" applyBorder="1" applyAlignment="1">
      <alignment horizontal="center" vertical="center"/>
    </xf>
    <xf numFmtId="187" fontId="0" fillId="8" borderId="107" xfId="0" applyNumberFormat="1" applyFill="1" applyBorder="1" applyAlignment="1">
      <alignment horizontal="right" vertical="center"/>
    </xf>
    <xf numFmtId="187" fontId="0" fillId="17" borderId="107" xfId="0" applyNumberFormat="1" applyFill="1" applyBorder="1" applyAlignment="1">
      <alignment horizontal="center"/>
    </xf>
    <xf numFmtId="9" fontId="0" fillId="0" borderId="110" xfId="15" applyFont="1" applyFill="1" applyBorder="1" applyAlignment="1">
      <alignment horizontal="center"/>
    </xf>
    <xf numFmtId="0" fontId="72" fillId="36" borderId="74" xfId="0" applyFont="1" applyFill="1" applyBorder="1" applyAlignment="1">
      <alignment horizontal="center" vertical="center" wrapText="1"/>
    </xf>
    <xf numFmtId="9" fontId="0" fillId="0" borderId="0" xfId="15" applyFont="1" applyBorder="1" applyAlignment="1">
      <alignment horizontal="center" vertical="center"/>
    </xf>
    <xf numFmtId="0" fontId="27" fillId="5" borderId="217" xfId="25" applyFont="1" applyFill="1" applyBorder="1" applyAlignment="1">
      <alignment horizontal="center" vertical="center"/>
    </xf>
    <xf numFmtId="4" fontId="25" fillId="28" borderId="218" xfId="7" applyFont="1" applyFill="1" applyBorder="1">
      <alignment horizontal="right"/>
    </xf>
    <xf numFmtId="4" fontId="8" fillId="12" borderId="218" xfId="7" applyFont="1" applyFill="1" applyBorder="1">
      <alignment horizontal="right"/>
    </xf>
    <xf numFmtId="4" fontId="32" fillId="9" borderId="219" xfId="7" applyFont="1" applyFill="1" applyBorder="1">
      <alignment horizontal="right"/>
    </xf>
    <xf numFmtId="0" fontId="57" fillId="36" borderId="0" xfId="23" applyFont="1" applyFill="1"/>
    <xf numFmtId="0" fontId="73" fillId="36" borderId="0" xfId="23" applyFont="1" applyFill="1" applyAlignment="1">
      <alignment horizontal="left" vertical="center"/>
    </xf>
    <xf numFmtId="0" fontId="73" fillId="36" borderId="0" xfId="23" applyFont="1" applyFill="1" applyAlignment="1">
      <alignment horizontal="center" vertical="center"/>
    </xf>
    <xf numFmtId="0" fontId="8" fillId="31" borderId="0" xfId="23" applyFill="1"/>
    <xf numFmtId="0" fontId="8" fillId="0" borderId="0" xfId="23"/>
    <xf numFmtId="10" fontId="0" fillId="0" borderId="0" xfId="15" applyNumberFormat="1" applyFont="1" applyAlignment="1">
      <alignment horizontal="left"/>
    </xf>
    <xf numFmtId="0" fontId="13" fillId="0" borderId="0" xfId="23" applyFont="1"/>
    <xf numFmtId="0" fontId="8" fillId="8" borderId="0" xfId="23" applyFill="1"/>
    <xf numFmtId="0" fontId="38" fillId="0" borderId="0" xfId="23" applyFont="1"/>
    <xf numFmtId="10" fontId="8" fillId="8" borderId="0" xfId="23" applyNumberFormat="1" applyFill="1"/>
    <xf numFmtId="0" fontId="8" fillId="0" borderId="0" xfId="23" applyAlignment="1">
      <alignment horizontal="left"/>
    </xf>
    <xf numFmtId="0" fontId="13" fillId="0" borderId="0" xfId="23" applyFont="1" applyAlignment="1">
      <alignment horizontal="center"/>
    </xf>
    <xf numFmtId="10" fontId="74" fillId="0" borderId="0" xfId="23" applyNumberFormat="1" applyFont="1" applyAlignment="1">
      <alignment horizontal="center"/>
    </xf>
    <xf numFmtId="10" fontId="8" fillId="0" borderId="0" xfId="23" applyNumberFormat="1"/>
    <xf numFmtId="179" fontId="0" fillId="0" borderId="0" xfId="15" applyNumberFormat="1" applyFont="1"/>
    <xf numFmtId="0" fontId="74" fillId="0" borderId="0" xfId="23" applyFont="1"/>
    <xf numFmtId="0" fontId="49" fillId="31" borderId="0" xfId="23" applyFont="1" applyFill="1"/>
    <xf numFmtId="179" fontId="38" fillId="0" borderId="0" xfId="23" applyNumberFormat="1" applyFont="1"/>
    <xf numFmtId="0" fontId="0" fillId="7" borderId="0" xfId="0" applyFill="1"/>
    <xf numFmtId="0" fontId="27" fillId="32" borderId="228" xfId="0" applyFont="1" applyFill="1" applyBorder="1" applyAlignment="1">
      <alignment horizontal="center"/>
    </xf>
    <xf numFmtId="0" fontId="13" fillId="0" borderId="228" xfId="0" applyFont="1" applyBorder="1" applyAlignment="1">
      <alignment horizontal="center"/>
    </xf>
    <xf numFmtId="0" fontId="0" fillId="0" borderId="228" xfId="0" applyBorder="1" applyAlignment="1">
      <alignment horizontal="center"/>
    </xf>
    <xf numFmtId="0" fontId="56" fillId="0" borderId="0" xfId="23" applyFont="1" applyAlignment="1">
      <alignment horizontal="center"/>
    </xf>
    <xf numFmtId="0" fontId="8" fillId="24" borderId="0" xfId="0" applyFont="1" applyFill="1" applyAlignment="1">
      <alignment horizontal="center" vertical="center"/>
    </xf>
    <xf numFmtId="188" fontId="75" fillId="46" borderId="0" xfId="15" applyNumberFormat="1" applyFont="1" applyFill="1" applyBorder="1" applyAlignment="1">
      <alignment horizontal="center"/>
    </xf>
    <xf numFmtId="0" fontId="57" fillId="0" borderId="0" xfId="23" applyFont="1"/>
    <xf numFmtId="0" fontId="73" fillId="0" borderId="0" xfId="23" applyFont="1" applyAlignment="1">
      <alignment horizontal="center" vertical="center"/>
    </xf>
    <xf numFmtId="0" fontId="74" fillId="0" borderId="0" xfId="0" applyFont="1" applyAlignment="1">
      <alignment horizontal="center"/>
    </xf>
    <xf numFmtId="0" fontId="8" fillId="8" borderId="0" xfId="23" applyFill="1" applyAlignment="1">
      <alignment horizontal="center" vertical="center"/>
    </xf>
    <xf numFmtId="0" fontId="13" fillId="8" borderId="0" xfId="23" applyFont="1" applyFill="1" applyAlignment="1">
      <alignment horizontal="center" vertical="center"/>
    </xf>
    <xf numFmtId="0" fontId="8" fillId="0" borderId="0" xfId="23" applyAlignment="1">
      <alignment horizontal="center" vertical="center"/>
    </xf>
    <xf numFmtId="0" fontId="77" fillId="5" borderId="116" xfId="4" applyFont="1" applyFill="1" applyBorder="1" applyAlignment="1">
      <alignment horizontal="center" vertical="center"/>
    </xf>
    <xf numFmtId="0" fontId="46" fillId="23" borderId="73" xfId="0" applyFont="1" applyFill="1" applyBorder="1" applyAlignment="1">
      <alignment horizontal="center" vertical="center" wrapText="1"/>
    </xf>
    <xf numFmtId="3" fontId="61" fillId="38" borderId="176" xfId="0" applyNumberFormat="1" applyFont="1" applyFill="1" applyBorder="1" applyAlignment="1">
      <alignment horizontal="center" vertical="center"/>
    </xf>
    <xf numFmtId="188" fontId="75" fillId="46" borderId="0" xfId="15" applyNumberFormat="1" applyFont="1" applyFill="1" applyAlignment="1">
      <alignment horizontal="center"/>
    </xf>
    <xf numFmtId="3" fontId="1" fillId="43" borderId="44" xfId="29" applyNumberFormat="1" applyFont="1" applyFill="1" applyBorder="1" applyAlignment="1">
      <alignment horizontal="center" vertical="center"/>
    </xf>
    <xf numFmtId="189" fontId="8" fillId="0" borderId="102" xfId="0" applyNumberFormat="1" applyFont="1" applyBorder="1" applyAlignment="1">
      <alignment horizontal="center"/>
    </xf>
    <xf numFmtId="9" fontId="8" fillId="0" borderId="112" xfId="15" applyFont="1" applyBorder="1" applyAlignment="1">
      <alignment horizontal="center" vertical="center"/>
    </xf>
    <xf numFmtId="9" fontId="8" fillId="17" borderId="102" xfId="15" applyFont="1" applyFill="1" applyBorder="1" applyAlignment="1">
      <alignment horizontal="center" vertical="center"/>
    </xf>
    <xf numFmtId="10" fontId="35" fillId="19" borderId="0" xfId="15" applyNumberFormat="1" applyFont="1" applyFill="1" applyAlignment="1">
      <alignment horizontal="center"/>
    </xf>
    <xf numFmtId="179" fontId="35" fillId="19" borderId="0" xfId="15" applyNumberFormat="1" applyFont="1" applyFill="1" applyAlignment="1">
      <alignment horizontal="center"/>
    </xf>
    <xf numFmtId="10" fontId="35" fillId="19" borderId="0" xfId="0" applyNumberFormat="1" applyFont="1" applyFill="1" applyAlignment="1">
      <alignment horizontal="center"/>
    </xf>
    <xf numFmtId="0" fontId="1" fillId="0" borderId="46" xfId="0" applyFont="1" applyBorder="1"/>
    <xf numFmtId="177" fontId="1" fillId="0" borderId="46" xfId="0" applyNumberFormat="1" applyFont="1" applyBorder="1" applyAlignment="1">
      <alignment horizontal="center"/>
    </xf>
    <xf numFmtId="177" fontId="1" fillId="0" borderId="0" xfId="0" applyNumberFormat="1" applyFont="1" applyAlignment="1">
      <alignment horizontal="center"/>
    </xf>
    <xf numFmtId="1" fontId="53" fillId="0" borderId="1" xfId="0" applyNumberFormat="1" applyFont="1" applyBorder="1" applyAlignment="1">
      <alignment horizontal="center" vertical="center"/>
    </xf>
    <xf numFmtId="1" fontId="53" fillId="0" borderId="238" xfId="0" applyNumberFormat="1" applyFont="1" applyBorder="1" applyAlignment="1">
      <alignment horizontal="center" vertical="center"/>
    </xf>
    <xf numFmtId="4" fontId="5" fillId="0" borderId="178" xfId="28" applyNumberFormat="1" applyBorder="1" applyAlignment="1">
      <alignment horizontal="center"/>
    </xf>
    <xf numFmtId="1" fontId="53" fillId="0" borderId="239" xfId="0" applyNumberFormat="1" applyFont="1" applyBorder="1" applyAlignment="1">
      <alignment horizontal="center" vertical="center"/>
    </xf>
    <xf numFmtId="3" fontId="4" fillId="43" borderId="159" xfId="29" applyNumberFormat="1" applyFill="1" applyBorder="1" applyAlignment="1">
      <alignment horizontal="center" vertical="center"/>
    </xf>
    <xf numFmtId="3" fontId="8" fillId="0" borderId="116" xfId="25" applyNumberFormat="1" applyBorder="1" applyAlignment="1">
      <alignment vertical="center"/>
    </xf>
    <xf numFmtId="4" fontId="32" fillId="47" borderId="116" xfId="7" applyFont="1" applyFill="1" applyBorder="1" applyAlignment="1">
      <alignment horizontal="right" vertical="center"/>
    </xf>
    <xf numFmtId="10" fontId="8" fillId="8" borderId="116" xfId="7" applyNumberFormat="1" applyFont="1" applyFill="1" applyBorder="1" applyAlignment="1">
      <alignment horizontal="right" vertical="center" wrapText="1"/>
    </xf>
    <xf numFmtId="0" fontId="8" fillId="0" borderId="116" xfId="25" applyBorder="1" applyAlignment="1">
      <alignment horizontal="center"/>
    </xf>
    <xf numFmtId="0" fontId="8" fillId="0" borderId="116" xfId="25" applyBorder="1" applyAlignment="1">
      <alignment horizontal="center" vertical="center"/>
    </xf>
    <xf numFmtId="0" fontId="13" fillId="0" borderId="97" xfId="0" applyFont="1" applyBorder="1" applyAlignment="1">
      <alignment horizontal="left"/>
    </xf>
    <xf numFmtId="9" fontId="8" fillId="0" borderId="240" xfId="0" applyNumberFormat="1" applyFont="1" applyBorder="1" applyAlignment="1">
      <alignment horizontal="center"/>
    </xf>
    <xf numFmtId="0" fontId="0" fillId="17" borderId="44" xfId="0" applyFill="1" applyBorder="1"/>
    <xf numFmtId="0" fontId="0" fillId="0" borderId="44" xfId="0" applyBorder="1" applyAlignment="1">
      <alignment horizontal="left" indent="1"/>
    </xf>
    <xf numFmtId="0" fontId="0" fillId="0" borderId="44" xfId="0" applyBorder="1" applyAlignment="1">
      <alignment horizontal="left"/>
    </xf>
    <xf numFmtId="0" fontId="0" fillId="17" borderId="44" xfId="0" applyFill="1" applyBorder="1" applyAlignment="1">
      <alignment horizontal="left" indent="1"/>
    </xf>
    <xf numFmtId="0" fontId="0" fillId="0" borderId="44" xfId="0" applyBorder="1"/>
    <xf numFmtId="190" fontId="0" fillId="0" borderId="102" xfId="0" applyNumberFormat="1" applyBorder="1" applyAlignment="1">
      <alignment horizontal="center"/>
    </xf>
    <xf numFmtId="190" fontId="0" fillId="0" borderId="102" xfId="0" applyNumberFormat="1" applyBorder="1" applyAlignment="1">
      <alignment horizontal="center" wrapText="1"/>
    </xf>
    <xf numFmtId="190" fontId="46" fillId="10" borderId="73" xfId="0" applyNumberFormat="1" applyFont="1" applyFill="1" applyBorder="1" applyAlignment="1">
      <alignment horizontal="center" vertical="center" wrapText="1"/>
    </xf>
    <xf numFmtId="190" fontId="0" fillId="0" borderId="109" xfId="0" applyNumberFormat="1" applyBorder="1" applyAlignment="1">
      <alignment horizontal="center"/>
    </xf>
    <xf numFmtId="190" fontId="0" fillId="17" borderId="101" xfId="0" applyNumberFormat="1" applyFill="1" applyBorder="1" applyAlignment="1">
      <alignment horizontal="center"/>
    </xf>
    <xf numFmtId="190" fontId="0" fillId="0" borderId="100" xfId="0" applyNumberFormat="1" applyBorder="1" applyAlignment="1">
      <alignment horizontal="center"/>
    </xf>
    <xf numFmtId="178" fontId="13" fillId="0" borderId="0" xfId="0" applyNumberFormat="1" applyFont="1" applyAlignment="1">
      <alignment horizontal="center" wrapText="1"/>
    </xf>
    <xf numFmtId="0" fontId="46" fillId="5" borderId="28" xfId="0" applyFont="1" applyFill="1" applyBorder="1" applyAlignment="1">
      <alignment horizontal="center"/>
    </xf>
    <xf numFmtId="0" fontId="13" fillId="0" borderId="25" xfId="0" applyFont="1" applyBorder="1" applyAlignment="1">
      <alignment horizontal="center"/>
    </xf>
    <xf numFmtId="14" fontId="13" fillId="0" borderId="25" xfId="0" applyNumberFormat="1" applyFont="1" applyBorder="1" applyAlignment="1">
      <alignment horizontal="center"/>
    </xf>
    <xf numFmtId="0" fontId="8" fillId="0" borderId="63" xfId="0" applyFont="1" applyBorder="1" applyAlignment="1">
      <alignment horizontal="left"/>
    </xf>
    <xf numFmtId="0" fontId="8" fillId="0" borderId="63" xfId="0" applyFont="1" applyBorder="1" applyAlignment="1">
      <alignment horizontal="left" indent="1"/>
    </xf>
    <xf numFmtId="0" fontId="13" fillId="0" borderId="63" xfId="0" applyFont="1" applyBorder="1" applyAlignment="1">
      <alignment horizontal="left"/>
    </xf>
    <xf numFmtId="0" fontId="0" fillId="0" borderId="63" xfId="0" applyBorder="1" applyAlignment="1">
      <alignment horizontal="left"/>
    </xf>
    <xf numFmtId="0" fontId="8" fillId="16" borderId="63" xfId="0" applyFont="1" applyFill="1" applyBorder="1" applyAlignment="1">
      <alignment horizontal="left"/>
    </xf>
    <xf numFmtId="190" fontId="0" fillId="17" borderId="102" xfId="0" applyNumberFormat="1" applyFill="1" applyBorder="1" applyAlignment="1">
      <alignment horizontal="center"/>
    </xf>
    <xf numFmtId="0" fontId="10" fillId="0" borderId="68" xfId="33" applyFont="1" applyBorder="1" applyAlignment="1" applyProtection="1"/>
    <xf numFmtId="0" fontId="10" fillId="0" borderId="67" xfId="33" applyFont="1" applyBorder="1" applyAlignment="1" applyProtection="1"/>
    <xf numFmtId="0" fontId="10" fillId="0" borderId="69" xfId="33" applyFont="1" applyBorder="1" applyAlignment="1" applyProtection="1"/>
    <xf numFmtId="0" fontId="10" fillId="0" borderId="0" xfId="33" applyFont="1" applyBorder="1" applyAlignment="1" applyProtection="1"/>
    <xf numFmtId="0" fontId="10" fillId="0" borderId="51" xfId="33" applyFont="1" applyBorder="1" applyAlignment="1" applyProtection="1"/>
    <xf numFmtId="0" fontId="10" fillId="0" borderId="70" xfId="33" applyFont="1" applyBorder="1" applyAlignment="1" applyProtection="1"/>
    <xf numFmtId="0" fontId="10" fillId="0" borderId="75" xfId="33" applyFont="1" applyBorder="1" applyAlignment="1" applyProtection="1"/>
    <xf numFmtId="0" fontId="10" fillId="0" borderId="76" xfId="33" applyFont="1" applyBorder="1" applyAlignment="1" applyProtection="1"/>
    <xf numFmtId="190" fontId="0" fillId="17" borderId="102" xfId="0" applyNumberFormat="1" applyFill="1" applyBorder="1"/>
    <xf numFmtId="191" fontId="26" fillId="18" borderId="208" xfId="0" applyNumberFormat="1" applyFont="1" applyFill="1" applyBorder="1" applyAlignment="1">
      <alignment horizontal="center"/>
    </xf>
    <xf numFmtId="191" fontId="26" fillId="18" borderId="209" xfId="0" applyNumberFormat="1" applyFont="1" applyFill="1" applyBorder="1" applyAlignment="1">
      <alignment horizontal="center"/>
    </xf>
    <xf numFmtId="191" fontId="0" fillId="0" borderId="208" xfId="0" applyNumberFormat="1" applyBorder="1" applyAlignment="1">
      <alignment horizontal="center"/>
    </xf>
    <xf numFmtId="191" fontId="0" fillId="17" borderId="209" xfId="0" applyNumberFormat="1" applyFill="1" applyBorder="1" applyAlignment="1">
      <alignment horizontal="center"/>
    </xf>
    <xf numFmtId="0" fontId="0" fillId="0" borderId="0" xfId="0" applyAlignment="1">
      <alignment horizontal="left" vertical="top" wrapText="1"/>
    </xf>
    <xf numFmtId="0" fontId="0" fillId="48" borderId="0" xfId="0" applyFill="1" applyAlignment="1">
      <alignment wrapText="1"/>
    </xf>
    <xf numFmtId="0" fontId="27" fillId="32" borderId="26" xfId="0" applyFont="1" applyFill="1" applyBorder="1" applyAlignment="1">
      <alignment horizontal="center"/>
    </xf>
    <xf numFmtId="0" fontId="80" fillId="3" borderId="0" xfId="0" applyFont="1" applyFill="1" applyAlignment="1">
      <alignment wrapText="1"/>
    </xf>
    <xf numFmtId="0" fontId="81" fillId="0" borderId="0" xfId="0" applyFont="1"/>
    <xf numFmtId="0" fontId="8" fillId="12" borderId="19" xfId="0" applyFont="1" applyFill="1" applyBorder="1" applyAlignment="1">
      <alignment horizontal="center"/>
    </xf>
    <xf numFmtId="0" fontId="8" fillId="50" borderId="19" xfId="0" applyFont="1" applyFill="1" applyBorder="1" applyAlignment="1">
      <alignment horizontal="center"/>
    </xf>
    <xf numFmtId="0" fontId="25" fillId="28" borderId="19" xfId="0" applyFont="1" applyFill="1" applyBorder="1" applyAlignment="1">
      <alignment horizontal="center"/>
    </xf>
    <xf numFmtId="0" fontId="27" fillId="10" borderId="64" xfId="0" applyFont="1" applyFill="1" applyBorder="1" applyAlignment="1">
      <alignment horizontal="center" vertical="center" wrapText="1"/>
    </xf>
    <xf numFmtId="0" fontId="8" fillId="0" borderId="55" xfId="0" applyFont="1" applyBorder="1" applyAlignment="1">
      <alignment horizontal="center" vertical="center"/>
    </xf>
    <xf numFmtId="0" fontId="8" fillId="8" borderId="26" xfId="0" applyFont="1" applyFill="1" applyBorder="1" applyAlignment="1">
      <alignment horizontal="center" vertical="center" wrapText="1"/>
    </xf>
    <xf numFmtId="0" fontId="8" fillId="0" borderId="26" xfId="0" applyFont="1" applyBorder="1"/>
    <xf numFmtId="0" fontId="15" fillId="0" borderId="26" xfId="0" applyFont="1" applyBorder="1"/>
    <xf numFmtId="179" fontId="9" fillId="0" borderId="134" xfId="15" applyNumberFormat="1" applyFont="1" applyBorder="1" applyAlignment="1">
      <alignment horizontal="center" vertical="center" wrapText="1"/>
    </xf>
    <xf numFmtId="179" fontId="9" fillId="0" borderId="132" xfId="15" applyNumberFormat="1" applyFont="1" applyBorder="1" applyAlignment="1">
      <alignment horizontal="center" vertical="center" wrapText="1"/>
    </xf>
    <xf numFmtId="0" fontId="27" fillId="32" borderId="241" xfId="0" applyFont="1" applyFill="1" applyBorder="1" applyAlignment="1">
      <alignment horizontal="center"/>
    </xf>
    <xf numFmtId="0" fontId="13" fillId="0" borderId="241" xfId="0" applyFont="1" applyBorder="1" applyAlignment="1">
      <alignment horizontal="center"/>
    </xf>
    <xf numFmtId="178" fontId="8" fillId="24" borderId="26" xfId="0" applyNumberFormat="1" applyFont="1" applyFill="1" applyBorder="1" applyAlignment="1">
      <alignment horizontal="center"/>
    </xf>
    <xf numFmtId="178" fontId="13" fillId="24" borderId="26" xfId="0" applyNumberFormat="1" applyFont="1" applyFill="1" applyBorder="1" applyAlignment="1">
      <alignment horizontal="center"/>
    </xf>
    <xf numFmtId="2" fontId="8" fillId="24" borderId="241" xfId="0" applyNumberFormat="1" applyFont="1" applyFill="1" applyBorder="1" applyAlignment="1">
      <alignment horizontal="center"/>
    </xf>
    <xf numFmtId="2" fontId="33" fillId="24" borderId="241" xfId="15" applyNumberFormat="1" applyFont="1" applyFill="1" applyBorder="1" applyAlignment="1">
      <alignment horizontal="center"/>
    </xf>
    <xf numFmtId="0" fontId="27" fillId="8" borderId="241" xfId="0" applyFont="1" applyFill="1" applyBorder="1" applyAlignment="1">
      <alignment horizontal="center"/>
    </xf>
    <xf numFmtId="0" fontId="27" fillId="8" borderId="0" xfId="0" applyFont="1" applyFill="1" applyAlignment="1">
      <alignment horizontal="center"/>
    </xf>
    <xf numFmtId="0" fontId="27" fillId="8" borderId="169" xfId="0" applyFont="1" applyFill="1" applyBorder="1" applyAlignment="1">
      <alignment horizontal="center"/>
    </xf>
    <xf numFmtId="0" fontId="27" fillId="23" borderId="64" xfId="0" applyFont="1" applyFill="1" applyBorder="1" applyAlignment="1">
      <alignment horizontal="center" vertical="center" wrapText="1"/>
    </xf>
    <xf numFmtId="0" fontId="27" fillId="11" borderId="64" xfId="0" applyFont="1" applyFill="1" applyBorder="1" applyAlignment="1">
      <alignment horizontal="center" vertical="center" wrapText="1"/>
    </xf>
    <xf numFmtId="0" fontId="27" fillId="51" borderId="64" xfId="0" applyFont="1" applyFill="1" applyBorder="1" applyAlignment="1">
      <alignment horizontal="center" vertical="center" wrapText="1"/>
    </xf>
    <xf numFmtId="0" fontId="82" fillId="0" borderId="0" xfId="0" applyFont="1"/>
    <xf numFmtId="0" fontId="80" fillId="8" borderId="19" xfId="0" applyFont="1" applyFill="1" applyBorder="1" applyAlignment="1">
      <alignment vertical="center" wrapText="1"/>
    </xf>
    <xf numFmtId="0" fontId="34" fillId="8" borderId="23" xfId="0" applyFont="1" applyFill="1" applyBorder="1" applyAlignment="1">
      <alignment horizontal="left" vertical="center" wrapText="1"/>
    </xf>
    <xf numFmtId="10" fontId="62" fillId="0" borderId="0" xfId="0" applyNumberFormat="1" applyFont="1"/>
    <xf numFmtId="0" fontId="26" fillId="49" borderId="0" xfId="0" applyFont="1" applyFill="1" applyAlignment="1">
      <alignment wrapText="1"/>
    </xf>
    <xf numFmtId="0" fontId="27" fillId="32" borderId="228" xfId="0" applyFont="1" applyFill="1" applyBorder="1" applyAlignment="1">
      <alignment horizontal="center"/>
    </xf>
    <xf numFmtId="0" fontId="27" fillId="32" borderId="52" xfId="0" applyFont="1" applyFill="1" applyBorder="1" applyAlignment="1">
      <alignment horizontal="center"/>
    </xf>
    <xf numFmtId="0" fontId="0" fillId="0" borderId="229" xfId="0" applyBorder="1" applyAlignment="1">
      <alignment horizontal="left" vertical="center" wrapText="1"/>
    </xf>
    <xf numFmtId="0" fontId="8" fillId="0" borderId="164" xfId="0" applyFont="1" applyBorder="1" applyAlignment="1">
      <alignment horizontal="left" vertical="center"/>
    </xf>
    <xf numFmtId="0" fontId="8" fillId="0" borderId="165" xfId="0" applyFont="1" applyBorder="1" applyAlignment="1">
      <alignment horizontal="left" vertical="center"/>
    </xf>
    <xf numFmtId="0" fontId="0" fillId="0" borderId="10" xfId="0" applyBorder="1" applyAlignment="1">
      <alignment horizontal="left" vertical="center"/>
    </xf>
    <xf numFmtId="0" fontId="0" fillId="0" borderId="0" xfId="0" applyAlignment="1">
      <alignment horizontal="left" vertical="center"/>
    </xf>
    <xf numFmtId="0" fontId="8" fillId="0" borderId="166" xfId="0" applyFont="1" applyBorder="1" applyAlignment="1">
      <alignment horizontal="left" vertical="center"/>
    </xf>
    <xf numFmtId="0" fontId="0" fillId="0" borderId="230" xfId="0" applyBorder="1" applyAlignment="1">
      <alignment horizontal="left" vertical="center"/>
    </xf>
    <xf numFmtId="0" fontId="8" fillId="0" borderId="167" xfId="0" applyFont="1" applyBorder="1" applyAlignment="1">
      <alignment horizontal="left" vertical="center"/>
    </xf>
    <xf numFmtId="0" fontId="8" fillId="0" borderId="168" xfId="0" applyFont="1" applyBorder="1" applyAlignment="1">
      <alignment horizontal="left" vertical="center"/>
    </xf>
    <xf numFmtId="0" fontId="46" fillId="5" borderId="52" xfId="0" applyFont="1" applyFill="1" applyBorder="1" applyAlignment="1">
      <alignment horizontal="center"/>
    </xf>
    <xf numFmtId="0" fontId="46" fillId="5" borderId="241" xfId="0" applyFont="1" applyFill="1" applyBorder="1" applyAlignment="1">
      <alignment horizontal="center"/>
    </xf>
    <xf numFmtId="0" fontId="46" fillId="5" borderId="62" xfId="0" applyFont="1" applyFill="1" applyBorder="1" applyAlignment="1">
      <alignment horizontal="center"/>
    </xf>
    <xf numFmtId="0" fontId="34" fillId="8" borderId="192" xfId="0" applyFont="1" applyFill="1" applyBorder="1" applyAlignment="1">
      <alignment horizontal="center" vertical="center" wrapText="1"/>
    </xf>
    <xf numFmtId="0" fontId="0" fillId="8" borderId="193" xfId="0" applyFill="1" applyBorder="1" applyAlignment="1">
      <alignment horizontal="center" vertical="center" wrapText="1"/>
    </xf>
    <xf numFmtId="0" fontId="0" fillId="8" borderId="194" xfId="0" applyFill="1" applyBorder="1" applyAlignment="1">
      <alignment horizontal="center" vertical="center" wrapText="1"/>
    </xf>
    <xf numFmtId="0" fontId="34" fillId="8" borderId="131" xfId="0" applyFont="1" applyFill="1" applyBorder="1" applyAlignment="1">
      <alignment horizontal="center" vertical="center" wrapText="1"/>
    </xf>
    <xf numFmtId="0" fontId="34" fillId="8" borderId="145" xfId="0" applyFont="1" applyFill="1" applyBorder="1" applyAlignment="1">
      <alignment horizontal="center" vertical="center" wrapText="1"/>
    </xf>
    <xf numFmtId="0" fontId="34" fillId="8" borderId="155" xfId="0" applyFont="1" applyFill="1" applyBorder="1" applyAlignment="1">
      <alignment horizontal="center" vertical="center" wrapText="1"/>
    </xf>
    <xf numFmtId="0" fontId="0" fillId="8" borderId="198" xfId="0" applyFill="1" applyBorder="1" applyAlignment="1">
      <alignment horizontal="center" vertical="center" wrapText="1"/>
    </xf>
    <xf numFmtId="0" fontId="0" fillId="8" borderId="199" xfId="0" applyFill="1" applyBorder="1" applyAlignment="1">
      <alignment horizontal="center" vertical="center" wrapText="1"/>
    </xf>
    <xf numFmtId="0" fontId="0" fillId="8" borderId="200" xfId="0" applyFill="1" applyBorder="1" applyAlignment="1">
      <alignment horizontal="center" vertical="center" wrapText="1"/>
    </xf>
    <xf numFmtId="0" fontId="46" fillId="5" borderId="228" xfId="0" applyFont="1" applyFill="1" applyBorder="1" applyAlignment="1">
      <alignment horizontal="center"/>
    </xf>
    <xf numFmtId="0" fontId="0" fillId="8" borderId="201" xfId="0" applyFill="1" applyBorder="1" applyAlignment="1">
      <alignment horizontal="center"/>
    </xf>
    <xf numFmtId="0" fontId="0" fillId="8" borderId="202" xfId="0" applyFill="1" applyBorder="1" applyAlignment="1">
      <alignment horizontal="center"/>
    </xf>
    <xf numFmtId="0" fontId="0" fillId="8" borderId="203" xfId="0" applyFill="1" applyBorder="1" applyAlignment="1">
      <alignment horizontal="center"/>
    </xf>
    <xf numFmtId="0" fontId="27" fillId="8" borderId="52" xfId="0" applyFont="1" applyFill="1" applyBorder="1" applyAlignment="1">
      <alignment horizontal="center"/>
    </xf>
    <xf numFmtId="0" fontId="9" fillId="0" borderId="55" xfId="0" applyFont="1" applyBorder="1" applyAlignment="1">
      <alignment horizontal="center" vertical="center"/>
    </xf>
    <xf numFmtId="0" fontId="9" fillId="0" borderId="18" xfId="0" applyFont="1" applyBorder="1" applyAlignment="1">
      <alignment horizontal="center" vertical="center"/>
    </xf>
    <xf numFmtId="0" fontId="9" fillId="0" borderId="56" xfId="0" applyFont="1" applyBorder="1" applyAlignment="1">
      <alignment horizontal="center" vertical="center"/>
    </xf>
    <xf numFmtId="0" fontId="27" fillId="32" borderId="33" xfId="0" applyFont="1" applyFill="1" applyBorder="1" applyAlignment="1">
      <alignment horizontal="center"/>
    </xf>
    <xf numFmtId="0" fontId="27" fillId="32" borderId="27" xfId="0" applyFont="1" applyFill="1" applyBorder="1" applyAlignment="1">
      <alignment horizontal="center"/>
    </xf>
    <xf numFmtId="9" fontId="13" fillId="8" borderId="26" xfId="15" applyFont="1" applyFill="1" applyBorder="1" applyAlignment="1">
      <alignment horizontal="left"/>
    </xf>
    <xf numFmtId="9" fontId="13" fillId="8" borderId="25" xfId="15" applyFont="1" applyFill="1" applyBorder="1" applyAlignment="1">
      <alignment horizontal="left"/>
    </xf>
    <xf numFmtId="0" fontId="27" fillId="32" borderId="26" xfId="0" applyFont="1" applyFill="1" applyBorder="1" applyAlignment="1">
      <alignment horizontal="center"/>
    </xf>
    <xf numFmtId="0" fontId="27" fillId="32" borderId="24" xfId="0" applyFont="1" applyFill="1" applyBorder="1" applyAlignment="1">
      <alignment horizontal="center"/>
    </xf>
    <xf numFmtId="0" fontId="65" fillId="8" borderId="19" xfId="0" applyFont="1" applyFill="1" applyBorder="1" applyAlignment="1">
      <alignment horizontal="center" vertical="center" wrapText="1"/>
    </xf>
    <xf numFmtId="0" fontId="46" fillId="31" borderId="29" xfId="0" applyFont="1" applyFill="1" applyBorder="1" applyAlignment="1">
      <alignment horizontal="center" vertical="center" wrapText="1"/>
    </xf>
    <xf numFmtId="0" fontId="46" fillId="31" borderId="33" xfId="0" applyFont="1" applyFill="1" applyBorder="1" applyAlignment="1">
      <alignment horizontal="center" vertical="center" wrapText="1"/>
    </xf>
    <xf numFmtId="0" fontId="46" fillId="31" borderId="53" xfId="0" applyFont="1" applyFill="1" applyBorder="1" applyAlignment="1">
      <alignment horizontal="center" vertical="center" wrapText="1"/>
    </xf>
    <xf numFmtId="0" fontId="46" fillId="5" borderId="47" xfId="0" applyFont="1" applyFill="1" applyBorder="1" applyAlignment="1">
      <alignment horizontal="center"/>
    </xf>
    <xf numFmtId="0" fontId="46" fillId="5" borderId="48" xfId="0" applyFont="1" applyFill="1" applyBorder="1" applyAlignment="1">
      <alignment horizontal="center"/>
    </xf>
    <xf numFmtId="0" fontId="46" fillId="5" borderId="49" xfId="0" applyFont="1" applyFill="1" applyBorder="1" applyAlignment="1">
      <alignment horizontal="center"/>
    </xf>
    <xf numFmtId="0" fontId="45" fillId="18" borderId="10" xfId="0" applyFont="1" applyFill="1" applyBorder="1" applyAlignment="1">
      <alignment horizontal="center"/>
    </xf>
    <xf numFmtId="0" fontId="45" fillId="18" borderId="0" xfId="0" applyFont="1" applyFill="1" applyAlignment="1">
      <alignment horizontal="center"/>
    </xf>
    <xf numFmtId="0" fontId="45" fillId="18" borderId="12" xfId="0" applyFont="1" applyFill="1" applyBorder="1" applyAlignment="1">
      <alignment horizontal="center"/>
    </xf>
    <xf numFmtId="178" fontId="9" fillId="12" borderId="154" xfId="0" applyNumberFormat="1" applyFont="1" applyFill="1" applyBorder="1" applyAlignment="1">
      <alignment horizontal="center" vertical="center"/>
    </xf>
    <xf numFmtId="178" fontId="9" fillId="12" borderId="129" xfId="0" applyNumberFormat="1" applyFont="1" applyFill="1" applyBorder="1" applyAlignment="1">
      <alignment horizontal="center" vertical="center"/>
    </xf>
    <xf numFmtId="178" fontId="9" fillId="12" borderId="155" xfId="0" applyNumberFormat="1" applyFont="1" applyFill="1" applyBorder="1" applyAlignment="1">
      <alignment horizontal="center" vertical="center"/>
    </xf>
    <xf numFmtId="0" fontId="8" fillId="8" borderId="26" xfId="0" applyFont="1" applyFill="1" applyBorder="1" applyAlignment="1">
      <alignment horizontal="left" vertical="center"/>
    </xf>
    <xf numFmtId="0" fontId="8" fillId="8" borderId="25" xfId="0" applyFont="1" applyFill="1" applyBorder="1" applyAlignment="1">
      <alignment horizontal="left" vertical="center"/>
    </xf>
    <xf numFmtId="0" fontId="9" fillId="12" borderId="0" xfId="0" applyFont="1" applyFill="1" applyAlignment="1">
      <alignment horizontal="center" vertical="center" wrapText="1"/>
    </xf>
    <xf numFmtId="0" fontId="9" fillId="12" borderId="145" xfId="0" applyFont="1" applyFill="1" applyBorder="1" applyAlignment="1">
      <alignment horizontal="center" vertical="center" wrapText="1"/>
    </xf>
    <xf numFmtId="179" fontId="44" fillId="12" borderId="129" xfId="15" applyNumberFormat="1" applyFont="1" applyFill="1" applyBorder="1" applyAlignment="1">
      <alignment horizontal="center" vertical="center"/>
    </xf>
    <xf numFmtId="179" fontId="44" fillId="12" borderId="155" xfId="15" applyNumberFormat="1" applyFont="1" applyFill="1" applyBorder="1" applyAlignment="1">
      <alignment horizontal="center" vertical="center"/>
    </xf>
    <xf numFmtId="179" fontId="9" fillId="0" borderId="133" xfId="15" applyNumberFormat="1" applyFont="1" applyBorder="1" applyAlignment="1">
      <alignment horizontal="center" vertical="center" wrapText="1"/>
    </xf>
    <xf numFmtId="179" fontId="9" fillId="0" borderId="237" xfId="15" applyNumberFormat="1" applyFont="1" applyBorder="1" applyAlignment="1">
      <alignment horizontal="center" vertical="center" wrapText="1"/>
    </xf>
    <xf numFmtId="179" fontId="9" fillId="0" borderId="130" xfId="15" applyNumberFormat="1" applyFont="1" applyBorder="1" applyAlignment="1">
      <alignment horizontal="center" vertical="center" wrapText="1"/>
    </xf>
    <xf numFmtId="179" fontId="9" fillId="0" borderId="235" xfId="15" applyNumberFormat="1" applyFont="1" applyBorder="1" applyAlignment="1">
      <alignment horizontal="center" vertical="center" wrapText="1"/>
    </xf>
    <xf numFmtId="9" fontId="44" fillId="12" borderId="236" xfId="15" applyFont="1" applyFill="1" applyBorder="1" applyAlignment="1">
      <alignment horizontal="center" vertical="center"/>
    </xf>
    <xf numFmtId="9" fontId="44" fillId="12" borderId="207" xfId="15" applyFont="1" applyFill="1" applyBorder="1" applyAlignment="1">
      <alignment horizontal="center" vertical="center"/>
    </xf>
    <xf numFmtId="9" fontId="44" fillId="12" borderId="197" xfId="15" applyFont="1" applyFill="1" applyBorder="1" applyAlignment="1">
      <alignment horizontal="center" vertical="center"/>
    </xf>
    <xf numFmtId="0" fontId="13" fillId="0" borderId="189" xfId="0" applyFont="1" applyBorder="1" applyAlignment="1">
      <alignment horizontal="center" vertical="center" wrapText="1"/>
    </xf>
    <xf numFmtId="0" fontId="13" fillId="0" borderId="190" xfId="0" applyFont="1" applyBorder="1" applyAlignment="1">
      <alignment horizontal="center" vertical="center" wrapText="1"/>
    </xf>
    <xf numFmtId="0" fontId="13" fillId="0" borderId="0" xfId="0" applyFont="1" applyAlignment="1">
      <alignment horizontal="center" vertical="center" wrapText="1"/>
    </xf>
    <xf numFmtId="0" fontId="13" fillId="0" borderId="12" xfId="0" applyFont="1" applyBorder="1" applyAlignment="1">
      <alignment horizontal="center" vertical="center" wrapText="1"/>
    </xf>
    <xf numFmtId="0" fontId="13" fillId="0" borderId="145" xfId="0" applyFont="1" applyBorder="1" applyAlignment="1">
      <alignment horizontal="center" vertical="center" wrapText="1"/>
    </xf>
    <xf numFmtId="0" fontId="13" fillId="0" borderId="195" xfId="0" applyFont="1" applyBorder="1" applyAlignment="1">
      <alignment horizontal="center" vertical="center" wrapText="1"/>
    </xf>
    <xf numFmtId="0" fontId="46" fillId="5" borderId="145" xfId="0" applyFont="1" applyFill="1" applyBorder="1" applyAlignment="1">
      <alignment horizontal="center"/>
    </xf>
    <xf numFmtId="0" fontId="46" fillId="5" borderId="195" xfId="0" applyFont="1" applyFill="1" applyBorder="1" applyAlignment="1">
      <alignment horizontal="center"/>
    </xf>
    <xf numFmtId="0" fontId="46" fillId="5" borderId="188" xfId="0" applyFont="1" applyFill="1" applyBorder="1" applyAlignment="1">
      <alignment horizontal="center"/>
    </xf>
    <xf numFmtId="0" fontId="46" fillId="5" borderId="128" xfId="0" applyFont="1" applyFill="1" applyBorder="1" applyAlignment="1">
      <alignment horizontal="center"/>
    </xf>
    <xf numFmtId="0" fontId="0" fillId="8" borderId="204" xfId="0" applyFill="1" applyBorder="1" applyAlignment="1">
      <alignment horizontal="center"/>
    </xf>
    <xf numFmtId="0" fontId="0" fillId="8" borderId="205" xfId="0" applyFill="1" applyBorder="1" applyAlignment="1">
      <alignment horizontal="center"/>
    </xf>
    <xf numFmtId="0" fontId="0" fillId="8" borderId="206" xfId="0" applyFill="1" applyBorder="1" applyAlignment="1">
      <alignment horizontal="center"/>
    </xf>
    <xf numFmtId="0" fontId="21" fillId="0" borderId="22" xfId="0" applyFont="1" applyBorder="1" applyAlignment="1">
      <alignment horizontal="center" vertical="center" wrapText="1"/>
    </xf>
    <xf numFmtId="0" fontId="21" fillId="0" borderId="26" xfId="0" applyFont="1" applyBorder="1" applyAlignment="1">
      <alignment horizontal="center" vertical="center" wrapText="1"/>
    </xf>
    <xf numFmtId="0" fontId="46" fillId="5" borderId="33" xfId="0" applyFont="1" applyFill="1" applyBorder="1" applyAlignment="1">
      <alignment horizontal="center"/>
    </xf>
    <xf numFmtId="0" fontId="46" fillId="5" borderId="27" xfId="0" applyFont="1" applyFill="1" applyBorder="1" applyAlignment="1">
      <alignment horizontal="center"/>
    </xf>
    <xf numFmtId="0" fontId="46" fillId="5" borderId="42" xfId="0" applyFont="1" applyFill="1" applyBorder="1" applyAlignment="1">
      <alignment horizontal="center"/>
    </xf>
    <xf numFmtId="0" fontId="46" fillId="5" borderId="22" xfId="0" applyFont="1" applyFill="1" applyBorder="1" applyAlignment="1">
      <alignment horizontal="center"/>
    </xf>
    <xf numFmtId="0" fontId="46" fillId="5" borderId="19" xfId="0" applyFont="1" applyFill="1" applyBorder="1" applyAlignment="1">
      <alignment horizontal="center"/>
    </xf>
    <xf numFmtId="0" fontId="46" fillId="5" borderId="28" xfId="0" applyFont="1" applyFill="1" applyBorder="1" applyAlignment="1">
      <alignment horizontal="center"/>
    </xf>
    <xf numFmtId="0" fontId="46" fillId="5" borderId="189" xfId="0" applyFont="1" applyFill="1" applyBorder="1" applyAlignment="1">
      <alignment horizontal="center"/>
    </xf>
    <xf numFmtId="0" fontId="46" fillId="5" borderId="190" xfId="0" applyFont="1" applyFill="1" applyBorder="1" applyAlignment="1">
      <alignment horizontal="center"/>
    </xf>
    <xf numFmtId="0" fontId="46" fillId="5" borderId="10" xfId="0" applyFont="1" applyFill="1" applyBorder="1" applyAlignment="1">
      <alignment horizontal="center"/>
    </xf>
    <xf numFmtId="0" fontId="46" fillId="5" borderId="0" xfId="0" applyFont="1" applyFill="1" applyAlignment="1">
      <alignment horizontal="center"/>
    </xf>
    <xf numFmtId="0" fontId="46" fillId="5" borderId="129" xfId="0" applyFont="1" applyFill="1" applyBorder="1" applyAlignment="1">
      <alignment horizontal="center"/>
    </xf>
    <xf numFmtId="0" fontId="27" fillId="32" borderId="144" xfId="0" applyFont="1" applyFill="1" applyBorder="1" applyAlignment="1">
      <alignment horizontal="center"/>
    </xf>
    <xf numFmtId="0" fontId="27" fillId="32" borderId="128" xfId="0" applyFont="1" applyFill="1" applyBorder="1" applyAlignment="1">
      <alignment horizontal="center"/>
    </xf>
    <xf numFmtId="0" fontId="27" fillId="32" borderId="196" xfId="0" applyFont="1" applyFill="1" applyBorder="1" applyAlignment="1">
      <alignment horizontal="center"/>
    </xf>
    <xf numFmtId="0" fontId="27" fillId="32" borderId="131" xfId="0" applyFont="1" applyFill="1" applyBorder="1" applyAlignment="1">
      <alignment horizontal="center"/>
    </xf>
    <xf numFmtId="0" fontId="27" fillId="32" borderId="145" xfId="0" applyFont="1" applyFill="1" applyBorder="1" applyAlignment="1">
      <alignment horizontal="center"/>
    </xf>
    <xf numFmtId="0" fontId="27" fillId="32" borderId="155" xfId="0" applyFont="1" applyFill="1" applyBorder="1" applyAlignment="1">
      <alignment horizontal="center"/>
    </xf>
    <xf numFmtId="0" fontId="27" fillId="32" borderId="241" xfId="0" applyFont="1" applyFill="1" applyBorder="1" applyAlignment="1">
      <alignment horizontal="center"/>
    </xf>
    <xf numFmtId="0" fontId="27" fillId="32" borderId="62" xfId="0" applyFont="1" applyFill="1" applyBorder="1" applyAlignment="1">
      <alignment horizontal="center"/>
    </xf>
    <xf numFmtId="179" fontId="44" fillId="12" borderId="154" xfId="15" applyNumberFormat="1" applyFont="1" applyFill="1" applyBorder="1" applyAlignment="1">
      <alignment horizontal="center" vertical="center"/>
    </xf>
    <xf numFmtId="0" fontId="27" fillId="18" borderId="65" xfId="0" applyFont="1" applyFill="1" applyBorder="1" applyAlignment="1">
      <alignment horizontal="center" vertical="center"/>
    </xf>
    <xf numFmtId="0" fontId="8" fillId="0" borderId="169" xfId="0" applyFont="1" applyBorder="1" applyAlignment="1">
      <alignment horizontal="left" vertical="center" wrapText="1"/>
    </xf>
    <xf numFmtId="0" fontId="68" fillId="0" borderId="164" xfId="0" applyFont="1" applyBorder="1" applyAlignment="1">
      <alignment horizontal="left" vertical="center"/>
    </xf>
    <xf numFmtId="0" fontId="68" fillId="0" borderId="170" xfId="0" applyFont="1" applyBorder="1" applyAlignment="1">
      <alignment horizontal="left" vertical="center"/>
    </xf>
    <xf numFmtId="0" fontId="68" fillId="0" borderId="0" xfId="0" applyFont="1" applyAlignment="1">
      <alignment horizontal="left" vertical="center"/>
    </xf>
    <xf numFmtId="0" fontId="68" fillId="0" borderId="171" xfId="0" applyFont="1" applyBorder="1" applyAlignment="1">
      <alignment horizontal="left" vertical="center"/>
    </xf>
    <xf numFmtId="0" fontId="68" fillId="0" borderId="167" xfId="0" applyFont="1" applyBorder="1" applyAlignment="1">
      <alignment horizontal="left" vertical="center"/>
    </xf>
    <xf numFmtId="0" fontId="8" fillId="0" borderId="2" xfId="0" applyFont="1" applyBorder="1" applyAlignment="1">
      <alignment horizontal="left" vertical="top" wrapText="1"/>
    </xf>
    <xf numFmtId="0" fontId="8" fillId="0" borderId="61" xfId="0" applyFont="1" applyBorder="1" applyAlignment="1">
      <alignment horizontal="left" vertical="top" wrapText="1"/>
    </xf>
    <xf numFmtId="0" fontId="0" fillId="0" borderId="231" xfId="0" applyBorder="1" applyAlignment="1">
      <alignment horizontal="left" vertical="top" wrapText="1"/>
    </xf>
    <xf numFmtId="0" fontId="8" fillId="0" borderId="46" xfId="0" applyFont="1" applyBorder="1" applyAlignment="1">
      <alignment horizontal="left" vertical="top" wrapText="1"/>
    </xf>
    <xf numFmtId="0" fontId="8" fillId="0" borderId="59" xfId="0" applyFont="1" applyBorder="1" applyAlignment="1">
      <alignment horizontal="left" vertical="top" wrapText="1"/>
    </xf>
    <xf numFmtId="0" fontId="0" fillId="0" borderId="232" xfId="0" applyBorder="1" applyAlignment="1">
      <alignment horizontal="left" vertical="top" wrapText="1"/>
    </xf>
    <xf numFmtId="0" fontId="0" fillId="0" borderId="233" xfId="0" applyBorder="1" applyAlignment="1">
      <alignment horizontal="left" vertical="top" wrapText="1"/>
    </xf>
    <xf numFmtId="0" fontId="0" fillId="0" borderId="234" xfId="0" applyBorder="1" applyAlignment="1">
      <alignment horizontal="left" vertical="top" wrapText="1"/>
    </xf>
    <xf numFmtId="0" fontId="68" fillId="0" borderId="165" xfId="0" applyFont="1" applyBorder="1" applyAlignment="1">
      <alignment horizontal="left" vertical="center"/>
    </xf>
    <xf numFmtId="0" fontId="68" fillId="0" borderId="10" xfId="0" applyFont="1" applyBorder="1" applyAlignment="1">
      <alignment horizontal="left" vertical="center"/>
    </xf>
    <xf numFmtId="0" fontId="68" fillId="0" borderId="166" xfId="0" applyFont="1" applyBorder="1" applyAlignment="1">
      <alignment horizontal="left" vertical="center"/>
    </xf>
    <xf numFmtId="0" fontId="68" fillId="0" borderId="230" xfId="0" applyFont="1" applyBorder="1" applyAlignment="1">
      <alignment horizontal="left" vertical="center"/>
    </xf>
    <xf numFmtId="0" fontId="68" fillId="0" borderId="168" xfId="0" applyFont="1" applyBorder="1" applyAlignment="1">
      <alignment horizontal="left" vertical="center"/>
    </xf>
    <xf numFmtId="0" fontId="27" fillId="8" borderId="60" xfId="0" applyFont="1" applyFill="1" applyBorder="1" applyAlignment="1">
      <alignment horizontal="center"/>
    </xf>
    <xf numFmtId="0" fontId="46" fillId="31" borderId="228" xfId="0" applyFont="1" applyFill="1" applyBorder="1" applyAlignment="1">
      <alignment horizontal="center"/>
    </xf>
    <xf numFmtId="0" fontId="46" fillId="31" borderId="52" xfId="0" applyFont="1" applyFill="1" applyBorder="1" applyAlignment="1">
      <alignment horizontal="center"/>
    </xf>
    <xf numFmtId="0" fontId="8" fillId="0" borderId="170" xfId="0" applyFont="1" applyBorder="1" applyAlignment="1">
      <alignment horizontal="left" vertical="center"/>
    </xf>
    <xf numFmtId="0" fontId="8" fillId="0" borderId="171" xfId="0" applyFont="1" applyBorder="1" applyAlignment="1">
      <alignment horizontal="left" vertical="center"/>
    </xf>
    <xf numFmtId="0" fontId="79" fillId="0" borderId="0" xfId="0" applyFont="1" applyAlignment="1">
      <alignment horizontal="center"/>
    </xf>
    <xf numFmtId="0" fontId="0" fillId="0" borderId="51" xfId="0" applyBorder="1" applyAlignment="1">
      <alignment horizontal="center"/>
    </xf>
    <xf numFmtId="0" fontId="0" fillId="0" borderId="0" xfId="0" applyAlignment="1">
      <alignment horizontal="center"/>
    </xf>
    <xf numFmtId="0" fontId="31" fillId="5" borderId="50" xfId="0" applyFont="1" applyFill="1" applyBorder="1" applyAlignment="1">
      <alignment horizontal="center"/>
    </xf>
    <xf numFmtId="0" fontId="31" fillId="5" borderId="0" xfId="0" applyFont="1" applyFill="1" applyAlignment="1">
      <alignment horizontal="center"/>
    </xf>
    <xf numFmtId="0" fontId="31" fillId="5" borderId="51" xfId="0" applyFont="1" applyFill="1" applyBorder="1" applyAlignment="1">
      <alignment horizontal="center"/>
    </xf>
    <xf numFmtId="0" fontId="45" fillId="5" borderId="0" xfId="0" applyFont="1" applyFill="1" applyAlignment="1">
      <alignment horizontal="center"/>
    </xf>
    <xf numFmtId="0" fontId="31" fillId="18" borderId="50" xfId="0" applyFont="1" applyFill="1" applyBorder="1" applyAlignment="1">
      <alignment horizontal="center"/>
    </xf>
    <xf numFmtId="0" fontId="31" fillId="18" borderId="0" xfId="0" applyFont="1" applyFill="1" applyAlignment="1">
      <alignment horizontal="center"/>
    </xf>
    <xf numFmtId="0" fontId="45" fillId="5" borderId="67" xfId="0" applyFont="1" applyFill="1" applyBorder="1" applyAlignment="1">
      <alignment horizontal="center"/>
    </xf>
    <xf numFmtId="0" fontId="45" fillId="5" borderId="68" xfId="0" applyFont="1" applyFill="1" applyBorder="1" applyAlignment="1">
      <alignment horizontal="center"/>
    </xf>
    <xf numFmtId="0" fontId="9" fillId="0" borderId="72" xfId="0" applyFont="1" applyBorder="1" applyAlignment="1">
      <alignment horizontal="center" vertical="center"/>
    </xf>
    <xf numFmtId="0" fontId="9" fillId="0" borderId="74" xfId="0" applyFont="1" applyBorder="1" applyAlignment="1">
      <alignment horizontal="center" vertical="center"/>
    </xf>
    <xf numFmtId="0" fontId="31" fillId="5" borderId="72" xfId="0" applyFont="1" applyFill="1" applyBorder="1" applyAlignment="1">
      <alignment horizontal="center"/>
    </xf>
    <xf numFmtId="0" fontId="31" fillId="5" borderId="73" xfId="0" applyFont="1" applyFill="1" applyBorder="1" applyAlignment="1">
      <alignment horizontal="center"/>
    </xf>
    <xf numFmtId="0" fontId="31" fillId="5" borderId="74" xfId="0" applyFont="1" applyFill="1" applyBorder="1" applyAlignment="1">
      <alignment horizontal="center"/>
    </xf>
    <xf numFmtId="0" fontId="0" fillId="0" borderId="98" xfId="0" applyBorder="1" applyAlignment="1">
      <alignment horizontal="center" vertical="center" wrapText="1"/>
    </xf>
    <xf numFmtId="0" fontId="0" fillId="0" borderId="40" xfId="0" applyBorder="1" applyAlignment="1">
      <alignment horizontal="center" vertical="center" wrapText="1"/>
    </xf>
    <xf numFmtId="0" fontId="34" fillId="0" borderId="98" xfId="0" applyFont="1" applyBorder="1" applyAlignment="1">
      <alignment horizontal="center" vertical="center" wrapText="1"/>
    </xf>
    <xf numFmtId="0" fontId="0" fillId="0" borderId="99" xfId="0" applyBorder="1" applyAlignment="1">
      <alignment horizontal="center" vertical="center" wrapText="1"/>
    </xf>
    <xf numFmtId="0" fontId="0" fillId="0" borderId="71" xfId="0" applyBorder="1" applyAlignment="1">
      <alignment horizontal="center" vertical="center" wrapText="1"/>
    </xf>
    <xf numFmtId="0" fontId="31" fillId="5" borderId="67" xfId="0" applyFont="1" applyFill="1" applyBorder="1" applyAlignment="1">
      <alignment horizontal="center"/>
    </xf>
    <xf numFmtId="0" fontId="31" fillId="5" borderId="68" xfId="0" applyFont="1" applyFill="1" applyBorder="1" applyAlignment="1">
      <alignment horizontal="center"/>
    </xf>
    <xf numFmtId="0" fontId="45" fillId="5" borderId="73" xfId="0" applyFont="1" applyFill="1" applyBorder="1" applyAlignment="1">
      <alignment horizontal="center"/>
    </xf>
    <xf numFmtId="0" fontId="45" fillId="5" borderId="74" xfId="0" applyFont="1" applyFill="1" applyBorder="1" applyAlignment="1">
      <alignment horizontal="center"/>
    </xf>
    <xf numFmtId="0" fontId="0" fillId="0" borderId="85" xfId="0" applyBorder="1" applyAlignment="1">
      <alignment horizontal="center" wrapText="1"/>
    </xf>
    <xf numFmtId="0" fontId="0" fillId="0" borderId="86" xfId="0" applyBorder="1" applyAlignment="1">
      <alignment horizontal="center"/>
    </xf>
    <xf numFmtId="0" fontId="71" fillId="0" borderId="82" xfId="0" applyFont="1" applyBorder="1" applyAlignment="1">
      <alignment horizontal="center" vertical="center"/>
    </xf>
    <xf numFmtId="0" fontId="0" fillId="0" borderId="83" xfId="0" applyBorder="1" applyAlignment="1">
      <alignment horizontal="center" vertical="center"/>
    </xf>
    <xf numFmtId="0" fontId="13" fillId="14" borderId="72" xfId="0" applyFont="1" applyFill="1" applyBorder="1" applyAlignment="1">
      <alignment horizontal="center"/>
    </xf>
    <xf numFmtId="0" fontId="13" fillId="14" borderId="73" xfId="0" applyFont="1" applyFill="1" applyBorder="1" applyAlignment="1">
      <alignment horizontal="center"/>
    </xf>
    <xf numFmtId="0" fontId="13" fillId="14" borderId="74" xfId="0" applyFont="1" applyFill="1" applyBorder="1" applyAlignment="1">
      <alignment horizontal="center"/>
    </xf>
    <xf numFmtId="0" fontId="13" fillId="24" borderId="79" xfId="0" applyFont="1" applyFill="1" applyBorder="1" applyAlignment="1">
      <alignment horizontal="center"/>
    </xf>
    <xf numFmtId="0" fontId="13" fillId="24" borderId="80" xfId="0" applyFont="1" applyFill="1" applyBorder="1" applyAlignment="1">
      <alignment horizontal="center"/>
    </xf>
    <xf numFmtId="0" fontId="13" fillId="24" borderId="81" xfId="0" applyFont="1" applyFill="1" applyBorder="1" applyAlignment="1">
      <alignment horizontal="center"/>
    </xf>
    <xf numFmtId="0" fontId="8" fillId="0" borderId="82" xfId="0" applyFont="1" applyBorder="1" applyAlignment="1">
      <alignment horizontal="center"/>
    </xf>
    <xf numFmtId="0" fontId="8" fillId="0" borderId="84" xfId="0" applyFont="1" applyBorder="1" applyAlignment="1">
      <alignment horizontal="center"/>
    </xf>
    <xf numFmtId="0" fontId="8" fillId="0" borderId="83" xfId="0" applyFont="1" applyBorder="1" applyAlignment="1">
      <alignment horizontal="center"/>
    </xf>
    <xf numFmtId="10" fontId="13" fillId="0" borderId="82" xfId="15" applyNumberFormat="1" applyFont="1" applyBorder="1" applyAlignment="1">
      <alignment horizontal="center"/>
    </xf>
    <xf numFmtId="10" fontId="13" fillId="0" borderId="84" xfId="15" applyNumberFormat="1" applyFont="1" applyBorder="1" applyAlignment="1">
      <alignment horizontal="center"/>
    </xf>
    <xf numFmtId="10" fontId="13" fillId="0" borderId="83" xfId="15" applyNumberFormat="1" applyFont="1" applyBorder="1" applyAlignment="1">
      <alignment horizontal="center"/>
    </xf>
    <xf numFmtId="0" fontId="8" fillId="0" borderId="82" xfId="0" applyFont="1" applyBorder="1" applyAlignment="1">
      <alignment horizontal="center" wrapText="1"/>
    </xf>
    <xf numFmtId="0" fontId="13" fillId="0" borderId="82" xfId="0" applyFont="1" applyBorder="1" applyAlignment="1">
      <alignment horizontal="center"/>
    </xf>
    <xf numFmtId="0" fontId="13" fillId="0" borderId="84" xfId="0" applyFont="1" applyBorder="1" applyAlignment="1">
      <alignment horizontal="center"/>
    </xf>
    <xf numFmtId="0" fontId="13" fillId="0" borderId="83" xfId="0" applyFont="1" applyBorder="1" applyAlignment="1">
      <alignment horizontal="center"/>
    </xf>
    <xf numFmtId="0" fontId="78" fillId="0" borderId="82" xfId="33" applyBorder="1" applyAlignment="1">
      <alignment horizontal="center"/>
    </xf>
    <xf numFmtId="0" fontId="78" fillId="0" borderId="83" xfId="33" applyBorder="1" applyAlignment="1">
      <alignment horizontal="center"/>
    </xf>
    <xf numFmtId="0" fontId="31" fillId="5" borderId="72" xfId="0" applyFont="1" applyFill="1" applyBorder="1" applyAlignment="1">
      <alignment horizontal="center" vertical="center"/>
    </xf>
    <xf numFmtId="0" fontId="31" fillId="5" borderId="73" xfId="0" applyFont="1" applyFill="1" applyBorder="1" applyAlignment="1">
      <alignment horizontal="center" vertical="center"/>
    </xf>
    <xf numFmtId="0" fontId="31" fillId="5" borderId="76" xfId="0" applyFont="1" applyFill="1" applyBorder="1" applyAlignment="1">
      <alignment horizontal="center" vertical="center"/>
    </xf>
    <xf numFmtId="0" fontId="13" fillId="24" borderId="77" xfId="0" applyFont="1" applyFill="1" applyBorder="1" applyAlignment="1">
      <alignment horizontal="center"/>
    </xf>
    <xf numFmtId="0" fontId="13" fillId="24" borderId="78" xfId="0" applyFont="1" applyFill="1" applyBorder="1" applyAlignment="1">
      <alignment horizontal="center"/>
    </xf>
    <xf numFmtId="0" fontId="71" fillId="0" borderId="82" xfId="0" applyFont="1" applyBorder="1" applyAlignment="1">
      <alignment horizontal="center" vertical="center" wrapText="1"/>
    </xf>
    <xf numFmtId="0" fontId="66" fillId="0" borderId="113" xfId="0" applyFont="1" applyBorder="1" applyAlignment="1">
      <alignment horizontal="center" vertical="center" wrapText="1"/>
    </xf>
    <xf numFmtId="0" fontId="66" fillId="0" borderId="114" xfId="0" applyFont="1" applyBorder="1" applyAlignment="1">
      <alignment horizontal="center" vertical="center" wrapText="1"/>
    </xf>
    <xf numFmtId="0" fontId="66" fillId="0" borderId="115" xfId="0" applyFont="1" applyBorder="1" applyAlignment="1">
      <alignment horizontal="center" vertical="center" wrapText="1"/>
    </xf>
    <xf numFmtId="0" fontId="23" fillId="0" borderId="114" xfId="0" applyFont="1" applyBorder="1" applyAlignment="1">
      <alignment horizontal="center" vertical="center" wrapText="1"/>
    </xf>
    <xf numFmtId="0" fontId="23" fillId="0" borderId="115" xfId="0" applyFont="1" applyBorder="1" applyAlignment="1">
      <alignment horizontal="center" vertical="center" wrapText="1"/>
    </xf>
    <xf numFmtId="0" fontId="49" fillId="5" borderId="64" xfId="0" applyFont="1" applyFill="1" applyBorder="1" applyAlignment="1">
      <alignment horizontal="center"/>
    </xf>
    <xf numFmtId="0" fontId="8" fillId="39" borderId="223" xfId="0" applyFont="1" applyFill="1" applyBorder="1" applyAlignment="1">
      <alignment horizontal="center" vertical="center" wrapText="1"/>
    </xf>
    <xf numFmtId="0" fontId="71" fillId="0" borderId="64" xfId="0" applyFont="1" applyBorder="1" applyAlignment="1">
      <alignment horizontal="center" vertical="center" wrapText="1"/>
    </xf>
    <xf numFmtId="0" fontId="71" fillId="0" borderId="224" xfId="0" applyFont="1" applyBorder="1" applyAlignment="1">
      <alignment horizontal="center" vertical="center" wrapText="1"/>
    </xf>
    <xf numFmtId="0" fontId="27" fillId="5" borderId="220" xfId="25" applyFont="1" applyFill="1" applyBorder="1" applyAlignment="1">
      <alignment horizontal="center" vertical="center"/>
    </xf>
    <xf numFmtId="0" fontId="27" fillId="5" borderId="221" xfId="25" applyFont="1" applyFill="1" applyBorder="1" applyAlignment="1">
      <alignment horizontal="center" vertical="center"/>
    </xf>
    <xf numFmtId="0" fontId="27" fillId="5" borderId="222" xfId="25" applyFont="1" applyFill="1" applyBorder="1" applyAlignment="1">
      <alignment horizontal="center" vertical="center"/>
    </xf>
    <xf numFmtId="0" fontId="8" fillId="45" borderId="223" xfId="0" applyFont="1" applyFill="1" applyBorder="1" applyAlignment="1">
      <alignment horizontal="center" vertical="center" wrapText="1"/>
    </xf>
    <xf numFmtId="0" fontId="8" fillId="44" borderId="223" xfId="0" applyFont="1" applyFill="1" applyBorder="1" applyAlignment="1">
      <alignment horizontal="center" vertical="center" wrapText="1"/>
    </xf>
    <xf numFmtId="0" fontId="8" fillId="44" borderId="225" xfId="0" applyFont="1" applyFill="1" applyBorder="1" applyAlignment="1">
      <alignment horizontal="center" vertical="center" wrapText="1"/>
    </xf>
    <xf numFmtId="0" fontId="71" fillId="0" borderId="226" xfId="0" applyFont="1" applyBorder="1" applyAlignment="1">
      <alignment horizontal="center" vertical="center" wrapText="1"/>
    </xf>
    <xf numFmtId="0" fontId="71" fillId="0" borderId="227" xfId="0" applyFont="1" applyBorder="1" applyAlignment="1">
      <alignment horizontal="center" vertical="center" wrapText="1"/>
    </xf>
    <xf numFmtId="2" fontId="0" fillId="0" borderId="0" xfId="25" applyNumberFormat="1" applyFont="1" applyAlignment="1">
      <alignment horizontal="center"/>
    </xf>
    <xf numFmtId="0" fontId="16" fillId="18" borderId="116" xfId="1" applyFill="1" applyBorder="1" applyAlignment="1">
      <alignment horizontal="center" vertical="center" readingOrder="1"/>
    </xf>
    <xf numFmtId="0" fontId="52" fillId="18" borderId="116" xfId="25" applyFont="1" applyFill="1" applyBorder="1" applyAlignment="1">
      <alignment horizontal="center"/>
    </xf>
    <xf numFmtId="0" fontId="0" fillId="0" borderId="0" xfId="25" applyFont="1" applyAlignment="1">
      <alignment horizontal="center"/>
    </xf>
    <xf numFmtId="0" fontId="27" fillId="5" borderId="140" xfId="25" applyFont="1" applyFill="1" applyBorder="1" applyAlignment="1">
      <alignment horizontal="center" vertical="center"/>
    </xf>
    <xf numFmtId="0" fontId="27" fillId="5" borderId="30" xfId="25" applyFont="1" applyFill="1" applyBorder="1" applyAlignment="1">
      <alignment horizontal="center" vertical="center"/>
    </xf>
    <xf numFmtId="0" fontId="27" fillId="5" borderId="31" xfId="25" applyFont="1" applyFill="1" applyBorder="1" applyAlignment="1">
      <alignment horizontal="center" vertical="center"/>
    </xf>
    <xf numFmtId="0" fontId="29" fillId="0" borderId="141" xfId="25" applyFont="1" applyBorder="1" applyAlignment="1">
      <alignment horizontal="center" vertical="center" wrapText="1"/>
    </xf>
    <xf numFmtId="0" fontId="29" fillId="0" borderId="142" xfId="25" applyFont="1" applyBorder="1" applyAlignment="1">
      <alignment horizontal="center" vertical="center" wrapText="1"/>
    </xf>
    <xf numFmtId="0" fontId="29" fillId="0" borderId="143" xfId="25" applyFont="1" applyBorder="1" applyAlignment="1">
      <alignment horizontal="center" vertical="center" wrapText="1"/>
    </xf>
    <xf numFmtId="0" fontId="8" fillId="39" borderId="214" xfId="0" applyFont="1" applyFill="1" applyBorder="1" applyAlignment="1">
      <alignment horizontal="center"/>
    </xf>
    <xf numFmtId="0" fontId="8" fillId="39" borderId="215" xfId="0" applyFont="1" applyFill="1" applyBorder="1" applyAlignment="1">
      <alignment horizontal="center"/>
    </xf>
    <xf numFmtId="0" fontId="8" fillId="39" borderId="181" xfId="0" applyFont="1" applyFill="1" applyBorder="1" applyAlignment="1">
      <alignment horizontal="center"/>
    </xf>
    <xf numFmtId="0" fontId="63" fillId="0" borderId="3" xfId="28" applyFont="1" applyBorder="1" applyAlignment="1">
      <alignment horizontal="center" vertical="center"/>
    </xf>
    <xf numFmtId="0" fontId="63" fillId="0" borderId="2" xfId="28" applyFont="1" applyBorder="1" applyAlignment="1">
      <alignment horizontal="center" vertical="center"/>
    </xf>
    <xf numFmtId="0" fontId="54" fillId="36" borderId="0" xfId="0" applyFont="1" applyFill="1" applyAlignment="1">
      <alignment horizontal="left" vertical="center"/>
    </xf>
    <xf numFmtId="0" fontId="54" fillId="36" borderId="145" xfId="0" applyFont="1" applyFill="1" applyBorder="1" applyAlignment="1">
      <alignment horizontal="left" vertical="center"/>
    </xf>
    <xf numFmtId="0" fontId="55" fillId="0" borderId="3" xfId="0" applyFont="1" applyBorder="1" applyAlignment="1">
      <alignment horizontal="center" vertical="center"/>
    </xf>
    <xf numFmtId="0" fontId="55" fillId="0" borderId="4" xfId="0" applyFont="1" applyBorder="1" applyAlignment="1">
      <alignment horizontal="center" vertical="center"/>
    </xf>
    <xf numFmtId="0" fontId="55" fillId="0" borderId="2" xfId="0" applyFont="1" applyBorder="1" applyAlignment="1">
      <alignment horizontal="center" vertical="center"/>
    </xf>
    <xf numFmtId="0" fontId="13" fillId="0" borderId="132" xfId="0" applyFont="1" applyBorder="1" applyAlignment="1">
      <alignment horizontal="center" vertical="center" wrapText="1"/>
    </xf>
    <xf numFmtId="0" fontId="55" fillId="0" borderId="133" xfId="0" applyFont="1" applyBorder="1" applyAlignment="1">
      <alignment horizontal="center" vertical="center" wrapText="1"/>
    </xf>
    <xf numFmtId="0" fontId="55" fillId="0" borderId="130" xfId="0" applyFont="1" applyBorder="1" applyAlignment="1">
      <alignment horizontal="center" vertical="center" wrapText="1"/>
    </xf>
    <xf numFmtId="0" fontId="60" fillId="28" borderId="132" xfId="0" applyFont="1" applyFill="1" applyBorder="1" applyAlignment="1">
      <alignment horizontal="center"/>
    </xf>
    <xf numFmtId="0" fontId="60" fillId="28" borderId="0" xfId="0" applyFont="1" applyFill="1" applyAlignment="1">
      <alignment horizontal="center"/>
    </xf>
    <xf numFmtId="0" fontId="60" fillId="28" borderId="144" xfId="0" applyFont="1" applyFill="1" applyBorder="1" applyAlignment="1">
      <alignment horizontal="center"/>
    </xf>
    <xf numFmtId="0" fontId="60" fillId="28" borderId="128" xfId="0" applyFont="1" applyFill="1" applyBorder="1" applyAlignment="1">
      <alignment horizontal="center"/>
    </xf>
    <xf numFmtId="0" fontId="60" fillId="28" borderId="196" xfId="0" applyFont="1" applyFill="1" applyBorder="1" applyAlignment="1">
      <alignment horizontal="center"/>
    </xf>
    <xf numFmtId="0" fontId="53" fillId="12" borderId="214" xfId="0" applyFont="1" applyFill="1" applyBorder="1" applyAlignment="1">
      <alignment horizontal="center"/>
    </xf>
    <xf numFmtId="0" fontId="53" fillId="12" borderId="215" xfId="0" applyFont="1" applyFill="1" applyBorder="1" applyAlignment="1">
      <alignment horizontal="center"/>
    </xf>
    <xf numFmtId="0" fontId="53" fillId="12" borderId="181" xfId="0" applyFont="1" applyFill="1" applyBorder="1" applyAlignment="1">
      <alignment horizontal="center"/>
    </xf>
    <xf numFmtId="0" fontId="53" fillId="39" borderId="214" xfId="0" applyFont="1" applyFill="1" applyBorder="1" applyAlignment="1">
      <alignment horizontal="center"/>
    </xf>
    <xf numFmtId="0" fontId="53" fillId="39" borderId="215" xfId="0" applyFont="1" applyFill="1" applyBorder="1" applyAlignment="1">
      <alignment horizontal="center"/>
    </xf>
    <xf numFmtId="0" fontId="53" fillId="39" borderId="181" xfId="0" applyFont="1" applyFill="1" applyBorder="1" applyAlignment="1">
      <alignment horizontal="center"/>
    </xf>
    <xf numFmtId="0" fontId="55" fillId="0" borderId="130" xfId="0" applyFont="1" applyBorder="1" applyAlignment="1">
      <alignment horizontal="center" vertical="center"/>
    </xf>
    <xf numFmtId="0" fontId="55" fillId="0" borderId="133" xfId="0" applyFont="1" applyBorder="1" applyAlignment="1">
      <alignment horizontal="center" vertical="center"/>
    </xf>
    <xf numFmtId="0" fontId="55" fillId="0" borderId="216" xfId="0" applyFont="1" applyBorder="1" applyAlignment="1">
      <alignment horizontal="center" vertical="center"/>
    </xf>
    <xf numFmtId="0" fontId="55" fillId="0" borderId="172" xfId="0" applyFont="1" applyBorder="1" applyAlignment="1">
      <alignment horizontal="center" vertical="center"/>
    </xf>
    <xf numFmtId="0" fontId="55" fillId="0" borderId="122" xfId="0" applyFont="1" applyBorder="1" applyAlignment="1">
      <alignment horizontal="center" vertical="center"/>
    </xf>
    <xf numFmtId="0" fontId="76" fillId="7" borderId="0" xfId="0" applyFont="1" applyFill="1" applyAlignment="1">
      <alignment horizontal="center"/>
    </xf>
    <xf numFmtId="0" fontId="43" fillId="0" borderId="0" xfId="0" applyFont="1" applyAlignment="1">
      <alignment horizontal="center"/>
    </xf>
    <xf numFmtId="0" fontId="9" fillId="0" borderId="0" xfId="0" applyFont="1" applyAlignment="1">
      <alignment horizontal="center"/>
    </xf>
    <xf numFmtId="0" fontId="39" fillId="0" borderId="0" xfId="0" applyFont="1" applyAlignment="1">
      <alignment horizontal="center"/>
    </xf>
    <xf numFmtId="0" fontId="13" fillId="0" borderId="3" xfId="0" applyFont="1" applyBorder="1" applyAlignment="1">
      <alignment horizontal="center"/>
    </xf>
    <xf numFmtId="0" fontId="13" fillId="0" borderId="2" xfId="0" applyFont="1" applyBorder="1" applyAlignment="1">
      <alignment horizontal="center"/>
    </xf>
    <xf numFmtId="0" fontId="13" fillId="0" borderId="34" xfId="0" applyFont="1" applyBorder="1" applyAlignment="1">
      <alignment horizontal="center"/>
    </xf>
    <xf numFmtId="0" fontId="13" fillId="0" borderId="5" xfId="0" applyFont="1" applyBorder="1" applyAlignment="1">
      <alignment horizontal="center"/>
    </xf>
    <xf numFmtId="0" fontId="13" fillId="0" borderId="35" xfId="0" applyFont="1" applyBorder="1" applyAlignment="1">
      <alignment horizontal="center"/>
    </xf>
    <xf numFmtId="0" fontId="35" fillId="0" borderId="0" xfId="0" applyFont="1" applyAlignment="1">
      <alignment horizontal="center"/>
    </xf>
    <xf numFmtId="0" fontId="23" fillId="0" borderId="0" xfId="0" applyFont="1" applyAlignment="1">
      <alignment horizontal="center"/>
    </xf>
    <xf numFmtId="0" fontId="35" fillId="19" borderId="0" xfId="0" applyFont="1" applyFill="1" applyAlignment="1">
      <alignment horizontal="center"/>
    </xf>
    <xf numFmtId="4" fontId="35" fillId="19" borderId="0" xfId="0" applyNumberFormat="1" applyFont="1" applyFill="1" applyAlignment="1">
      <alignment horizontal="center"/>
    </xf>
    <xf numFmtId="0" fontId="0" fillId="0" borderId="10" xfId="0" applyBorder="1" applyAlignment="1"/>
    <xf numFmtId="0" fontId="53" fillId="0" borderId="0" xfId="0" applyFont="1" applyAlignment="1"/>
  </cellXfs>
  <cellStyles count="34">
    <cellStyle name="blp_title_header_row_left" xfId="1" xr:uid="{00000000-0005-0000-0000-000000000000}"/>
    <cellStyle name="fa_column_header_bottom_left 2" xfId="2" xr:uid="{00000000-0005-0000-0000-000001000000}"/>
    <cellStyle name="fa_column_header_top 2" xfId="3" xr:uid="{00000000-0005-0000-0000-000002000000}"/>
    <cellStyle name="fa_column_header_top_left 2" xfId="4" xr:uid="{00000000-0005-0000-0000-000003000000}"/>
    <cellStyle name="fa_data_bold_0_grouped" xfId="5" xr:uid="{00000000-0005-0000-0000-000004000000}"/>
    <cellStyle name="fa_data_standard_1_grouped" xfId="6" xr:uid="{00000000-0005-0000-0000-000005000000}"/>
    <cellStyle name="fa_data_standard_2_grouped" xfId="7" xr:uid="{00000000-0005-0000-0000-000006000000}"/>
    <cellStyle name="fa_footer_italic" xfId="8" xr:uid="{00000000-0005-0000-0000-000007000000}"/>
    <cellStyle name="fa_row_header_bold 2" xfId="9" xr:uid="{00000000-0005-0000-0000-000008000000}"/>
    <cellStyle name="fa_row_header_standard 2" xfId="10" xr:uid="{00000000-0005-0000-0000-000009000000}"/>
    <cellStyle name="Moneda 2" xfId="11" xr:uid="{00000000-0005-0000-0000-00000B000000}"/>
    <cellStyle name="Moneda 2 2" xfId="12" xr:uid="{00000000-0005-0000-0000-00000C000000}"/>
    <cellStyle name="Normal 2" xfId="13" xr:uid="{00000000-0005-0000-0000-00000E000000}"/>
    <cellStyle name="Normal 2 2" xfId="14" xr:uid="{00000000-0005-0000-0000-00000F000000}"/>
    <cellStyle name="Normal 2 3" xfId="19" xr:uid="{00000000-0005-0000-0000-000010000000}"/>
    <cellStyle name="Normal 2 3 2" xfId="26" xr:uid="{6A4611F8-31D7-4EA6-B27B-70EB4E34E8FD}"/>
    <cellStyle name="Normal 2 4" xfId="20" xr:uid="{DBC68614-B0BC-4348-8A0D-C96562B201CF}"/>
    <cellStyle name="Normal 3" xfId="23" xr:uid="{371B90F0-6B8E-40BF-8358-D28B574437C9}"/>
    <cellStyle name="Normal 3 2" xfId="25" xr:uid="{41BD78A2-6B23-4ADD-839D-9D86F14E11A2}"/>
    <cellStyle name="Normal 3 3" xfId="28" xr:uid="{4CBFF9A4-05AD-4A91-8AF0-FA0B5B39E2EC}"/>
    <cellStyle name="Normal 5" xfId="29" xr:uid="{E3BE1569-E214-4855-8BF5-B868B88B5743}"/>
    <cellStyle name="Normal 9" xfId="32" xr:uid="{CACD4D4E-2C7F-4816-9692-26D0FDD559DC}"/>
    <cellStyle name="Porcentaje 2" xfId="16" xr:uid="{00000000-0005-0000-0000-000012000000}"/>
    <cellStyle name="Porcentaje 2 2" xfId="17" xr:uid="{00000000-0005-0000-0000-000013000000}"/>
    <cellStyle name="Porcentaje 2 2 2" xfId="24" xr:uid="{924DB8B0-6B9C-4A78-9CB6-7EC8F42C7C6B}"/>
    <cellStyle name="Porcentaje 2 3" xfId="22" xr:uid="{1FF2580F-E450-433A-8AB5-6E1CABCA8FC9}"/>
    <cellStyle name="Porcentaje 2 4" xfId="27" xr:uid="{3D812F63-E4F6-4F6D-A613-EF79E76ACE35}"/>
    <cellStyle name="Porcentaje 3" xfId="18" xr:uid="{00000000-0005-0000-0000-000014000000}"/>
    <cellStyle name="Porcentaje 3 2" xfId="21" xr:uid="{59E732CE-B697-4AF7-8CEE-0C42EB60E78B}"/>
    <cellStyle name="Porcentaje 4 2" xfId="31" xr:uid="{C6A0E8B8-33DC-4334-89A4-99FF669E5EA8}"/>
    <cellStyle name="Porcentaje 5" xfId="30" xr:uid="{F07CEC0B-CE59-4BBC-A0C7-9B77A84167BF}"/>
    <cellStyle name="百分比" xfId="15" builtinId="5"/>
    <cellStyle name="常规" xfId="0" builtinId="0"/>
    <cellStyle name="超链接" xfId="33" builtinId="8"/>
  </cellStyles>
  <dxfs count="35">
    <dxf>
      <fill>
        <patternFill>
          <bgColor rgb="FF00B050"/>
        </patternFill>
      </fill>
    </dxf>
    <dxf>
      <fill>
        <patternFill>
          <bgColor rgb="FFFF0000"/>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ont>
        <color theme="0" tint="-0.499984740745262"/>
      </font>
      <fill>
        <patternFill>
          <bgColor theme="0" tint="-0.499984740745262"/>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7B8256E5-5961-45BC-8E74-75040304E975}"/>
  </tableStyles>
  <colors>
    <mruColors>
      <color rgb="FFF2B72E"/>
      <color rgb="FFC5D9F1"/>
      <color rgb="FF1B7087"/>
      <color rgb="FF1F497D"/>
      <color rgb="FF3174C5"/>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ichStyles" Target="richData/richStyles.xml"/><Relationship Id="rId26" Type="http://schemas.openxmlformats.org/officeDocument/2006/relationships/customXml" Target="../customXml/item3.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Structure" Target="richData/rdrichvaluestructure.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17/06/relationships/rdRichValue" Target="richData/rdrichvalu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95-4C49-84C7-5728DDC218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95-4C49-84C7-5728DDC218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95-4C49-84C7-5728DDC2187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95-4C49-84C7-5728DDC2187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95-4C49-84C7-5728DDC2187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D0A-4D2F-9638-2FF0593E71D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9E6-4A1B-AED9-06420E38D3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Segments!$C$18:$C$24</c:f>
              <c:strCache>
                <c:ptCount val="7"/>
                <c:pt idx="0">
                  <c:v>Leather Goods and Saddlery</c:v>
                </c:pt>
                <c:pt idx="1">
                  <c:v>Ready-to-wear and Accessories</c:v>
                </c:pt>
                <c:pt idx="2">
                  <c:v>Silk and Textiles</c:v>
                </c:pt>
                <c:pt idx="3">
                  <c:v>Other Hermès Sectors</c:v>
                </c:pt>
                <c:pt idx="4">
                  <c:v>Perfume and Beauty</c:v>
                </c:pt>
                <c:pt idx="5">
                  <c:v>Watches</c:v>
                </c:pt>
                <c:pt idx="6">
                  <c:v>Other Products</c:v>
                </c:pt>
              </c:strCache>
            </c:strRef>
          </c:cat>
          <c:val>
            <c:numRef>
              <c:f>Segments!$D$18:$D$24</c:f>
              <c:numCache>
                <c:formatCode>"$"#,##0</c:formatCode>
                <c:ptCount val="7"/>
                <c:pt idx="0">
                  <c:v>4963</c:v>
                </c:pt>
                <c:pt idx="1">
                  <c:v>3152</c:v>
                </c:pt>
                <c:pt idx="2">
                  <c:v>842</c:v>
                </c:pt>
                <c:pt idx="3">
                  <c:v>1371</c:v>
                </c:pt>
                <c:pt idx="4">
                  <c:v>448</c:v>
                </c:pt>
                <c:pt idx="5">
                  <c:v>519</c:v>
                </c:pt>
                <c:pt idx="6">
                  <c:v>306</c:v>
                </c:pt>
              </c:numCache>
            </c:numRef>
          </c:val>
          <c:extLst>
            <c:ext xmlns:c16="http://schemas.microsoft.com/office/drawing/2014/chart" uri="{C3380CC4-5D6E-409C-BE32-E72D297353CC}">
              <c16:uniqueId val="{00000001-CF53-4579-B1F0-E5091D75744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9F-49D6-9FC9-334380BCCA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9F-49D6-9FC9-334380BCCA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C0-4978-822B-C231DBE6DF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C0-4978-822B-C231DBE6DFF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C0-4978-822B-C231DBE6DFF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4C0-4978-822B-C231DBE6DF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Segments!$C$5:$C$10</c:f>
              <c:strCache>
                <c:ptCount val="6"/>
                <c:pt idx="0">
                  <c:v>France</c:v>
                </c:pt>
                <c:pt idx="1">
                  <c:v>Europe (excluding France)</c:v>
                </c:pt>
                <c:pt idx="2">
                  <c:v>Japan</c:v>
                </c:pt>
                <c:pt idx="3">
                  <c:v>Asia-Pacific (excluding Japan)</c:v>
                </c:pt>
                <c:pt idx="4">
                  <c:v>Americas</c:v>
                </c:pt>
                <c:pt idx="5">
                  <c:v>Other Geographical Areas</c:v>
                </c:pt>
              </c:strCache>
            </c:strRef>
          </c:cat>
          <c:val>
            <c:numRef>
              <c:f>Segments!$D$5:$D$10</c:f>
              <c:numCache>
                <c:formatCode>"$"#,##0</c:formatCode>
                <c:ptCount val="6"/>
                <c:pt idx="0">
                  <c:v>1064</c:v>
                </c:pt>
                <c:pt idx="1">
                  <c:v>1536</c:v>
                </c:pt>
                <c:pt idx="2">
                  <c:v>1101</c:v>
                </c:pt>
                <c:pt idx="3">
                  <c:v>5556</c:v>
                </c:pt>
                <c:pt idx="4">
                  <c:v>2138</c:v>
                </c:pt>
                <c:pt idx="5">
                  <c:v>207</c:v>
                </c:pt>
              </c:numCache>
            </c:numRef>
          </c:val>
          <c:extLst>
            <c:ext xmlns:c16="http://schemas.microsoft.com/office/drawing/2014/chart" uri="{C3380CC4-5D6E-409C-BE32-E72D297353CC}">
              <c16:uniqueId val="{00000001-C3B0-4A61-A0D4-9A0AF72915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Peers!$C$8</c:f>
              <c:strCache>
                <c:ptCount val="1"/>
                <c:pt idx="0">
                  <c:v>Hermes International SCA (XPAR:RMS)</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Peers!$C$21</c:f>
              <c:numCache>
                <c:formatCode>0.00</c:formatCode>
                <c:ptCount val="1"/>
                <c:pt idx="0">
                  <c:v>0</c:v>
                </c:pt>
              </c:numCache>
            </c:numRef>
          </c:xVal>
          <c:yVal>
            <c:numRef>
              <c:f>Peers!$C$37</c:f>
              <c:numCache>
                <c:formatCode>0.0</c:formatCode>
                <c:ptCount val="1"/>
                <c:pt idx="0">
                  <c:v>0</c:v>
                </c:pt>
              </c:numCache>
            </c:numRef>
          </c:yVal>
          <c:smooth val="0"/>
          <c:extLst>
            <c:ext xmlns:c16="http://schemas.microsoft.com/office/drawing/2014/chart" uri="{C3380CC4-5D6E-409C-BE32-E72D297353CC}">
              <c16:uniqueId val="{00000001-B547-4DF9-892F-3129917FB3B3}"/>
            </c:ext>
          </c:extLst>
        </c:ser>
        <c:ser>
          <c:idx val="1"/>
          <c:order val="1"/>
          <c:tx>
            <c:strRef>
              <c:f>Peers!$D$8</c:f>
              <c:strCache>
                <c:ptCount val="1"/>
                <c:pt idx="0">
                  <c:v> LVMH Moet Hennessy Louis Vuitton SE (XPAR:MC) </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Peers!$D$21</c:f>
              <c:numCache>
                <c:formatCode>0.00</c:formatCode>
                <c:ptCount val="1"/>
                <c:pt idx="0">
                  <c:v>1.0264343646740763</c:v>
                </c:pt>
              </c:numCache>
            </c:numRef>
          </c:xVal>
          <c:yVal>
            <c:numRef>
              <c:f>Peers!$D$37</c:f>
              <c:numCache>
                <c:formatCode>0.0</c:formatCode>
                <c:ptCount val="1"/>
                <c:pt idx="0">
                  <c:v>14.140357464704115</c:v>
                </c:pt>
              </c:numCache>
            </c:numRef>
          </c:yVal>
          <c:smooth val="0"/>
          <c:extLst>
            <c:ext xmlns:c16="http://schemas.microsoft.com/office/drawing/2014/chart" uri="{C3380CC4-5D6E-409C-BE32-E72D297353CC}">
              <c16:uniqueId val="{00000002-B547-4DF9-892F-3129917FB3B3}"/>
            </c:ext>
          </c:extLst>
        </c:ser>
        <c:ser>
          <c:idx val="2"/>
          <c:order val="2"/>
          <c:tx>
            <c:strRef>
              <c:f>Peers!$E$8</c:f>
              <c:strCache>
                <c:ptCount val="1"/>
                <c:pt idx="0">
                  <c:v>Kering SA (XPAR:KER)</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Peers!$E$21</c:f>
              <c:numCache>
                <c:formatCode>0.00</c:formatCode>
                <c:ptCount val="1"/>
                <c:pt idx="0">
                  <c:v>0.94514128187456925</c:v>
                </c:pt>
              </c:numCache>
            </c:numRef>
          </c:xVal>
          <c:yVal>
            <c:numRef>
              <c:f>Peers!$E$37</c:f>
              <c:numCache>
                <c:formatCode>0.0</c:formatCode>
                <c:ptCount val="1"/>
                <c:pt idx="0">
                  <c:v>7.5835975189524465</c:v>
                </c:pt>
              </c:numCache>
            </c:numRef>
          </c:yVal>
          <c:smooth val="0"/>
          <c:extLst>
            <c:ext xmlns:c16="http://schemas.microsoft.com/office/drawing/2014/chart" uri="{C3380CC4-5D6E-409C-BE32-E72D297353CC}">
              <c16:uniqueId val="{00000003-B547-4DF9-892F-3129917FB3B3}"/>
            </c:ext>
          </c:extLst>
        </c:ser>
        <c:ser>
          <c:idx val="3"/>
          <c:order val="3"/>
          <c:tx>
            <c:strRef>
              <c:f>Peers!$F$8</c:f>
              <c:strCache>
                <c:ptCount val="1"/>
                <c:pt idx="0">
                  <c:v>Prada SpA (XHKG:1913)</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Peers!$F$21</c:f>
              <c:numCache>
                <c:formatCode>0.00</c:formatCode>
                <c:ptCount val="1"/>
                <c:pt idx="0">
                  <c:v>1.0924895688456189</c:v>
                </c:pt>
              </c:numCache>
            </c:numRef>
          </c:xVal>
          <c:yVal>
            <c:numRef>
              <c:f>Peers!$F$37</c:f>
              <c:numCache>
                <c:formatCode>0.0</c:formatCode>
                <c:ptCount val="1"/>
                <c:pt idx="0">
                  <c:v>10.005563282336579</c:v>
                </c:pt>
              </c:numCache>
            </c:numRef>
          </c:yVal>
          <c:smooth val="0"/>
          <c:extLst>
            <c:ext xmlns:c16="http://schemas.microsoft.com/office/drawing/2014/chart" uri="{C3380CC4-5D6E-409C-BE32-E72D297353CC}">
              <c16:uniqueId val="{00000004-B547-4DF9-892F-3129917FB3B3}"/>
            </c:ext>
          </c:extLst>
        </c:ser>
        <c:ser>
          <c:idx val="4"/>
          <c:order val="4"/>
          <c:tx>
            <c:strRef>
              <c:f>Peers!$G$8</c:f>
              <c:strCache>
                <c:ptCount val="1"/>
                <c:pt idx="0">
                  <c:v>BURBERRY GROUP PLC (XLON:BRBY)</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Peers!$G$21</c:f>
              <c:numCache>
                <c:formatCode>0.00</c:formatCode>
                <c:ptCount val="1"/>
                <c:pt idx="0">
                  <c:v>0.46924428822495606</c:v>
                </c:pt>
              </c:numCache>
            </c:numRef>
          </c:xVal>
          <c:yVal>
            <c:numRef>
              <c:f>Peers!$G$37</c:f>
              <c:numCache>
                <c:formatCode>0.0</c:formatCode>
                <c:ptCount val="1"/>
                <c:pt idx="0">
                  <c:v>7.007908611599297</c:v>
                </c:pt>
              </c:numCache>
            </c:numRef>
          </c:yVal>
          <c:smooth val="0"/>
          <c:extLst>
            <c:ext xmlns:c16="http://schemas.microsoft.com/office/drawing/2014/chart" uri="{C3380CC4-5D6E-409C-BE32-E72D297353CC}">
              <c16:uniqueId val="{00000005-B547-4DF9-892F-3129917FB3B3}"/>
            </c:ext>
          </c:extLst>
        </c:ser>
        <c:ser>
          <c:idx val="5"/>
          <c:order val="5"/>
          <c:tx>
            <c:strRef>
              <c:f>Peers!#REF!</c:f>
              <c:strCache>
                <c:ptCount val="1"/>
                <c:pt idx="0">
                  <c:v>#REF!</c:v>
                </c:pt>
              </c:strCache>
            </c:strRef>
          </c:tx>
          <c:spPr>
            <a:ln w="25400" cap="rnd">
              <a:noFill/>
              <a:round/>
            </a:ln>
            <a:effectLst/>
          </c:spPr>
          <c:marker>
            <c:symbol val="circle"/>
            <c:size val="5"/>
            <c:spPr>
              <a:solidFill>
                <a:schemeClr val="accent6"/>
              </a:solidFill>
              <a:ln w="9525">
                <a:solidFill>
                  <a:schemeClr val="accent6"/>
                </a:solidFill>
              </a:ln>
              <a:effectLst/>
            </c:spPr>
          </c:marker>
          <c:xVal>
            <c:strRef>
              <c:f>Peers!#REF!</c:f>
              <c:strCache>
                <c:ptCount val="1"/>
                <c:pt idx="0">
                  <c:v>#REF!</c:v>
                </c:pt>
              </c:strCache>
            </c:strRef>
          </c:xVal>
          <c:yVal>
            <c:numRef>
              <c:f>Peers!#REF!</c:f>
              <c:numCache>
                <c:formatCode>0.0</c:formatCode>
                <c:ptCount val="1"/>
                <c:pt idx="0">
                  <c:v>1</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layout>
        <c:manualLayout>
          <c:xMode val="edge"/>
          <c:yMode val="edge"/>
          <c:x val="0.75158938646039042"/>
          <c:y val="6.3400090120660779E-2"/>
          <c:w val="0.20485076537264754"/>
          <c:h val="0.4410097908889995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Peers!$C$8</c:f>
              <c:strCache>
                <c:ptCount val="1"/>
                <c:pt idx="0">
                  <c:v>Hermes International SCA (XPAR:RMS)</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Peers!$C$44</c:f>
              <c:numCache>
                <c:formatCode>0%</c:formatCode>
                <c:ptCount val="1"/>
              </c:numCache>
            </c:numRef>
          </c:xVal>
          <c:yVal>
            <c:numRef>
              <c:f>Peers!$C$49</c:f>
              <c:numCache>
                <c:formatCode>0%</c:formatCode>
                <c:ptCount val="1"/>
                <c:pt idx="0">
                  <c:v>1.0052707235265932</c:v>
                </c:pt>
              </c:numCache>
            </c:numRef>
          </c:yVal>
          <c:smooth val="0"/>
          <c:extLst>
            <c:ext xmlns:c16="http://schemas.microsoft.com/office/drawing/2014/chart" uri="{C3380CC4-5D6E-409C-BE32-E72D297353CC}">
              <c16:uniqueId val="{00000000-A0AB-4E28-9E73-D8DF3D5B0514}"/>
            </c:ext>
          </c:extLst>
        </c:ser>
        <c:ser>
          <c:idx val="1"/>
          <c:order val="1"/>
          <c:tx>
            <c:strRef>
              <c:f>Peers!$D$8</c:f>
              <c:strCache>
                <c:ptCount val="1"/>
                <c:pt idx="0">
                  <c:v> LVMH Moet Hennessy Louis Vuitton SE (XPAR:MC) </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Peers!$D$44</c:f>
              <c:numCache>
                <c:formatCode>0%</c:formatCode>
                <c:ptCount val="1"/>
                <c:pt idx="0">
                  <c:v>0.43009999999999998</c:v>
                </c:pt>
              </c:numCache>
            </c:numRef>
          </c:xVal>
          <c:yVal>
            <c:numRef>
              <c:f>Peers!$D$49</c:f>
              <c:numCache>
                <c:formatCode>0.00%</c:formatCode>
                <c:ptCount val="1"/>
                <c:pt idx="0">
                  <c:v>0.53110000000000002</c:v>
                </c:pt>
              </c:numCache>
            </c:numRef>
          </c:yVal>
          <c:smooth val="0"/>
          <c:extLst>
            <c:ext xmlns:c16="http://schemas.microsoft.com/office/drawing/2014/chart" uri="{C3380CC4-5D6E-409C-BE32-E72D297353CC}">
              <c16:uniqueId val="{00000001-A0AB-4E28-9E73-D8DF3D5B0514}"/>
            </c:ext>
          </c:extLst>
        </c:ser>
        <c:ser>
          <c:idx val="2"/>
          <c:order val="2"/>
          <c:tx>
            <c:strRef>
              <c:f>Peers!$E$8</c:f>
              <c:strCache>
                <c:ptCount val="1"/>
                <c:pt idx="0">
                  <c:v>Kering SA (XPAR:KER)</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Peers!$E$44</c:f>
              <c:numCache>
                <c:formatCode>0%</c:formatCode>
                <c:ptCount val="1"/>
                <c:pt idx="0">
                  <c:v>-0.33489999999999998</c:v>
                </c:pt>
              </c:numCache>
            </c:numRef>
          </c:xVal>
          <c:yVal>
            <c:numRef>
              <c:f>Peers!$E$49</c:f>
              <c:numCache>
                <c:formatCode>0.00%</c:formatCode>
                <c:ptCount val="1"/>
                <c:pt idx="0">
                  <c:v>0.72840000000000005</c:v>
                </c:pt>
              </c:numCache>
            </c:numRef>
          </c:yVal>
          <c:smooth val="0"/>
          <c:extLst>
            <c:ext xmlns:c16="http://schemas.microsoft.com/office/drawing/2014/chart" uri="{C3380CC4-5D6E-409C-BE32-E72D297353CC}">
              <c16:uniqueId val="{00000002-A0AB-4E28-9E73-D8DF3D5B0514}"/>
            </c:ext>
          </c:extLst>
        </c:ser>
        <c:ser>
          <c:idx val="3"/>
          <c:order val="3"/>
          <c:tx>
            <c:strRef>
              <c:f>Peers!$F$8</c:f>
              <c:strCache>
                <c:ptCount val="1"/>
                <c:pt idx="0">
                  <c:v>Prada SpA (XHKG:1913)</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Peers!$F$44</c:f>
              <c:numCache>
                <c:formatCode>0%</c:formatCode>
                <c:ptCount val="1"/>
                <c:pt idx="0">
                  <c:v>-6.2300000000000001E-2</c:v>
                </c:pt>
              </c:numCache>
            </c:numRef>
          </c:xVal>
          <c:yVal>
            <c:numRef>
              <c:f>Peers!$F$49</c:f>
              <c:numCache>
                <c:formatCode>0.00%</c:formatCode>
                <c:ptCount val="1"/>
                <c:pt idx="0">
                  <c:v>0.38750000000000001</c:v>
                </c:pt>
              </c:numCache>
            </c:numRef>
          </c:yVal>
          <c:smooth val="0"/>
          <c:extLst>
            <c:ext xmlns:c16="http://schemas.microsoft.com/office/drawing/2014/chart" uri="{C3380CC4-5D6E-409C-BE32-E72D297353CC}">
              <c16:uniqueId val="{00000003-A0AB-4E28-9E73-D8DF3D5B0514}"/>
            </c:ext>
          </c:extLst>
        </c:ser>
        <c:ser>
          <c:idx val="5"/>
          <c:order val="4"/>
          <c:tx>
            <c:strRef>
              <c:f>Peers!$G$8</c:f>
              <c:strCache>
                <c:ptCount val="1"/>
                <c:pt idx="0">
                  <c:v>BURBERRY GROUP PLC (XLON:BRBY)</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Peers!$G$44</c:f>
              <c:numCache>
                <c:formatCode>0%</c:formatCode>
                <c:ptCount val="1"/>
                <c:pt idx="0">
                  <c:v>-0.18260000000000001</c:v>
                </c:pt>
              </c:numCache>
            </c:numRef>
          </c:xVal>
          <c:yVal>
            <c:numRef>
              <c:f>Peers!$G$49</c:f>
              <c:numCache>
                <c:formatCode>0.00%</c:formatCode>
                <c:ptCount val="1"/>
                <c:pt idx="0">
                  <c:v>0.64549999999999996</c:v>
                </c:pt>
              </c:numCache>
            </c:numRef>
          </c:yVal>
          <c:smooth val="0"/>
          <c:extLst>
            <c:ext xmlns:c16="http://schemas.microsoft.com/office/drawing/2014/chart" uri="{C3380CC4-5D6E-409C-BE32-E72D297353CC}">
              <c16:uniqueId val="{00000005-A0AB-4E28-9E73-D8DF3D5B0514}"/>
            </c:ext>
          </c:extLst>
        </c:ser>
        <c:ser>
          <c:idx val="6"/>
          <c:order val="5"/>
          <c:tx>
            <c:strRef>
              <c:f>Peers!#REF!</c:f>
              <c:strCache>
                <c:ptCount val="1"/>
                <c:pt idx="0">
                  <c:v>#REF!</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Peers!#REF!</c:f>
              <c:strCache>
                <c:ptCount val="1"/>
                <c:pt idx="0">
                  <c:v>#REF!</c:v>
                </c:pt>
              </c:strCache>
            </c:strRef>
          </c:xVal>
          <c:yVal>
            <c:numRef>
              <c:f>Peers!#REF!</c:f>
              <c:numCache>
                <c:formatCode>0.00%</c:formatCode>
                <c:ptCount val="1"/>
                <c:pt idx="0">
                  <c:v>1</c:v>
                </c:pt>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layout>
        <c:manualLayout>
          <c:xMode val="edge"/>
          <c:yMode val="edge"/>
          <c:x val="0.66925772990334542"/>
          <c:y val="5.812657678810542E-2"/>
          <c:w val="0.17018842544974519"/>
          <c:h val="0.4320029510546223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GHG Scope 1 Emissions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ESG!$N$55</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ESG!$M$56:$M$64</c:f>
              <c:numCache>
                <c:formatCode>General</c:formatCode>
                <c:ptCount val="9"/>
              </c:numCache>
            </c:numRef>
          </c:cat>
          <c:val>
            <c:numRef>
              <c:f>ESG!$N$56:$N$64</c:f>
              <c:numCache>
                <c:formatCode>0.00</c:formatCode>
                <c:ptCount val="9"/>
              </c:numCache>
            </c:numRef>
          </c:val>
          <c:smooth val="0"/>
          <c:extLst>
            <c:ext xmlns:c16="http://schemas.microsoft.com/office/drawing/2014/chart" uri="{C3380CC4-5D6E-409C-BE32-E72D297353CC}">
              <c16:uniqueId val="{00000000-D00D-4823-9007-DC439E2C23DA}"/>
            </c:ext>
          </c:extLst>
        </c:ser>
        <c:ser>
          <c:idx val="1"/>
          <c:order val="1"/>
          <c:tx>
            <c:strRef>
              <c:f>ESG!$O$55</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ESG!$M$56:$M$64</c:f>
              <c:numCache>
                <c:formatCode>General</c:formatCode>
                <c:ptCount val="9"/>
              </c:numCache>
            </c:numRef>
          </c:cat>
          <c:val>
            <c:numRef>
              <c:f>ESG!$O$56:$O$64</c:f>
              <c:numCache>
                <c:formatCode>0.00</c:formatCode>
                <c:ptCount val="9"/>
              </c:numCache>
            </c:numRef>
          </c:val>
          <c:smooth val="0"/>
          <c:extLst>
            <c:ext xmlns:c16="http://schemas.microsoft.com/office/drawing/2014/chart" uri="{C3380CC4-5D6E-409C-BE32-E72D297353CC}">
              <c16:uniqueId val="{00000001-D00D-4823-9007-DC439E2C23DA}"/>
            </c:ext>
          </c:extLst>
        </c:ser>
        <c:ser>
          <c:idx val="3"/>
          <c:order val="3"/>
          <c:tx>
            <c:strRef>
              <c:f>ESG!$Q$55</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ESG!$M$56:$M$64</c:f>
              <c:numCache>
                <c:formatCode>General</c:formatCode>
                <c:ptCount val="9"/>
              </c:numCache>
            </c:numRef>
          </c:cat>
          <c:val>
            <c:numRef>
              <c:f>ESG!$Q$56:$Q$64</c:f>
              <c:numCache>
                <c:formatCode>0.00</c:formatCode>
                <c:ptCount val="9"/>
              </c:numCache>
            </c:numRef>
          </c:val>
          <c:smooth val="0"/>
          <c:extLst>
            <c:ext xmlns:c16="http://schemas.microsoft.com/office/drawing/2014/chart" uri="{C3380CC4-5D6E-409C-BE32-E72D297353CC}">
              <c16:uniqueId val="{00000003-D00D-4823-9007-DC439E2C23DA}"/>
            </c:ext>
          </c:extLst>
        </c:ser>
        <c:ser>
          <c:idx val="4"/>
          <c:order val="4"/>
          <c:tx>
            <c:strRef>
              <c:f>ESG!$R$55</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ESG!$M$56:$M$64</c:f>
              <c:numCache>
                <c:formatCode>General</c:formatCode>
                <c:ptCount val="9"/>
              </c:numCache>
            </c:numRef>
          </c:cat>
          <c:val>
            <c:numRef>
              <c:f>ESG!$R$56:$R$64</c:f>
              <c:numCache>
                <c:formatCode>0.00</c:formatCode>
                <c:ptCount val="9"/>
              </c:numCache>
            </c:numRef>
          </c:val>
          <c:smooth val="0"/>
          <c:extLst>
            <c:ext xmlns:c16="http://schemas.microsoft.com/office/drawing/2014/chart" uri="{C3380CC4-5D6E-409C-BE32-E72D297353CC}">
              <c16:uniqueId val="{00000004-D00D-4823-9007-DC439E2C23DA}"/>
            </c:ext>
          </c:extLst>
        </c:ser>
        <c:ser>
          <c:idx val="5"/>
          <c:order val="5"/>
          <c:tx>
            <c:strRef>
              <c:f>ESG!$S$55</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ESG!$M$56:$M$64</c:f>
              <c:numCache>
                <c:formatCode>General</c:formatCode>
                <c:ptCount val="9"/>
              </c:numCache>
            </c:numRef>
          </c:cat>
          <c:val>
            <c:numRef>
              <c:f>ESG!$S$56:$S$64</c:f>
              <c:numCache>
                <c:formatCode>0.00</c:formatCode>
                <c:ptCount val="9"/>
              </c:numCache>
            </c:numRef>
          </c:val>
          <c:smooth val="0"/>
          <c:extLst>
            <c:ext xmlns:c16="http://schemas.microsoft.com/office/drawing/2014/chart" uri="{C3380CC4-5D6E-409C-BE32-E72D297353CC}">
              <c16:uniqueId val="{00000005-D00D-4823-9007-DC439E2C23DA}"/>
            </c:ext>
          </c:extLst>
        </c:ser>
        <c:dLbls>
          <c:showLegendKey val="0"/>
          <c:showVal val="0"/>
          <c:showCatName val="0"/>
          <c:showSerName val="0"/>
          <c:showPercent val="0"/>
          <c:showBubbleSize val="0"/>
        </c:dLbls>
        <c:marker val="1"/>
        <c:smooth val="0"/>
        <c:axId val="73385855"/>
        <c:axId val="73386335"/>
        <c:extLst>
          <c:ext xmlns:c15="http://schemas.microsoft.com/office/drawing/2012/chart" uri="{02D57815-91ED-43cb-92C2-25804820EDAC}">
            <c15:filteredLineSeries>
              <c15:ser>
                <c:idx val="2"/>
                <c:order val="2"/>
                <c:tx>
                  <c:strRef>
                    <c:extLst>
                      <c:ext uri="{02D57815-91ED-43cb-92C2-25804820EDAC}">
                        <c15:formulaRef>
                          <c15:sqref>ESG!$P$55</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uri="{02D57815-91ED-43cb-92C2-25804820EDAC}">
                        <c15:formulaRef>
                          <c15:sqref>ESG!$M$56:$M$64</c15:sqref>
                        </c15:formulaRef>
                      </c:ext>
                    </c:extLst>
                    <c:numCache>
                      <c:formatCode>General</c:formatCode>
                      <c:ptCount val="9"/>
                    </c:numCache>
                  </c:numRef>
                </c:cat>
                <c:val>
                  <c:numRef>
                    <c:extLst>
                      <c:ext uri="{02D57815-91ED-43cb-92C2-25804820EDAC}">
                        <c15:formulaRef>
                          <c15:sqref>ESG!$P$56:$P$64</c15:sqref>
                        </c15:formulaRef>
                      </c:ext>
                    </c:extLst>
                    <c:numCache>
                      <c:formatCode>0.00</c:formatCode>
                      <c:ptCount val="9"/>
                    </c:numCache>
                  </c:numRef>
                </c:val>
                <c:smooth val="0"/>
                <c:extLst>
                  <c:ext xmlns:c16="http://schemas.microsoft.com/office/drawing/2014/chart" uri="{C3380CC4-5D6E-409C-BE32-E72D297353CC}">
                    <c16:uniqueId val="{00000002-D00D-4823-9007-DC439E2C23DA}"/>
                  </c:ext>
                </c:extLst>
              </c15:ser>
            </c15:filteredLineSeries>
          </c:ext>
        </c:extLst>
      </c:lineChart>
      <c:catAx>
        <c:axId val="7338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6335"/>
        <c:crosses val="autoZero"/>
        <c:auto val="1"/>
        <c:lblAlgn val="ctr"/>
        <c:lblOffset val="100"/>
        <c:noMultiLvlLbl val="0"/>
      </c:catAx>
      <c:valAx>
        <c:axId val="733863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85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Water Consumption (Cubic Meters)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ESG!$N$67</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ESG!$M$68:$M$76</c:f>
              <c:numCache>
                <c:formatCode>General</c:formatCode>
                <c:ptCount val="9"/>
              </c:numCache>
            </c:numRef>
          </c:cat>
          <c:val>
            <c:numRef>
              <c:f>ESG!$N$68:$N$76</c:f>
              <c:numCache>
                <c:formatCode>0.00</c:formatCode>
                <c:ptCount val="9"/>
              </c:numCache>
            </c:numRef>
          </c:val>
          <c:smooth val="0"/>
          <c:extLst>
            <c:ext xmlns:c16="http://schemas.microsoft.com/office/drawing/2014/chart" uri="{C3380CC4-5D6E-409C-BE32-E72D297353CC}">
              <c16:uniqueId val="{00000000-5789-4750-89D4-9EEBF96780C0}"/>
            </c:ext>
          </c:extLst>
        </c:ser>
        <c:ser>
          <c:idx val="3"/>
          <c:order val="3"/>
          <c:tx>
            <c:strRef>
              <c:f>ESG!$Q$67</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ESG!$M$68:$M$76</c:f>
              <c:numCache>
                <c:formatCode>General</c:formatCode>
                <c:ptCount val="9"/>
              </c:numCache>
            </c:numRef>
          </c:cat>
          <c:val>
            <c:numRef>
              <c:f>ESG!$Q$68:$Q$76</c:f>
              <c:numCache>
                <c:formatCode>0.00</c:formatCode>
                <c:ptCount val="9"/>
              </c:numCache>
            </c:numRef>
          </c:val>
          <c:smooth val="0"/>
          <c:extLst>
            <c:ext xmlns:c16="http://schemas.microsoft.com/office/drawing/2014/chart" uri="{C3380CC4-5D6E-409C-BE32-E72D297353CC}">
              <c16:uniqueId val="{00000003-5789-4750-89D4-9EEBF96780C0}"/>
            </c:ext>
          </c:extLst>
        </c:ser>
        <c:ser>
          <c:idx val="4"/>
          <c:order val="4"/>
          <c:tx>
            <c:strRef>
              <c:f>ESG!$R$67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ESG!$M$68:$M$76</c:f>
              <c:numCache>
                <c:formatCode>General</c:formatCode>
                <c:ptCount val="9"/>
              </c:numCache>
            </c:numRef>
          </c:cat>
          <c:val>
            <c:numRef>
              <c:f>ESG!$R$68:$R$76</c:f>
              <c:numCache>
                <c:formatCode>0.00</c:formatCode>
                <c:ptCount val="9"/>
              </c:numCache>
            </c:numRef>
          </c:val>
          <c:smooth val="0"/>
          <c:extLst>
            <c:ext xmlns:c16="http://schemas.microsoft.com/office/drawing/2014/chart" uri="{C3380CC4-5D6E-409C-BE32-E72D297353CC}">
              <c16:uniqueId val="{00000004-5789-4750-89D4-9EEBF96780C0}"/>
            </c:ext>
          </c:extLst>
        </c:ser>
        <c:dLbls>
          <c:showLegendKey val="0"/>
          <c:showVal val="0"/>
          <c:showCatName val="0"/>
          <c:showSerName val="0"/>
          <c:showPercent val="0"/>
          <c:showBubbleSize val="0"/>
        </c:dLbls>
        <c:marker val="1"/>
        <c:smooth val="0"/>
        <c:axId val="1301543471"/>
        <c:axId val="45963695"/>
        <c:extLst>
          <c:ext xmlns:c15="http://schemas.microsoft.com/office/drawing/2012/chart" uri="{02D57815-91ED-43cb-92C2-25804820EDAC}">
            <c15:filteredLineSeries>
              <c15:ser>
                <c:idx val="1"/>
                <c:order val="1"/>
                <c:tx>
                  <c:strRef>
                    <c:extLst>
                      <c:ext uri="{02D57815-91ED-43cb-92C2-25804820EDAC}">
                        <c15:formulaRef>
                          <c15:sqref>ESG!$O$67</c15:sqref>
                        </c15:formulaRef>
                      </c:ext>
                    </c:extLst>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ESG!$M$68:$M$76</c15:sqref>
                        </c15:formulaRef>
                      </c:ext>
                    </c:extLst>
                    <c:numCache>
                      <c:formatCode>General</c:formatCode>
                      <c:ptCount val="9"/>
                    </c:numCache>
                  </c:numRef>
                </c:cat>
                <c:val>
                  <c:numRef>
                    <c:extLst>
                      <c:ext uri="{02D57815-91ED-43cb-92C2-25804820EDAC}">
                        <c15:formulaRef>
                          <c15:sqref>ESG!$O$68:$O$76</c15:sqref>
                        </c15:formulaRef>
                      </c:ext>
                    </c:extLst>
                    <c:numCache>
                      <c:formatCode>0.00</c:formatCode>
                      <c:ptCount val="9"/>
                    </c:numCache>
                  </c:numRef>
                </c:val>
                <c:smooth val="0"/>
                <c:extLst>
                  <c:ext xmlns:c16="http://schemas.microsoft.com/office/drawing/2014/chart" uri="{C3380CC4-5D6E-409C-BE32-E72D297353CC}">
                    <c16:uniqueId val="{00000001-5789-4750-89D4-9EEBF96780C0}"/>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ESG!$P$67</c15:sqref>
                        </c15:formulaRef>
                      </c:ext>
                    </c:extLst>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ESG!$P$68:$P$76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2-5789-4750-89D4-9EEBF96780C0}"/>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ESG!$S$67</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ESG!$M$68:$M$76</c15:sqref>
                        </c15:formulaRef>
                      </c:ext>
                    </c:extLst>
                    <c:numCache>
                      <c:formatCode>General</c:formatCode>
                      <c:ptCount val="9"/>
                    </c:numCache>
                  </c:numRef>
                </c:cat>
                <c:val>
                  <c:numRef>
                    <c:extLst xmlns:c15="http://schemas.microsoft.com/office/drawing/2012/chart">
                      <c:ext xmlns:c15="http://schemas.microsoft.com/office/drawing/2012/chart" uri="{02D57815-91ED-43cb-92C2-25804820EDAC}">
                        <c15:formulaRef>
                          <c15:sqref>ESG!$S$68:$S$76</c15:sqref>
                        </c15:formulaRef>
                      </c:ext>
                    </c:extLst>
                    <c:numCache>
                      <c:formatCode>0.00</c:formatCode>
                      <c:ptCount val="9"/>
                    </c:numCache>
                  </c:numRef>
                </c:val>
                <c:smooth val="0"/>
                <c:extLst xmlns:c15="http://schemas.microsoft.com/office/drawing/2012/chart">
                  <c:ext xmlns:c16="http://schemas.microsoft.com/office/drawing/2014/chart" uri="{C3380CC4-5D6E-409C-BE32-E72D297353CC}">
                    <c16:uniqueId val="{00000005-5789-4750-89D4-9EEBF96780C0}"/>
                  </c:ext>
                </c:extLst>
              </c15:ser>
            </c15:filteredLineSeries>
          </c:ext>
        </c:extLst>
      </c:lineChart>
      <c:catAx>
        <c:axId val="13015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963695"/>
        <c:crosses val="autoZero"/>
        <c:auto val="1"/>
        <c:lblAlgn val="ctr"/>
        <c:lblOffset val="100"/>
        <c:noMultiLvlLbl val="0"/>
      </c:catAx>
      <c:valAx>
        <c:axId val="459636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5434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Energy</a:t>
            </a:r>
            <a:r>
              <a:rPr lang="pt-PT" baseline="0"/>
              <a:t> Consumption (Gigajoules)</a:t>
            </a:r>
            <a:endParaRPr lang="pt-P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PT"/>
        </a:p>
      </c:txPr>
    </c:title>
    <c:autoTitleDeleted val="0"/>
    <c:plotArea>
      <c:layout/>
      <c:lineChart>
        <c:grouping val="standard"/>
        <c:varyColors val="0"/>
        <c:ser>
          <c:idx val="0"/>
          <c:order val="0"/>
          <c:tx>
            <c:strRef>
              <c:f>ESG!$N$79</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ESG!$M$80:$M$88</c:f>
              <c:numCache>
                <c:formatCode>General</c:formatCode>
                <c:ptCount val="9"/>
              </c:numCache>
            </c:numRef>
          </c:cat>
          <c:val>
            <c:numRef>
              <c:f>ESG!$N$80:$N$88</c:f>
              <c:numCache>
                <c:formatCode>0.00</c:formatCode>
                <c:ptCount val="9"/>
              </c:numCache>
            </c:numRef>
          </c:val>
          <c:smooth val="0"/>
          <c:extLst>
            <c:ext xmlns:c16="http://schemas.microsoft.com/office/drawing/2014/chart" uri="{C3380CC4-5D6E-409C-BE32-E72D297353CC}">
              <c16:uniqueId val="{00000000-917B-4C45-979C-FFDB55C82DDB}"/>
            </c:ext>
          </c:extLst>
        </c:ser>
        <c:ser>
          <c:idx val="1"/>
          <c:order val="1"/>
          <c:tx>
            <c:strRef>
              <c:f>ESG!$O$79</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ESG!$M$80:$M$88</c:f>
              <c:numCache>
                <c:formatCode>General</c:formatCode>
                <c:ptCount val="9"/>
              </c:numCache>
            </c:numRef>
          </c:cat>
          <c:val>
            <c:numRef>
              <c:f>ESG!$O$80:$O$88</c:f>
              <c:numCache>
                <c:formatCode>0.00</c:formatCode>
                <c:ptCount val="9"/>
              </c:numCache>
            </c:numRef>
          </c:val>
          <c:smooth val="0"/>
          <c:extLst>
            <c:ext xmlns:c16="http://schemas.microsoft.com/office/drawing/2014/chart" uri="{C3380CC4-5D6E-409C-BE32-E72D297353CC}">
              <c16:uniqueId val="{00000001-917B-4C45-979C-FFDB55C82DDB}"/>
            </c:ext>
          </c:extLst>
        </c:ser>
        <c:ser>
          <c:idx val="2"/>
          <c:order val="2"/>
          <c:tx>
            <c:strRef>
              <c:f>ESG!$P$79</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ESG!$M$80:$M$88</c:f>
              <c:numCache>
                <c:formatCode>General</c:formatCode>
                <c:ptCount val="9"/>
              </c:numCache>
            </c:numRef>
          </c:cat>
          <c:val>
            <c:numRef>
              <c:f>ESG!$P$80:$P$88</c:f>
              <c:numCache>
                <c:formatCode>0.00</c:formatCode>
                <c:ptCount val="9"/>
              </c:numCache>
            </c:numRef>
          </c:val>
          <c:smooth val="0"/>
          <c:extLst>
            <c:ext xmlns:c16="http://schemas.microsoft.com/office/drawing/2014/chart" uri="{C3380CC4-5D6E-409C-BE32-E72D297353CC}">
              <c16:uniqueId val="{00000002-917B-4C45-979C-FFDB55C82DDB}"/>
            </c:ext>
          </c:extLst>
        </c:ser>
        <c:ser>
          <c:idx val="3"/>
          <c:order val="3"/>
          <c:tx>
            <c:strRef>
              <c:f>ESG!$Q$79</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ESG!$M$80:$M$88</c:f>
              <c:numCache>
                <c:formatCode>General</c:formatCode>
                <c:ptCount val="9"/>
              </c:numCache>
            </c:numRef>
          </c:cat>
          <c:val>
            <c:numRef>
              <c:f>ESG!$Q$80:$Q$88</c:f>
              <c:numCache>
                <c:formatCode>0.00</c:formatCode>
                <c:ptCount val="9"/>
              </c:numCache>
            </c:numRef>
          </c:val>
          <c:smooth val="0"/>
          <c:extLst>
            <c:ext xmlns:c16="http://schemas.microsoft.com/office/drawing/2014/chart" uri="{C3380CC4-5D6E-409C-BE32-E72D297353CC}">
              <c16:uniqueId val="{00000003-917B-4C45-979C-FFDB55C82DDB}"/>
            </c:ext>
          </c:extLst>
        </c:ser>
        <c:ser>
          <c:idx val="4"/>
          <c:order val="4"/>
          <c:tx>
            <c:strRef>
              <c:f>ESG!$R$79</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ESG!$M$80:$M$88</c:f>
              <c:numCache>
                <c:formatCode>General</c:formatCode>
                <c:ptCount val="9"/>
              </c:numCache>
            </c:numRef>
          </c:cat>
          <c:val>
            <c:numRef>
              <c:f>ESG!$R$80:$R$88</c:f>
              <c:numCache>
                <c:formatCode>0.00</c:formatCode>
                <c:ptCount val="9"/>
              </c:numCache>
            </c:numRef>
          </c:val>
          <c:smooth val="0"/>
          <c:extLst>
            <c:ext xmlns:c16="http://schemas.microsoft.com/office/drawing/2014/chart" uri="{C3380CC4-5D6E-409C-BE32-E72D297353CC}">
              <c16:uniqueId val="{00000004-917B-4C45-979C-FFDB55C82DDB}"/>
            </c:ext>
          </c:extLst>
        </c:ser>
        <c:ser>
          <c:idx val="5"/>
          <c:order val="5"/>
          <c:tx>
            <c:strRef>
              <c:f>ESG!$S$79</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ESG!$M$80:$M$88</c:f>
              <c:numCache>
                <c:formatCode>General</c:formatCode>
                <c:ptCount val="9"/>
              </c:numCache>
            </c:numRef>
          </c:cat>
          <c:val>
            <c:numRef>
              <c:f>ESG!$S$80:$S$88</c:f>
              <c:numCache>
                <c:formatCode>0.00</c:formatCode>
                <c:ptCount val="9"/>
              </c:numCache>
            </c:numRef>
          </c:val>
          <c:smooth val="0"/>
          <c:extLst>
            <c:ext xmlns:c16="http://schemas.microsoft.com/office/drawing/2014/chart" uri="{C3380CC4-5D6E-409C-BE32-E72D297353CC}">
              <c16:uniqueId val="{00000005-917B-4C45-979C-FFDB55C82DDB}"/>
            </c:ext>
          </c:extLst>
        </c:ser>
        <c:dLbls>
          <c:showLegendKey val="0"/>
          <c:showVal val="0"/>
          <c:showCatName val="0"/>
          <c:showSerName val="0"/>
          <c:showPercent val="0"/>
          <c:showBubbleSize val="0"/>
        </c:dLbls>
        <c:marker val="1"/>
        <c:smooth val="0"/>
        <c:axId val="365935231"/>
        <c:axId val="365961631"/>
      </c:lineChart>
      <c:catAx>
        <c:axId val="36593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1631"/>
        <c:crosses val="autoZero"/>
        <c:auto val="1"/>
        <c:lblAlgn val="ctr"/>
        <c:lblOffset val="100"/>
        <c:noMultiLvlLbl val="0"/>
      </c:catAx>
      <c:valAx>
        <c:axId val="3659616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5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PT"/>
              <a:t>Total Waste Production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ESG!$N$91</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ESG!$M$92:$M$100</c:f>
              <c:numCache>
                <c:formatCode>General</c:formatCode>
                <c:ptCount val="9"/>
              </c:numCache>
            </c:numRef>
          </c:cat>
          <c:val>
            <c:numRef>
              <c:f>ESG!$N$92:$N$100</c:f>
              <c:numCache>
                <c:formatCode>0.00</c:formatCode>
                <c:ptCount val="9"/>
              </c:numCache>
            </c:numRef>
          </c:val>
          <c:smooth val="0"/>
          <c:extLst>
            <c:ext xmlns:c16="http://schemas.microsoft.com/office/drawing/2014/chart" uri="{C3380CC4-5D6E-409C-BE32-E72D297353CC}">
              <c16:uniqueId val="{00000000-FF9A-4ECA-A844-2C82FDFD8493}"/>
            </c:ext>
          </c:extLst>
        </c:ser>
        <c:ser>
          <c:idx val="1"/>
          <c:order val="1"/>
          <c:tx>
            <c:strRef>
              <c:f>ESG!$O$91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ESG!$M$92:$M$100</c:f>
              <c:numCache>
                <c:formatCode>General</c:formatCode>
                <c:ptCount val="9"/>
              </c:numCache>
            </c:numRef>
          </c:cat>
          <c:val>
            <c:numRef>
              <c:f>ESG!$O$92:$O$100</c:f>
              <c:numCache>
                <c:formatCode>0.00</c:formatCode>
                <c:ptCount val="9"/>
              </c:numCache>
            </c:numRef>
          </c:val>
          <c:smooth val="0"/>
          <c:extLst>
            <c:ext xmlns:c16="http://schemas.microsoft.com/office/drawing/2014/chart" uri="{C3380CC4-5D6E-409C-BE32-E72D297353CC}">
              <c16:uniqueId val="{00000001-FF9A-4ECA-A844-2C82FDFD8493}"/>
            </c:ext>
          </c:extLst>
        </c:ser>
        <c:ser>
          <c:idx val="2"/>
          <c:order val="2"/>
          <c:tx>
            <c:strRef>
              <c:f>ESG!$P$91</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ESG!$M$92:$M$100</c:f>
              <c:numCache>
                <c:formatCode>General</c:formatCode>
                <c:ptCount val="9"/>
              </c:numCache>
            </c:numRef>
          </c:cat>
          <c:val>
            <c:numRef>
              <c:f>ESG!$P$92:$P$100</c:f>
              <c:numCache>
                <c:formatCode>0.00</c:formatCode>
                <c:ptCount val="9"/>
              </c:numCache>
            </c:numRef>
          </c:val>
          <c:smooth val="0"/>
          <c:extLst>
            <c:ext xmlns:c16="http://schemas.microsoft.com/office/drawing/2014/chart" uri="{C3380CC4-5D6E-409C-BE32-E72D297353CC}">
              <c16:uniqueId val="{00000002-FF9A-4ECA-A844-2C82FDFD8493}"/>
            </c:ext>
          </c:extLst>
        </c:ser>
        <c:ser>
          <c:idx val="3"/>
          <c:order val="3"/>
          <c:tx>
            <c:strRef>
              <c:f>ESG!$Q$91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ESG!$M$92:$M$100</c:f>
              <c:numCache>
                <c:formatCode>General</c:formatCode>
                <c:ptCount val="9"/>
              </c:numCache>
            </c:numRef>
          </c:cat>
          <c:val>
            <c:numRef>
              <c:f>ESG!$Q$92:$Q$100</c:f>
              <c:numCache>
                <c:formatCode>0.00</c:formatCode>
                <c:ptCount val="9"/>
              </c:numCache>
            </c:numRef>
          </c:val>
          <c:smooth val="0"/>
          <c:extLst>
            <c:ext xmlns:c16="http://schemas.microsoft.com/office/drawing/2014/chart" uri="{C3380CC4-5D6E-409C-BE32-E72D297353CC}">
              <c16:uniqueId val="{00000003-FF9A-4ECA-A844-2C82FDFD8493}"/>
            </c:ext>
          </c:extLst>
        </c:ser>
        <c:ser>
          <c:idx val="4"/>
          <c:order val="4"/>
          <c:tx>
            <c:strRef>
              <c:f>ESG!$R$91</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ESG!$M$92:$M$100</c:f>
              <c:numCache>
                <c:formatCode>General</c:formatCode>
                <c:ptCount val="9"/>
              </c:numCache>
            </c:numRef>
          </c:cat>
          <c:val>
            <c:numRef>
              <c:f>ESG!$R$92:$R$100</c:f>
              <c:numCache>
                <c:formatCode>0.00</c:formatCode>
                <c:ptCount val="9"/>
              </c:numCache>
            </c:numRef>
          </c:val>
          <c:smooth val="0"/>
          <c:extLst>
            <c:ext xmlns:c16="http://schemas.microsoft.com/office/drawing/2014/chart" uri="{C3380CC4-5D6E-409C-BE32-E72D297353CC}">
              <c16:uniqueId val="{00000004-FF9A-4ECA-A844-2C82FDFD8493}"/>
            </c:ext>
          </c:extLst>
        </c:ser>
        <c:dLbls>
          <c:showLegendKey val="0"/>
          <c:showVal val="0"/>
          <c:showCatName val="0"/>
          <c:showSerName val="0"/>
          <c:showPercent val="0"/>
          <c:showBubbleSize val="0"/>
        </c:dLbls>
        <c:marker val="1"/>
        <c:smooth val="0"/>
        <c:axId val="365962591"/>
        <c:axId val="365934271"/>
        <c:extLst>
          <c:ext xmlns:c15="http://schemas.microsoft.com/office/drawing/2012/chart" uri="{02D57815-91ED-43cb-92C2-25804820EDAC}">
            <c15:filteredLineSeries>
              <c15:ser>
                <c:idx val="5"/>
                <c:order val="5"/>
                <c:tx>
                  <c:strRef>
                    <c:extLst>
                      <c:ext uri="{02D57815-91ED-43cb-92C2-25804820EDAC}">
                        <c15:formulaRef>
                          <c15:sqref>ESG!$S$91</c15:sqref>
                        </c15:formulaRef>
                      </c:ext>
                    </c:extLst>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uri="{02D57815-91ED-43cb-92C2-25804820EDAC}">
                        <c15:formulaRef>
                          <c15:sqref>ESG!$M$92:$M$100</c15:sqref>
                        </c15:formulaRef>
                      </c:ext>
                    </c:extLst>
                    <c:numCache>
                      <c:formatCode>General</c:formatCode>
                      <c:ptCount val="9"/>
                    </c:numCache>
                  </c:numRef>
                </c:cat>
                <c:val>
                  <c:numRef>
                    <c:extLst>
                      <c:ext uri="{02D57815-91ED-43cb-92C2-25804820EDAC}">
                        <c15:formulaRef>
                          <c15:sqref>ESG!$S$92:$S$100</c15:sqref>
                        </c15:formulaRef>
                      </c:ext>
                    </c:extLst>
                    <c:numCache>
                      <c:formatCode>0.00</c:formatCode>
                      <c:ptCount val="9"/>
                    </c:numCache>
                  </c:numRef>
                </c:val>
                <c:smooth val="0"/>
                <c:extLst>
                  <c:ext xmlns:c16="http://schemas.microsoft.com/office/drawing/2014/chart" uri="{C3380CC4-5D6E-409C-BE32-E72D297353CC}">
                    <c16:uniqueId val="{00000005-FF9A-4ECA-A844-2C82FDFD8493}"/>
                  </c:ext>
                </c:extLst>
              </c15:ser>
            </c15:filteredLineSeries>
          </c:ext>
        </c:extLst>
      </c:lineChart>
      <c:catAx>
        <c:axId val="36596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34271"/>
        <c:crosses val="autoZero"/>
        <c:auto val="1"/>
        <c:lblAlgn val="ctr"/>
        <c:lblOffset val="100"/>
        <c:noMultiLvlLbl val="0"/>
      </c:catAx>
      <c:valAx>
        <c:axId val="3659342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96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chart" Target="../charts/chart2.xml"/><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chart" Target="../charts/chart1.xml"/><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image" Target="../media/image25.jpeg"/><Relationship Id="rId5" Type="http://schemas.openxmlformats.org/officeDocument/2006/relationships/image" Target="../media/image24.png"/><Relationship Id="rId4" Type="http://schemas.openxmlformats.org/officeDocument/2006/relationships/image" Target="../media/image23.png"/></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12</xdr:col>
      <xdr:colOff>0</xdr:colOff>
      <xdr:row>9</xdr:row>
      <xdr:rowOff>0</xdr:rowOff>
    </xdr:from>
    <xdr:to>
      <xdr:col>12</xdr:col>
      <xdr:colOff>304800</xdr:colOff>
      <xdr:row>10</xdr:row>
      <xdr:rowOff>97023</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9</xdr:row>
      <xdr:rowOff>0</xdr:rowOff>
    </xdr:from>
    <xdr:to>
      <xdr:col>12</xdr:col>
      <xdr:colOff>304800</xdr:colOff>
      <xdr:row>10</xdr:row>
      <xdr:rowOff>97023</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 uri="{147F2762-F138-4A5C-976F-8EAC2B608ADB}">
              <a16:predDERef xmlns:a16="http://schemas.microsoft.com/office/drawing/2014/main" pre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9</xdr:row>
      <xdr:rowOff>0</xdr:rowOff>
    </xdr:from>
    <xdr:to>
      <xdr:col>12</xdr:col>
      <xdr:colOff>304800</xdr:colOff>
      <xdr:row>10</xdr:row>
      <xdr:rowOff>97023</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 uri="{147F2762-F138-4A5C-976F-8EAC2B608ADB}">
              <a16:predDERef xmlns:a16="http://schemas.microsoft.com/office/drawing/2014/main" pred="{1AED6D21-AC79-48CB-9928-5DBD43CA26F1}"/>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2</xdr:row>
      <xdr:rowOff>0</xdr:rowOff>
    </xdr:from>
    <xdr:to>
      <xdr:col>12</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2</xdr:row>
      <xdr:rowOff>0</xdr:rowOff>
    </xdr:from>
    <xdr:to>
      <xdr:col>12</xdr:col>
      <xdr:colOff>304800</xdr:colOff>
      <xdr:row>2</xdr:row>
      <xdr:rowOff>304800</xdr:rowOff>
    </xdr:to>
    <xdr:sp macro="" textlink="">
      <xdr:nvSpPr>
        <xdr:cNvPr id="12" name="AutoShape 52" descr="Resultado de imagen para heidelbergcement">
          <a:extLst>
            <a:ext uri="{FF2B5EF4-FFF2-40B4-BE49-F238E27FC236}">
              <a16:creationId xmlns:a16="http://schemas.microsoft.com/office/drawing/2014/main" id="{D38869C9-D998-A047-96C8-5B849EBEA94D}"/>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xdr:row>
      <xdr:rowOff>0</xdr:rowOff>
    </xdr:from>
    <xdr:to>
      <xdr:col>3</xdr:col>
      <xdr:colOff>9525</xdr:colOff>
      <xdr:row>8</xdr:row>
      <xdr:rowOff>209550</xdr:rowOff>
    </xdr:to>
    <xdr:pic>
      <xdr:nvPicPr>
        <xdr:cNvPr id="3" name="Imagem 2">
          <a:extLst>
            <a:ext uri="{FF2B5EF4-FFF2-40B4-BE49-F238E27FC236}">
              <a16:creationId xmlns:a16="http://schemas.microsoft.com/office/drawing/2014/main" id="{632CB38E-CC6E-9E8D-6CA6-22A8D4A17910}"/>
            </a:ext>
            <a:ext uri="{147F2762-F138-4A5C-976F-8EAC2B608ADB}">
              <a16:predDERef xmlns:a16="http://schemas.microsoft.com/office/drawing/2014/main" pred="{D38869C9-D998-A047-96C8-5B849EBEA94D}"/>
            </a:ext>
          </a:extLst>
        </xdr:cNvPr>
        <xdr:cNvPicPr>
          <a:picLocks noChangeAspect="1"/>
        </xdr:cNvPicPr>
      </xdr:nvPicPr>
      <xdr:blipFill>
        <a:blip xmlns:r="http://schemas.openxmlformats.org/officeDocument/2006/relationships" r:embed="rId1"/>
        <a:stretch>
          <a:fillRect/>
        </a:stretch>
      </xdr:blipFill>
      <xdr:spPr>
        <a:xfrm>
          <a:off x="28575" y="333375"/>
          <a:ext cx="2981325" cy="2981325"/>
        </a:xfrm>
        <a:prstGeom prst="rect">
          <a:avLst/>
        </a:prstGeom>
      </xdr:spPr>
    </xdr:pic>
    <xdr:clientData/>
  </xdr:twoCellAnchor>
  <xdr:twoCellAnchor editAs="oneCell">
    <xdr:from>
      <xdr:col>6</xdr:col>
      <xdr:colOff>66675</xdr:colOff>
      <xdr:row>77</xdr:row>
      <xdr:rowOff>95250</xdr:rowOff>
    </xdr:from>
    <xdr:to>
      <xdr:col>11</xdr:col>
      <xdr:colOff>3067050</xdr:colOff>
      <xdr:row>90</xdr:row>
      <xdr:rowOff>38100</xdr:rowOff>
    </xdr:to>
    <xdr:pic>
      <xdr:nvPicPr>
        <xdr:cNvPr id="4" name="Imagem 3">
          <a:extLst>
            <a:ext uri="{FF2B5EF4-FFF2-40B4-BE49-F238E27FC236}">
              <a16:creationId xmlns:a16="http://schemas.microsoft.com/office/drawing/2014/main" id="{41634E04-4000-4BCB-EF8A-DA8B2085933F}"/>
            </a:ext>
            <a:ext uri="{147F2762-F138-4A5C-976F-8EAC2B608ADB}">
              <a16:predDERef xmlns:a16="http://schemas.microsoft.com/office/drawing/2014/main" pred="{632CB38E-CC6E-9E8D-6CA6-22A8D4A17910}"/>
            </a:ext>
          </a:extLst>
        </xdr:cNvPr>
        <xdr:cNvPicPr>
          <a:picLocks noChangeAspect="1"/>
        </xdr:cNvPicPr>
      </xdr:nvPicPr>
      <xdr:blipFill>
        <a:blip xmlns:r="http://schemas.openxmlformats.org/officeDocument/2006/relationships" r:embed="rId2"/>
        <a:stretch>
          <a:fillRect/>
        </a:stretch>
      </xdr:blipFill>
      <xdr:spPr>
        <a:xfrm>
          <a:off x="7696200" y="15840075"/>
          <a:ext cx="9172575" cy="2047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19050</xdr:colOff>
      <xdr:row>27</xdr:row>
      <xdr:rowOff>76200</xdr:rowOff>
    </xdr:from>
    <xdr:to>
      <xdr:col>11</xdr:col>
      <xdr:colOff>666750</xdr:colOff>
      <xdr:row>33</xdr:row>
      <xdr:rowOff>666750</xdr:rowOff>
    </xdr:to>
    <xdr:graphicFrame macro="">
      <xdr:nvGraphicFramePr>
        <xdr:cNvPr id="7" name="Chart 4">
          <a:extLst>
            <a:ext uri="{FF2B5EF4-FFF2-40B4-BE49-F238E27FC236}">
              <a16:creationId xmlns:a16="http://schemas.microsoft.com/office/drawing/2014/main" id="{9E23D189-C3B7-523A-69E6-128398296259}"/>
            </a:ext>
            <a:ext uri="{147F2762-F138-4A5C-976F-8EAC2B608ADB}">
              <a16:predDERef xmlns:a16="http://schemas.microsoft.com/office/drawing/2014/main" pred="{2D8AEC4D-5853-421C-8616-2A1885050A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723900</xdr:colOff>
      <xdr:row>27</xdr:row>
      <xdr:rowOff>66675</xdr:rowOff>
    </xdr:from>
    <xdr:to>
      <xdr:col>15</xdr:col>
      <xdr:colOff>714375</xdr:colOff>
      <xdr:row>33</xdr:row>
      <xdr:rowOff>685800</xdr:rowOff>
    </xdr:to>
    <xdr:graphicFrame macro="">
      <xdr:nvGraphicFramePr>
        <xdr:cNvPr id="3" name="Chart 5">
          <a:extLst>
            <a:ext uri="{FF2B5EF4-FFF2-40B4-BE49-F238E27FC236}">
              <a16:creationId xmlns:a16="http://schemas.microsoft.com/office/drawing/2014/main" id="{1471EB7D-83EE-43B1-6F3B-DAB93ADF05E3}"/>
            </a:ext>
            <a:ext uri="{147F2762-F138-4A5C-976F-8EAC2B608ADB}">
              <a16:predDERef xmlns:a16="http://schemas.microsoft.com/office/drawing/2014/main" pred="{9E23D189-C3B7-523A-69E6-128398296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704850</xdr:colOff>
      <xdr:row>26</xdr:row>
      <xdr:rowOff>247650</xdr:rowOff>
    </xdr:from>
    <xdr:to>
      <xdr:col>11</xdr:col>
      <xdr:colOff>714375</xdr:colOff>
      <xdr:row>34</xdr:row>
      <xdr:rowOff>0</xdr:rowOff>
    </xdr:to>
    <xdr:cxnSp macro="">
      <xdr:nvCxnSpPr>
        <xdr:cNvPr id="9" name="Straight Connector 1">
          <a:extLst>
            <a:ext uri="{FF2B5EF4-FFF2-40B4-BE49-F238E27FC236}">
              <a16:creationId xmlns:a16="http://schemas.microsoft.com/office/drawing/2014/main" id="{2D9F9EFF-8C8B-4839-A102-86B66E9BDF73}"/>
            </a:ext>
            <a:ext uri="{147F2762-F138-4A5C-976F-8EAC2B608ADB}">
              <a16:predDERef xmlns:a16="http://schemas.microsoft.com/office/drawing/2014/main" pred="{1471EB7D-83EE-43B1-6F3B-DAB93ADF05E3}"/>
            </a:ext>
          </a:extLst>
        </xdr:cNvPr>
        <xdr:cNvCxnSpPr>
          <a:cxnSpLocks/>
        </xdr:cNvCxnSpPr>
      </xdr:nvCxnSpPr>
      <xdr:spPr bwMode="auto">
        <a:xfrm>
          <a:off x="12144375" y="4324350"/>
          <a:ext cx="9525" cy="2886075"/>
        </a:xfrm>
        <a:prstGeom prst="line">
          <a:avLst/>
        </a:prstGeom>
        <a:ln w="12700">
          <a:solidFill>
            <a:srgbClr val="1F497D"/>
          </a:solidFill>
          <a:headEnd type="none" w="med" len="med"/>
          <a:tailEnd type="none" w="med" len="med"/>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219075</xdr:colOff>
      <xdr:row>48</xdr:row>
      <xdr:rowOff>28575</xdr:rowOff>
    </xdr:from>
    <xdr:to>
      <xdr:col>15</xdr:col>
      <xdr:colOff>742950</xdr:colOff>
      <xdr:row>50</xdr:row>
      <xdr:rowOff>114300</xdr:rowOff>
    </xdr:to>
    <xdr:sp macro="" textlink="">
      <xdr:nvSpPr>
        <xdr:cNvPr id="8" name="Rectangle 9">
          <a:extLst>
            <a:ext uri="{FF2B5EF4-FFF2-40B4-BE49-F238E27FC236}">
              <a16:creationId xmlns:a16="http://schemas.microsoft.com/office/drawing/2014/main" id="{9EA941B6-F7AA-AE8B-792C-EC306EB6FD73}"/>
            </a:ext>
            <a:ext uri="{147F2762-F138-4A5C-976F-8EAC2B608ADB}">
              <a16:predDERef xmlns:a16="http://schemas.microsoft.com/office/drawing/2014/main" pred="{2D9F9EFF-8C8B-4839-A102-86B66E9BDF73}"/>
            </a:ext>
          </a:extLst>
        </xdr:cNvPr>
        <xdr:cNvSpPr/>
      </xdr:nvSpPr>
      <xdr:spPr bwMode="auto">
        <a:xfrm>
          <a:off x="13944600" y="9248775"/>
          <a:ext cx="1285875" cy="409575"/>
        </a:xfrm>
        <a:prstGeom prst="rect">
          <a:avLst/>
        </a:prstGeom>
        <a:solidFill>
          <a:srgbClr val="FFFFFF"/>
        </a:solidFill>
        <a:ln w="9525" cap="flat" cmpd="sng" algn="ctr">
          <a:solidFill>
            <a:schemeClr val="bg1"/>
          </a:solid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34</xdr:col>
      <xdr:colOff>19050</xdr:colOff>
      <xdr:row>60</xdr:row>
      <xdr:rowOff>47625</xdr:rowOff>
    </xdr:from>
    <xdr:to>
      <xdr:col>35</xdr:col>
      <xdr:colOff>209550</xdr:colOff>
      <xdr:row>66</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editAs="oneCell">
    <xdr:from>
      <xdr:col>17</xdr:col>
      <xdr:colOff>342900</xdr:colOff>
      <xdr:row>13</xdr:row>
      <xdr:rowOff>123825</xdr:rowOff>
    </xdr:from>
    <xdr:to>
      <xdr:col>20</xdr:col>
      <xdr:colOff>161925</xdr:colOff>
      <xdr:row>24</xdr:row>
      <xdr:rowOff>95250</xdr:rowOff>
    </xdr:to>
    <xdr:pic>
      <xdr:nvPicPr>
        <xdr:cNvPr id="4" name="Imagem 3">
          <a:extLst>
            <a:ext uri="{FF2B5EF4-FFF2-40B4-BE49-F238E27FC236}">
              <a16:creationId xmlns:a16="http://schemas.microsoft.com/office/drawing/2014/main" id="{E4FBE91B-0423-60A1-6068-1C140765E266}"/>
            </a:ext>
            <a:ext uri="{147F2762-F138-4A5C-976F-8EAC2B608ADB}">
              <a16:predDERef xmlns:a16="http://schemas.microsoft.com/office/drawing/2014/main" pred="{373BA1AE-84F4-1EA4-7F90-6E6AE589AB0D}"/>
            </a:ext>
          </a:extLst>
        </xdr:cNvPr>
        <xdr:cNvPicPr>
          <a:picLocks noChangeAspect="1"/>
        </xdr:cNvPicPr>
      </xdr:nvPicPr>
      <xdr:blipFill>
        <a:blip xmlns:r="http://schemas.openxmlformats.org/officeDocument/2006/relationships" r:embed="rId3"/>
        <a:stretch>
          <a:fillRect/>
        </a:stretch>
      </xdr:blipFill>
      <xdr:spPr>
        <a:xfrm>
          <a:off x="17154525" y="2028825"/>
          <a:ext cx="2105025" cy="2105025"/>
        </a:xfrm>
        <a:prstGeom prst="rect">
          <a:avLst/>
        </a:prstGeom>
      </xdr:spPr>
    </xdr:pic>
    <xdr:clientData/>
  </xdr:twoCellAnchor>
  <xdr:twoCellAnchor editAs="oneCell">
    <xdr:from>
      <xdr:col>16</xdr:col>
      <xdr:colOff>9525</xdr:colOff>
      <xdr:row>13</xdr:row>
      <xdr:rowOff>247650</xdr:rowOff>
    </xdr:from>
    <xdr:to>
      <xdr:col>17</xdr:col>
      <xdr:colOff>390525</xdr:colOff>
      <xdr:row>24</xdr:row>
      <xdr:rowOff>57150</xdr:rowOff>
    </xdr:to>
    <xdr:pic>
      <xdr:nvPicPr>
        <xdr:cNvPr id="5" name="Imagem 4">
          <a:extLst>
            <a:ext uri="{FF2B5EF4-FFF2-40B4-BE49-F238E27FC236}">
              <a16:creationId xmlns:a16="http://schemas.microsoft.com/office/drawing/2014/main" id="{CAE31B9C-C80C-7E34-4C2B-41CC5550C253}"/>
            </a:ext>
            <a:ext uri="{147F2762-F138-4A5C-976F-8EAC2B608ADB}">
              <a16:predDERef xmlns:a16="http://schemas.microsoft.com/office/drawing/2014/main" pred="{E4FBE91B-0423-60A1-6068-1C140765E266}"/>
            </a:ext>
          </a:extLst>
        </xdr:cNvPr>
        <xdr:cNvPicPr>
          <a:picLocks noChangeAspect="1"/>
        </xdr:cNvPicPr>
      </xdr:nvPicPr>
      <xdr:blipFill>
        <a:blip xmlns:r="http://schemas.openxmlformats.org/officeDocument/2006/relationships" r:embed="rId4"/>
        <a:stretch>
          <a:fillRect/>
        </a:stretch>
      </xdr:blipFill>
      <xdr:spPr>
        <a:xfrm>
          <a:off x="15259050" y="2152650"/>
          <a:ext cx="1943100" cy="1943100"/>
        </a:xfrm>
        <a:prstGeom prst="rect">
          <a:avLst/>
        </a:prstGeom>
      </xdr:spPr>
    </xdr:pic>
    <xdr:clientData/>
  </xdr:twoCellAnchor>
  <xdr:twoCellAnchor editAs="oneCell">
    <xdr:from>
      <xdr:col>20</xdr:col>
      <xdr:colOff>533400</xdr:colOff>
      <xdr:row>23</xdr:row>
      <xdr:rowOff>104775</xdr:rowOff>
    </xdr:from>
    <xdr:to>
      <xdr:col>22</xdr:col>
      <xdr:colOff>666750</xdr:colOff>
      <xdr:row>29</xdr:row>
      <xdr:rowOff>352425</xdr:rowOff>
    </xdr:to>
    <xdr:pic>
      <xdr:nvPicPr>
        <xdr:cNvPr id="2" name="Imagem 1">
          <a:extLst>
            <a:ext uri="{FF2B5EF4-FFF2-40B4-BE49-F238E27FC236}">
              <a16:creationId xmlns:a16="http://schemas.microsoft.com/office/drawing/2014/main" id="{4496377D-BB46-C604-6332-C16CC9B5DD05}"/>
            </a:ext>
            <a:ext uri="{147F2762-F138-4A5C-976F-8EAC2B608ADB}">
              <a16:predDERef xmlns:a16="http://schemas.microsoft.com/office/drawing/2014/main" pred="{CAE31B9C-C80C-7E34-4C2B-41CC5550C253}"/>
            </a:ext>
          </a:extLst>
        </xdr:cNvPr>
        <xdr:cNvPicPr>
          <a:picLocks noChangeAspect="1"/>
        </xdr:cNvPicPr>
      </xdr:nvPicPr>
      <xdr:blipFill>
        <a:blip xmlns:r="http://schemas.openxmlformats.org/officeDocument/2006/relationships" r:embed="rId5"/>
        <a:stretch>
          <a:fillRect/>
        </a:stretch>
      </xdr:blipFill>
      <xdr:spPr>
        <a:xfrm>
          <a:off x="19631025" y="3981450"/>
          <a:ext cx="1657350" cy="2009775"/>
        </a:xfrm>
        <a:prstGeom prst="rect">
          <a:avLst/>
        </a:prstGeom>
      </xdr:spPr>
    </xdr:pic>
    <xdr:clientData/>
  </xdr:twoCellAnchor>
  <xdr:twoCellAnchor editAs="oneCell">
    <xdr:from>
      <xdr:col>22</xdr:col>
      <xdr:colOff>257175</xdr:colOff>
      <xdr:row>13</xdr:row>
      <xdr:rowOff>238125</xdr:rowOff>
    </xdr:from>
    <xdr:to>
      <xdr:col>24</xdr:col>
      <xdr:colOff>723900</xdr:colOff>
      <xdr:row>24</xdr:row>
      <xdr:rowOff>95250</xdr:rowOff>
    </xdr:to>
    <xdr:pic>
      <xdr:nvPicPr>
        <xdr:cNvPr id="6" name="Imagem 5">
          <a:extLst>
            <a:ext uri="{FF2B5EF4-FFF2-40B4-BE49-F238E27FC236}">
              <a16:creationId xmlns:a16="http://schemas.microsoft.com/office/drawing/2014/main" id="{BCF83385-14EA-ADAD-5991-62B99E84EC7D}"/>
            </a:ext>
            <a:ext uri="{147F2762-F138-4A5C-976F-8EAC2B608ADB}">
              <a16:predDERef xmlns:a16="http://schemas.microsoft.com/office/drawing/2014/main" pred="{4496377D-BB46-C604-6332-C16CC9B5DD05}"/>
            </a:ext>
          </a:extLst>
        </xdr:cNvPr>
        <xdr:cNvPicPr>
          <a:picLocks noChangeAspect="1"/>
        </xdr:cNvPicPr>
      </xdr:nvPicPr>
      <xdr:blipFill>
        <a:blip xmlns:r="http://schemas.openxmlformats.org/officeDocument/2006/relationships" r:embed="rId6"/>
        <a:stretch>
          <a:fillRect/>
        </a:stretch>
      </xdr:blipFill>
      <xdr:spPr>
        <a:xfrm>
          <a:off x="20878800" y="2143125"/>
          <a:ext cx="1990725" cy="1990725"/>
        </a:xfrm>
        <a:prstGeom prst="rect">
          <a:avLst/>
        </a:prstGeom>
      </xdr:spPr>
    </xdr:pic>
    <xdr:clientData/>
  </xdr:twoCellAnchor>
  <xdr:twoCellAnchor editAs="oneCell">
    <xdr:from>
      <xdr:col>21</xdr:col>
      <xdr:colOff>390525</xdr:colOff>
      <xdr:row>2</xdr:row>
      <xdr:rowOff>0</xdr:rowOff>
    </xdr:from>
    <xdr:to>
      <xdr:col>23</xdr:col>
      <xdr:colOff>581025</xdr:colOff>
      <xdr:row>13</xdr:row>
      <xdr:rowOff>295275</xdr:rowOff>
    </xdr:to>
    <xdr:pic>
      <xdr:nvPicPr>
        <xdr:cNvPr id="10" name="Imagem 9">
          <a:extLst>
            <a:ext uri="{FF2B5EF4-FFF2-40B4-BE49-F238E27FC236}">
              <a16:creationId xmlns:a16="http://schemas.microsoft.com/office/drawing/2014/main" id="{3FB7E1AB-4332-B05F-9B5A-FA5CA46729F0}"/>
            </a:ext>
            <a:ext uri="{147F2762-F138-4A5C-976F-8EAC2B608ADB}">
              <a16:predDERef xmlns:a16="http://schemas.microsoft.com/office/drawing/2014/main" pred="{BCF83385-14EA-ADAD-5991-62B99E84EC7D}"/>
            </a:ext>
          </a:extLst>
        </xdr:cNvPr>
        <xdr:cNvPicPr>
          <a:picLocks noChangeAspect="1"/>
        </xdr:cNvPicPr>
      </xdr:nvPicPr>
      <xdr:blipFill>
        <a:blip xmlns:r="http://schemas.openxmlformats.org/officeDocument/2006/relationships" r:embed="rId7"/>
        <a:stretch>
          <a:fillRect/>
        </a:stretch>
      </xdr:blipFill>
      <xdr:spPr>
        <a:xfrm>
          <a:off x="20250150" y="352425"/>
          <a:ext cx="1714500" cy="1847850"/>
        </a:xfrm>
        <a:prstGeom prst="rect">
          <a:avLst/>
        </a:prstGeom>
      </xdr:spPr>
    </xdr:pic>
    <xdr:clientData/>
  </xdr:twoCellAnchor>
  <xdr:twoCellAnchor editAs="oneCell">
    <xdr:from>
      <xdr:col>16</xdr:col>
      <xdr:colOff>923925</xdr:colOff>
      <xdr:row>2</xdr:row>
      <xdr:rowOff>9525</xdr:rowOff>
    </xdr:from>
    <xdr:to>
      <xdr:col>18</xdr:col>
      <xdr:colOff>381000</xdr:colOff>
      <xdr:row>13</xdr:row>
      <xdr:rowOff>238125</xdr:rowOff>
    </xdr:to>
    <xdr:pic>
      <xdr:nvPicPr>
        <xdr:cNvPr id="11" name="Imagem 10">
          <a:extLst>
            <a:ext uri="{FF2B5EF4-FFF2-40B4-BE49-F238E27FC236}">
              <a16:creationId xmlns:a16="http://schemas.microsoft.com/office/drawing/2014/main" id="{FD35E74F-E447-5FFB-8C3B-57CA3CC42340}"/>
            </a:ext>
            <a:ext uri="{147F2762-F138-4A5C-976F-8EAC2B608ADB}">
              <a16:predDERef xmlns:a16="http://schemas.microsoft.com/office/drawing/2014/main" pred="{3FB7E1AB-4332-B05F-9B5A-FA5CA46729F0}"/>
            </a:ext>
          </a:extLst>
        </xdr:cNvPr>
        <xdr:cNvPicPr>
          <a:picLocks noChangeAspect="1"/>
        </xdr:cNvPicPr>
      </xdr:nvPicPr>
      <xdr:blipFill>
        <a:blip xmlns:r="http://schemas.openxmlformats.org/officeDocument/2006/relationships" r:embed="rId8"/>
        <a:stretch>
          <a:fillRect/>
        </a:stretch>
      </xdr:blipFill>
      <xdr:spPr>
        <a:xfrm>
          <a:off x="16173450" y="361950"/>
          <a:ext cx="1781175" cy="1781175"/>
        </a:xfrm>
        <a:prstGeom prst="rect">
          <a:avLst/>
        </a:prstGeom>
      </xdr:spPr>
    </xdr:pic>
    <xdr:clientData/>
  </xdr:twoCellAnchor>
  <xdr:twoCellAnchor editAs="oneCell">
    <xdr:from>
      <xdr:col>16</xdr:col>
      <xdr:colOff>0</xdr:colOff>
      <xdr:row>24</xdr:row>
      <xdr:rowOff>28575</xdr:rowOff>
    </xdr:from>
    <xdr:to>
      <xdr:col>17</xdr:col>
      <xdr:colOff>104775</xdr:colOff>
      <xdr:row>29</xdr:row>
      <xdr:rowOff>323850</xdr:rowOff>
    </xdr:to>
    <xdr:pic>
      <xdr:nvPicPr>
        <xdr:cNvPr id="13" name="Imagem 12">
          <a:extLst>
            <a:ext uri="{FF2B5EF4-FFF2-40B4-BE49-F238E27FC236}">
              <a16:creationId xmlns:a16="http://schemas.microsoft.com/office/drawing/2014/main" id="{2054F58B-CCF5-8347-FDCC-F435DA3EDCF0}"/>
            </a:ext>
            <a:ext uri="{147F2762-F138-4A5C-976F-8EAC2B608ADB}">
              <a16:predDERef xmlns:a16="http://schemas.microsoft.com/office/drawing/2014/main" pred="{FD35E74F-E447-5FFB-8C3B-57CA3CC42340}"/>
            </a:ext>
          </a:extLst>
        </xdr:cNvPr>
        <xdr:cNvPicPr>
          <a:picLocks noChangeAspect="1"/>
        </xdr:cNvPicPr>
      </xdr:nvPicPr>
      <xdr:blipFill>
        <a:blip xmlns:r="http://schemas.openxmlformats.org/officeDocument/2006/relationships" r:embed="rId9"/>
        <a:stretch>
          <a:fillRect/>
        </a:stretch>
      </xdr:blipFill>
      <xdr:spPr>
        <a:xfrm>
          <a:off x="15249525" y="4067175"/>
          <a:ext cx="1666875" cy="1895475"/>
        </a:xfrm>
        <a:prstGeom prst="rect">
          <a:avLst/>
        </a:prstGeom>
      </xdr:spPr>
    </xdr:pic>
    <xdr:clientData/>
  </xdr:twoCellAnchor>
  <xdr:twoCellAnchor editAs="oneCell">
    <xdr:from>
      <xdr:col>16</xdr:col>
      <xdr:colOff>28575</xdr:colOff>
      <xdr:row>1</xdr:row>
      <xdr:rowOff>247650</xdr:rowOff>
    </xdr:from>
    <xdr:to>
      <xdr:col>16</xdr:col>
      <xdr:colOff>1200150</xdr:colOff>
      <xdr:row>13</xdr:row>
      <xdr:rowOff>247650</xdr:rowOff>
    </xdr:to>
    <xdr:pic>
      <xdr:nvPicPr>
        <xdr:cNvPr id="14" name="Imagem 13">
          <a:extLst>
            <a:ext uri="{FF2B5EF4-FFF2-40B4-BE49-F238E27FC236}">
              <a16:creationId xmlns:a16="http://schemas.microsoft.com/office/drawing/2014/main" id="{A5E4D82E-1878-588C-2CAD-DE945CDD4CD2}"/>
            </a:ext>
            <a:ext uri="{147F2762-F138-4A5C-976F-8EAC2B608ADB}">
              <a16:predDERef xmlns:a16="http://schemas.microsoft.com/office/drawing/2014/main" pred="{2054F58B-CCF5-8347-FDCC-F435DA3EDCF0}"/>
            </a:ext>
          </a:extLst>
        </xdr:cNvPr>
        <xdr:cNvPicPr>
          <a:picLocks noChangeAspect="1"/>
        </xdr:cNvPicPr>
      </xdr:nvPicPr>
      <xdr:blipFill>
        <a:blip xmlns:r="http://schemas.openxmlformats.org/officeDocument/2006/relationships" r:embed="rId10"/>
        <a:stretch>
          <a:fillRect/>
        </a:stretch>
      </xdr:blipFill>
      <xdr:spPr>
        <a:xfrm>
          <a:off x="15278100" y="342900"/>
          <a:ext cx="1171575" cy="1809750"/>
        </a:xfrm>
        <a:prstGeom prst="rect">
          <a:avLst/>
        </a:prstGeom>
      </xdr:spPr>
    </xdr:pic>
    <xdr:clientData/>
  </xdr:twoCellAnchor>
  <xdr:twoCellAnchor editAs="oneCell">
    <xdr:from>
      <xdr:col>23</xdr:col>
      <xdr:colOff>314325</xdr:colOff>
      <xdr:row>2</xdr:row>
      <xdr:rowOff>9525</xdr:rowOff>
    </xdr:from>
    <xdr:to>
      <xdr:col>24</xdr:col>
      <xdr:colOff>742950</xdr:colOff>
      <xdr:row>14</xdr:row>
      <xdr:rowOff>171450</xdr:rowOff>
    </xdr:to>
    <xdr:pic>
      <xdr:nvPicPr>
        <xdr:cNvPr id="15" name="Imagem 14">
          <a:extLst>
            <a:ext uri="{FF2B5EF4-FFF2-40B4-BE49-F238E27FC236}">
              <a16:creationId xmlns:a16="http://schemas.microsoft.com/office/drawing/2014/main" id="{38081AC3-3182-3BE9-C33B-E801FD342E6D}"/>
            </a:ext>
            <a:ext uri="{147F2762-F138-4A5C-976F-8EAC2B608ADB}">
              <a16:predDERef xmlns:a16="http://schemas.microsoft.com/office/drawing/2014/main" pred="{A5E4D82E-1878-588C-2CAD-DE945CDD4CD2}"/>
            </a:ext>
          </a:extLst>
        </xdr:cNvPr>
        <xdr:cNvPicPr>
          <a:picLocks noChangeAspect="1"/>
        </xdr:cNvPicPr>
      </xdr:nvPicPr>
      <xdr:blipFill>
        <a:blip xmlns:r="http://schemas.openxmlformats.org/officeDocument/2006/relationships" r:embed="rId11"/>
        <a:stretch>
          <a:fillRect/>
        </a:stretch>
      </xdr:blipFill>
      <xdr:spPr>
        <a:xfrm>
          <a:off x="21697950" y="361950"/>
          <a:ext cx="1190625" cy="2019300"/>
        </a:xfrm>
        <a:prstGeom prst="rect">
          <a:avLst/>
        </a:prstGeom>
      </xdr:spPr>
    </xdr:pic>
    <xdr:clientData/>
  </xdr:twoCellAnchor>
  <xdr:twoCellAnchor editAs="oneCell">
    <xdr:from>
      <xdr:col>18</xdr:col>
      <xdr:colOff>600075</xdr:colOff>
      <xdr:row>24</xdr:row>
      <xdr:rowOff>66675</xdr:rowOff>
    </xdr:from>
    <xdr:to>
      <xdr:col>20</xdr:col>
      <xdr:colOff>695325</xdr:colOff>
      <xdr:row>29</xdr:row>
      <xdr:rowOff>342900</xdr:rowOff>
    </xdr:to>
    <xdr:pic>
      <xdr:nvPicPr>
        <xdr:cNvPr id="16" name="Imagem 15">
          <a:extLst>
            <a:ext uri="{FF2B5EF4-FFF2-40B4-BE49-F238E27FC236}">
              <a16:creationId xmlns:a16="http://schemas.microsoft.com/office/drawing/2014/main" id="{C546F054-1381-91C5-E075-FA1EBED7AA72}"/>
            </a:ext>
            <a:ext uri="{147F2762-F138-4A5C-976F-8EAC2B608ADB}">
              <a16:predDERef xmlns:a16="http://schemas.microsoft.com/office/drawing/2014/main" pred="{38081AC3-3182-3BE9-C33B-E801FD342E6D}"/>
            </a:ext>
          </a:extLst>
        </xdr:cNvPr>
        <xdr:cNvPicPr>
          <a:picLocks noChangeAspect="1"/>
        </xdr:cNvPicPr>
      </xdr:nvPicPr>
      <xdr:blipFill>
        <a:blip xmlns:r="http://schemas.openxmlformats.org/officeDocument/2006/relationships" r:embed="rId12"/>
        <a:stretch>
          <a:fillRect/>
        </a:stretch>
      </xdr:blipFill>
      <xdr:spPr>
        <a:xfrm>
          <a:off x="18173700" y="4105275"/>
          <a:ext cx="1619250" cy="1876425"/>
        </a:xfrm>
        <a:prstGeom prst="rect">
          <a:avLst/>
        </a:prstGeom>
      </xdr:spPr>
    </xdr:pic>
    <xdr:clientData/>
  </xdr:twoCellAnchor>
  <xdr:twoCellAnchor editAs="oneCell">
    <xdr:from>
      <xdr:col>20</xdr:col>
      <xdr:colOff>9525</xdr:colOff>
      <xdr:row>13</xdr:row>
      <xdr:rowOff>123825</xdr:rowOff>
    </xdr:from>
    <xdr:to>
      <xdr:col>22</xdr:col>
      <xdr:colOff>247650</xdr:colOff>
      <xdr:row>24</xdr:row>
      <xdr:rowOff>57150</xdr:rowOff>
    </xdr:to>
    <xdr:pic>
      <xdr:nvPicPr>
        <xdr:cNvPr id="17" name="Imagem 16">
          <a:extLst>
            <a:ext uri="{FF2B5EF4-FFF2-40B4-BE49-F238E27FC236}">
              <a16:creationId xmlns:a16="http://schemas.microsoft.com/office/drawing/2014/main" id="{1BF8D9E3-C9CB-2A8E-42ED-DAECCCE6E273}"/>
            </a:ext>
            <a:ext uri="{147F2762-F138-4A5C-976F-8EAC2B608ADB}">
              <a16:predDERef xmlns:a16="http://schemas.microsoft.com/office/drawing/2014/main" pred="{C546F054-1381-91C5-E075-FA1EBED7AA72}"/>
            </a:ext>
          </a:extLst>
        </xdr:cNvPr>
        <xdr:cNvPicPr>
          <a:picLocks noChangeAspect="1"/>
        </xdr:cNvPicPr>
      </xdr:nvPicPr>
      <xdr:blipFill>
        <a:blip xmlns:r="http://schemas.openxmlformats.org/officeDocument/2006/relationships" r:embed="rId13"/>
        <a:stretch>
          <a:fillRect/>
        </a:stretch>
      </xdr:blipFill>
      <xdr:spPr>
        <a:xfrm>
          <a:off x="19107150" y="2028825"/>
          <a:ext cx="1762125" cy="2066925"/>
        </a:xfrm>
        <a:prstGeom prst="rect">
          <a:avLst/>
        </a:prstGeom>
      </xdr:spPr>
    </xdr:pic>
    <xdr:clientData/>
  </xdr:twoCellAnchor>
  <xdr:twoCellAnchor editAs="oneCell">
    <xdr:from>
      <xdr:col>22</xdr:col>
      <xdr:colOff>666750</xdr:colOff>
      <xdr:row>24</xdr:row>
      <xdr:rowOff>47625</xdr:rowOff>
    </xdr:from>
    <xdr:to>
      <xdr:col>24</xdr:col>
      <xdr:colOff>742950</xdr:colOff>
      <xdr:row>29</xdr:row>
      <xdr:rowOff>342900</xdr:rowOff>
    </xdr:to>
    <xdr:pic>
      <xdr:nvPicPr>
        <xdr:cNvPr id="18" name="Imagem 17">
          <a:extLst>
            <a:ext uri="{FF2B5EF4-FFF2-40B4-BE49-F238E27FC236}">
              <a16:creationId xmlns:a16="http://schemas.microsoft.com/office/drawing/2014/main" id="{7B0B84B5-3E9F-1422-5FE0-2D6469F8E45C}"/>
            </a:ext>
            <a:ext uri="{147F2762-F138-4A5C-976F-8EAC2B608ADB}">
              <a16:predDERef xmlns:a16="http://schemas.microsoft.com/office/drawing/2014/main" pred="{1BF8D9E3-C9CB-2A8E-42ED-DAECCCE6E273}"/>
            </a:ext>
          </a:extLst>
        </xdr:cNvPr>
        <xdr:cNvPicPr>
          <a:picLocks noChangeAspect="1"/>
        </xdr:cNvPicPr>
      </xdr:nvPicPr>
      <xdr:blipFill>
        <a:blip xmlns:r="http://schemas.openxmlformats.org/officeDocument/2006/relationships" r:embed="rId14"/>
        <a:stretch>
          <a:fillRect/>
        </a:stretch>
      </xdr:blipFill>
      <xdr:spPr>
        <a:xfrm>
          <a:off x="21288375" y="4086225"/>
          <a:ext cx="1600200" cy="1895475"/>
        </a:xfrm>
        <a:prstGeom prst="rect">
          <a:avLst/>
        </a:prstGeom>
      </xdr:spPr>
    </xdr:pic>
    <xdr:clientData/>
  </xdr:twoCellAnchor>
  <xdr:twoCellAnchor editAs="oneCell">
    <xdr:from>
      <xdr:col>17</xdr:col>
      <xdr:colOff>104775</xdr:colOff>
      <xdr:row>24</xdr:row>
      <xdr:rowOff>47625</xdr:rowOff>
    </xdr:from>
    <xdr:to>
      <xdr:col>19</xdr:col>
      <xdr:colOff>95250</xdr:colOff>
      <xdr:row>29</xdr:row>
      <xdr:rowOff>333375</xdr:rowOff>
    </xdr:to>
    <xdr:pic>
      <xdr:nvPicPr>
        <xdr:cNvPr id="19" name="Imagem 18">
          <a:extLst>
            <a:ext uri="{FF2B5EF4-FFF2-40B4-BE49-F238E27FC236}">
              <a16:creationId xmlns:a16="http://schemas.microsoft.com/office/drawing/2014/main" id="{DCFEA171-A429-589F-6623-9EB39485EAAA}"/>
            </a:ext>
            <a:ext uri="{147F2762-F138-4A5C-976F-8EAC2B608ADB}">
              <a16:predDERef xmlns:a16="http://schemas.microsoft.com/office/drawing/2014/main" pred="{7B0B84B5-3E9F-1422-5FE0-2D6469F8E45C}"/>
            </a:ext>
          </a:extLst>
        </xdr:cNvPr>
        <xdr:cNvPicPr>
          <a:picLocks noChangeAspect="1"/>
        </xdr:cNvPicPr>
      </xdr:nvPicPr>
      <xdr:blipFill>
        <a:blip xmlns:r="http://schemas.openxmlformats.org/officeDocument/2006/relationships" r:embed="rId15"/>
        <a:stretch>
          <a:fillRect/>
        </a:stretch>
      </xdr:blipFill>
      <xdr:spPr>
        <a:xfrm>
          <a:off x="16916400" y="4086225"/>
          <a:ext cx="1514475" cy="1885950"/>
        </a:xfrm>
        <a:prstGeom prst="rect">
          <a:avLst/>
        </a:prstGeom>
      </xdr:spPr>
    </xdr:pic>
    <xdr:clientData/>
  </xdr:twoCellAnchor>
  <xdr:twoCellAnchor editAs="oneCell">
    <xdr:from>
      <xdr:col>23</xdr:col>
      <xdr:colOff>85725</xdr:colOff>
      <xdr:row>31</xdr:row>
      <xdr:rowOff>228600</xdr:rowOff>
    </xdr:from>
    <xdr:to>
      <xdr:col>24</xdr:col>
      <xdr:colOff>428625</xdr:colOff>
      <xdr:row>33</xdr:row>
      <xdr:rowOff>266700</xdr:rowOff>
    </xdr:to>
    <xdr:pic>
      <xdr:nvPicPr>
        <xdr:cNvPr id="20" name="Imagem 19">
          <a:extLst>
            <a:ext uri="{FF2B5EF4-FFF2-40B4-BE49-F238E27FC236}">
              <a16:creationId xmlns:a16="http://schemas.microsoft.com/office/drawing/2014/main" id="{11C1E146-9A7D-1C13-B838-0FC80FD0D471}"/>
            </a:ext>
            <a:ext uri="{147F2762-F138-4A5C-976F-8EAC2B608ADB}">
              <a16:predDERef xmlns:a16="http://schemas.microsoft.com/office/drawing/2014/main" pred="{7F28CD13-178A-2FA1-3161-DE5AAE94D965}"/>
            </a:ext>
          </a:extLst>
        </xdr:cNvPr>
        <xdr:cNvPicPr>
          <a:picLocks noChangeAspect="1"/>
        </xdr:cNvPicPr>
      </xdr:nvPicPr>
      <xdr:blipFill>
        <a:blip xmlns:r="http://schemas.openxmlformats.org/officeDocument/2006/relationships" r:embed="rId16"/>
        <a:stretch>
          <a:fillRect/>
        </a:stretch>
      </xdr:blipFill>
      <xdr:spPr>
        <a:xfrm>
          <a:off x="21469350" y="6877050"/>
          <a:ext cx="1104900" cy="1047750"/>
        </a:xfrm>
        <a:prstGeom prst="rect">
          <a:avLst/>
        </a:prstGeom>
      </xdr:spPr>
    </xdr:pic>
    <xdr:clientData/>
  </xdr:twoCellAnchor>
  <xdr:twoCellAnchor editAs="oneCell">
    <xdr:from>
      <xdr:col>16</xdr:col>
      <xdr:colOff>361950</xdr:colOff>
      <xdr:row>31</xdr:row>
      <xdr:rowOff>171450</xdr:rowOff>
    </xdr:from>
    <xdr:to>
      <xdr:col>16</xdr:col>
      <xdr:colOff>1504950</xdr:colOff>
      <xdr:row>33</xdr:row>
      <xdr:rowOff>390525</xdr:rowOff>
    </xdr:to>
    <xdr:pic>
      <xdr:nvPicPr>
        <xdr:cNvPr id="21" name="Imagem 20">
          <a:extLst>
            <a:ext uri="{FF2B5EF4-FFF2-40B4-BE49-F238E27FC236}">
              <a16:creationId xmlns:a16="http://schemas.microsoft.com/office/drawing/2014/main" id="{A78F8B59-75CC-71EB-8122-D614D946F4D6}"/>
            </a:ext>
            <a:ext uri="{147F2762-F138-4A5C-976F-8EAC2B608ADB}">
              <a16:predDERef xmlns:a16="http://schemas.microsoft.com/office/drawing/2014/main" pred="{11C1E146-9A7D-1C13-B838-0FC80FD0D471}"/>
            </a:ext>
          </a:extLst>
        </xdr:cNvPr>
        <xdr:cNvPicPr>
          <a:picLocks noChangeAspect="1"/>
        </xdr:cNvPicPr>
      </xdr:nvPicPr>
      <xdr:blipFill>
        <a:blip xmlns:r="http://schemas.openxmlformats.org/officeDocument/2006/relationships" r:embed="rId17"/>
        <a:stretch>
          <a:fillRect/>
        </a:stretch>
      </xdr:blipFill>
      <xdr:spPr>
        <a:xfrm>
          <a:off x="15611475" y="6819900"/>
          <a:ext cx="1143000" cy="1228725"/>
        </a:xfrm>
        <a:prstGeom prst="rect">
          <a:avLst/>
        </a:prstGeom>
      </xdr:spPr>
    </xdr:pic>
    <xdr:clientData/>
  </xdr:twoCellAnchor>
  <xdr:twoCellAnchor editAs="oneCell">
    <xdr:from>
      <xdr:col>17</xdr:col>
      <xdr:colOff>600075</xdr:colOff>
      <xdr:row>31</xdr:row>
      <xdr:rowOff>104775</xdr:rowOff>
    </xdr:from>
    <xdr:to>
      <xdr:col>19</xdr:col>
      <xdr:colOff>285750</xdr:colOff>
      <xdr:row>33</xdr:row>
      <xdr:rowOff>304800</xdr:rowOff>
    </xdr:to>
    <xdr:pic>
      <xdr:nvPicPr>
        <xdr:cNvPr id="22" name="Imagem 21">
          <a:extLst>
            <a:ext uri="{FF2B5EF4-FFF2-40B4-BE49-F238E27FC236}">
              <a16:creationId xmlns:a16="http://schemas.microsoft.com/office/drawing/2014/main" id="{628C5A37-1374-767D-6E27-BF7735FA68F9}"/>
            </a:ext>
            <a:ext uri="{147F2762-F138-4A5C-976F-8EAC2B608ADB}">
              <a16:predDERef xmlns:a16="http://schemas.microsoft.com/office/drawing/2014/main" pred="{A78F8B59-75CC-71EB-8122-D614D946F4D6}"/>
            </a:ext>
          </a:extLst>
        </xdr:cNvPr>
        <xdr:cNvPicPr>
          <a:picLocks noChangeAspect="1"/>
        </xdr:cNvPicPr>
      </xdr:nvPicPr>
      <xdr:blipFill>
        <a:blip xmlns:r="http://schemas.openxmlformats.org/officeDocument/2006/relationships" r:embed="rId18"/>
        <a:stretch>
          <a:fillRect/>
        </a:stretch>
      </xdr:blipFill>
      <xdr:spPr>
        <a:xfrm>
          <a:off x="17411700" y="6753225"/>
          <a:ext cx="1209675" cy="1209675"/>
        </a:xfrm>
        <a:prstGeom prst="rect">
          <a:avLst/>
        </a:prstGeom>
      </xdr:spPr>
    </xdr:pic>
    <xdr:clientData/>
  </xdr:twoCellAnchor>
  <xdr:twoCellAnchor editAs="oneCell">
    <xdr:from>
      <xdr:col>20</xdr:col>
      <xdr:colOff>104775</xdr:colOff>
      <xdr:row>31</xdr:row>
      <xdr:rowOff>209550</xdr:rowOff>
    </xdr:from>
    <xdr:to>
      <xdr:col>22</xdr:col>
      <xdr:colOff>47625</xdr:colOff>
      <xdr:row>33</xdr:row>
      <xdr:rowOff>295275</xdr:rowOff>
    </xdr:to>
    <xdr:pic>
      <xdr:nvPicPr>
        <xdr:cNvPr id="23" name="Imagem 22">
          <a:extLst>
            <a:ext uri="{FF2B5EF4-FFF2-40B4-BE49-F238E27FC236}">
              <a16:creationId xmlns:a16="http://schemas.microsoft.com/office/drawing/2014/main" id="{2B4726CC-AA3E-0E1B-9E10-4F82A6BAD08F}"/>
            </a:ext>
            <a:ext uri="{147F2762-F138-4A5C-976F-8EAC2B608ADB}">
              <a16:predDERef xmlns:a16="http://schemas.microsoft.com/office/drawing/2014/main" pred="{628C5A37-1374-767D-6E27-BF7735FA68F9}"/>
            </a:ext>
          </a:extLst>
        </xdr:cNvPr>
        <xdr:cNvPicPr>
          <a:picLocks noChangeAspect="1"/>
        </xdr:cNvPicPr>
      </xdr:nvPicPr>
      <xdr:blipFill>
        <a:blip xmlns:r="http://schemas.openxmlformats.org/officeDocument/2006/relationships" r:embed="rId19"/>
        <a:stretch>
          <a:fillRect/>
        </a:stretch>
      </xdr:blipFill>
      <xdr:spPr>
        <a:xfrm>
          <a:off x="19202400" y="6858000"/>
          <a:ext cx="1466850" cy="1095375"/>
        </a:xfrm>
        <a:prstGeom prst="rect">
          <a:avLst/>
        </a:prstGeom>
      </xdr:spPr>
    </xdr:pic>
    <xdr:clientData/>
  </xdr:twoCellAnchor>
  <xdr:twoCellAnchor editAs="oneCell">
    <xdr:from>
      <xdr:col>18</xdr:col>
      <xdr:colOff>457200</xdr:colOff>
      <xdr:row>2</xdr:row>
      <xdr:rowOff>114300</xdr:rowOff>
    </xdr:from>
    <xdr:to>
      <xdr:col>21</xdr:col>
      <xdr:colOff>295275</xdr:colOff>
      <xdr:row>9</xdr:row>
      <xdr:rowOff>104775</xdr:rowOff>
    </xdr:to>
    <xdr:pic>
      <xdr:nvPicPr>
        <xdr:cNvPr id="24" name="Imagem 23">
          <a:extLst>
            <a:ext uri="{FF2B5EF4-FFF2-40B4-BE49-F238E27FC236}">
              <a16:creationId xmlns:a16="http://schemas.microsoft.com/office/drawing/2014/main" id="{67A180D5-9EBE-CE96-22E7-E75E357B5395}"/>
            </a:ext>
            <a:ext uri="{147F2762-F138-4A5C-976F-8EAC2B608ADB}">
              <a16:predDERef xmlns:a16="http://schemas.microsoft.com/office/drawing/2014/main" pred="{2B4726CC-AA3E-0E1B-9E10-4F82A6BAD08F}"/>
            </a:ext>
          </a:extLst>
        </xdr:cNvPr>
        <xdr:cNvPicPr>
          <a:picLocks noChangeAspect="1"/>
        </xdr:cNvPicPr>
      </xdr:nvPicPr>
      <xdr:blipFill>
        <a:blip xmlns:r="http://schemas.openxmlformats.org/officeDocument/2006/relationships" r:embed="rId20"/>
        <a:stretch>
          <a:fillRect/>
        </a:stretch>
      </xdr:blipFill>
      <xdr:spPr>
        <a:xfrm>
          <a:off x="18030825" y="466725"/>
          <a:ext cx="2124075" cy="1200150"/>
        </a:xfrm>
        <a:prstGeom prst="rect">
          <a:avLst/>
        </a:prstGeom>
      </xdr:spPr>
    </xdr:pic>
    <xdr:clientData/>
  </xdr:twoCellAnchor>
  <xdr:twoCellAnchor>
    <xdr:from>
      <xdr:col>1</xdr:col>
      <xdr:colOff>19050</xdr:colOff>
      <xdr:row>48</xdr:row>
      <xdr:rowOff>19050</xdr:rowOff>
    </xdr:from>
    <xdr:to>
      <xdr:col>8</xdr:col>
      <xdr:colOff>1000125</xdr:colOff>
      <xdr:row>64</xdr:row>
      <xdr:rowOff>238125</xdr:rowOff>
    </xdr:to>
    <xdr:sp macro="" textlink="">
      <xdr:nvSpPr>
        <xdr:cNvPr id="25" name="CaixaDeTexto 24">
          <a:extLst>
            <a:ext uri="{FF2B5EF4-FFF2-40B4-BE49-F238E27FC236}">
              <a16:creationId xmlns:a16="http://schemas.microsoft.com/office/drawing/2014/main" id="{06CDDF99-F48D-72B8-1172-8238A1D57035}"/>
            </a:ext>
            <a:ext uri="{147F2762-F138-4A5C-976F-8EAC2B608ADB}">
              <a16:predDERef xmlns:a16="http://schemas.microsoft.com/office/drawing/2014/main" pred="{67A180D5-9EBE-CE96-22E7-E75E357B5395}"/>
            </a:ext>
          </a:extLst>
        </xdr:cNvPr>
        <xdr:cNvSpPr txBox="1"/>
      </xdr:nvSpPr>
      <xdr:spPr>
        <a:xfrm>
          <a:off x="161925" y="12068175"/>
          <a:ext cx="9725025" cy="28098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400" b="1" i="0" u="none" strike="noStrike">
              <a:solidFill>
                <a:srgbClr val="000000"/>
              </a:solidFill>
              <a:latin typeface="Calibri" panose="020F0502020204030204" pitchFamily="34" charset="0"/>
              <a:cs typeface="Calibri" panose="020F0502020204030204" pitchFamily="34" charset="0"/>
            </a:rPr>
            <a:t>Creation:</a:t>
          </a:r>
          <a:r>
            <a:rPr lang="en-US" sz="1400" b="0" i="0" u="none" strike="noStrike">
              <a:solidFill>
                <a:srgbClr val="000000"/>
              </a:solidFill>
              <a:latin typeface="Calibri" panose="020F0502020204030204" pitchFamily="34" charset="0"/>
              <a:cs typeface="Calibri" panose="020F0502020204030204" pitchFamily="34" charset="0"/>
            </a:rPr>
            <a:t> </a:t>
          </a:r>
          <a:r>
            <a:rPr lang="en-US" sz="1400">
              <a:latin typeface="+mn-lt"/>
              <a:ea typeface="+mn-lt"/>
              <a:cs typeface="+mn-lt"/>
            </a:rPr>
            <a:t>prioritizes creative freedom, highlighting quality, longevity, and repairability in products. It combines traditional craftsmanship with innovat</a:t>
          </a:r>
          <a:r>
            <a:rPr lang="en-US" sz="1400" b="0" i="0" u="none" strike="noStrike">
              <a:solidFill>
                <a:srgbClr val="000000"/>
              </a:solidFill>
              <a:latin typeface="Calibri" panose="020F0502020204030204" pitchFamily="34" charset="0"/>
              <a:cs typeface="Calibri" panose="020F0502020204030204" pitchFamily="34" charset="0"/>
            </a:rPr>
            <a:t>ion</a:t>
          </a:r>
          <a:r>
            <a:rPr lang="en-US" sz="1400">
              <a:latin typeface="+mn-lt"/>
              <a:ea typeface="+mn-lt"/>
              <a:cs typeface="+mn-lt"/>
            </a:rPr>
            <a:t>, aiming for a balance between heritage and modernity.</a:t>
          </a:r>
          <a:endParaRPr lang="en-US" sz="1400" b="1" i="0" u="none" strike="noStrike">
            <a:solidFill>
              <a:srgbClr val="000000"/>
            </a:solidFill>
            <a:latin typeface="Calibri" panose="020F0502020204030204" pitchFamily="34" charset="0"/>
            <a:cs typeface="Calibri" panose="020F0502020204030204" pitchFamily="34" charset="0"/>
          </a:endParaRPr>
        </a:p>
        <a:p>
          <a:pPr marL="0" indent="0" algn="l"/>
          <a:endParaRPr lang="en-US" sz="1400" b="1" i="0" u="none" strike="noStrike">
            <a:solidFill>
              <a:srgbClr val="000000"/>
            </a:solidFill>
            <a:latin typeface="Calibri" panose="020F0502020204030204" pitchFamily="34" charset="0"/>
            <a:cs typeface="Calibri" panose="020F0502020204030204" pitchFamily="34" charset="0"/>
          </a:endParaRPr>
        </a:p>
        <a:p>
          <a:pPr marL="0" indent="0" algn="l"/>
          <a:r>
            <a:rPr lang="en-US" sz="1400" b="1" i="0" u="none" strike="noStrike">
              <a:solidFill>
                <a:srgbClr val="000000"/>
              </a:solidFill>
              <a:latin typeface="Calibri" panose="020F0502020204030204" pitchFamily="34" charset="0"/>
              <a:cs typeface="Calibri" panose="020F0502020204030204" pitchFamily="34" charset="0"/>
            </a:rPr>
            <a:t>Crafmanship Model:</a:t>
          </a:r>
          <a:r>
            <a:rPr lang="en-US" sz="1400" b="0" i="0" u="none" strike="noStrike">
              <a:solidFill>
                <a:srgbClr val="000000"/>
              </a:solidFill>
              <a:latin typeface="Calibri" panose="020F0502020204030204" pitchFamily="34" charset="0"/>
              <a:cs typeface="Calibri" panose="020F0502020204030204" pitchFamily="34" charset="0"/>
            </a:rPr>
            <a:t> annual investments are made to expand production capacity across 16 métiers, nurture improvements in craftmanship, and promote education and transmission of skills. Furthermore, the choice of vertical integration and sustainable relationships with partners serves to ensure traceability of supply chains and support responsible development. </a:t>
          </a:r>
          <a:endParaRPr lang="en-US" sz="1400" b="1" i="0" u="none" strike="noStrike">
            <a:solidFill>
              <a:srgbClr val="000000"/>
            </a:solidFill>
            <a:latin typeface="Calibri" panose="020F0502020204030204" pitchFamily="34" charset="0"/>
            <a:cs typeface="Calibri" panose="020F0502020204030204" pitchFamily="34" charset="0"/>
          </a:endParaRPr>
        </a:p>
        <a:p>
          <a:pPr marL="0" indent="0" algn="l"/>
          <a:endParaRPr lang="en-US" sz="1400" b="1" i="0" u="none" strike="noStrike">
            <a:solidFill>
              <a:srgbClr val="000000"/>
            </a:solidFill>
            <a:latin typeface="Calibri" panose="020F0502020204030204" pitchFamily="34" charset="0"/>
            <a:cs typeface="Calibri" panose="020F0502020204030204" pitchFamily="34" charset="0"/>
          </a:endParaRPr>
        </a:p>
        <a:p>
          <a:pPr marL="0" indent="0" algn="l"/>
          <a:r>
            <a:rPr lang="en-US" sz="1400" b="1" i="0" u="none" strike="noStrike">
              <a:solidFill>
                <a:srgbClr val="000000"/>
              </a:solidFill>
              <a:latin typeface="Calibri" panose="020F0502020204030204" pitchFamily="34" charset="0"/>
              <a:cs typeface="Calibri" panose="020F0502020204030204" pitchFamily="34" charset="0"/>
            </a:rPr>
            <a:t>Exclusive Omnichannel Distribution Network:</a:t>
          </a:r>
          <a:r>
            <a:rPr lang="en-US" sz="1400" b="0" i="0" u="none" strike="noStrike">
              <a:solidFill>
                <a:srgbClr val="000000"/>
              </a:solidFill>
              <a:latin typeface="Calibri" panose="020F0502020204030204" pitchFamily="34" charset="0"/>
              <a:cs typeface="Calibri" panose="020F0502020204030204" pitchFamily="34" charset="0"/>
            </a:rPr>
            <a:t> distribution model centered on direct operation of stores and innovative e-commerce platforms to swiftly adapt to changing demand and maintain a close relationship with customers. Hermès is investing in digital strategies that align with the commitment to customer-centricity, fostering the omnichannel experience. </a:t>
          </a:r>
        </a:p>
        <a:p>
          <a:pPr marL="0" indent="0" algn="l"/>
          <a:endParaRPr lang="en-US" sz="1400" b="0" i="0" u="none" strike="noStrike">
            <a:solidFill>
              <a:srgbClr val="000000"/>
            </a:solidFill>
            <a:latin typeface="Calibri" panose="020F0502020204030204" pitchFamily="34" charset="0"/>
            <a:cs typeface="Calibri" panose="020F0502020204030204" pitchFamily="34" charset="0"/>
          </a:endParaRPr>
        </a:p>
        <a:p>
          <a:pPr marL="0" indent="0" algn="l"/>
          <a:endParaRPr lang="en-US" sz="1400" b="0" i="0" u="none" strike="noStrike">
            <a:solidFill>
              <a:srgbClr val="000000"/>
            </a:solidFill>
            <a:latin typeface="Calibri" panose="020F0502020204030204" pitchFamily="34" charset="0"/>
            <a:cs typeface="Calibri" panose="020F0502020204030204" pitchFamily="34" charset="0"/>
          </a:endParaRPr>
        </a:p>
        <a:p>
          <a:pPr marL="0" indent="0" algn="l"/>
          <a:endParaRPr lang="en-US" sz="1400" b="0" i="0" u="none" strike="noStrike">
            <a:solidFill>
              <a:srgbClr val="000000"/>
            </a:solidFill>
            <a:latin typeface="Calibri" panose="020F0502020204030204" pitchFamily="34" charset="0"/>
            <a:cs typeface="Calibri" panose="020F0502020204030204" pitchFamily="34" charset="0"/>
          </a:endParaRPr>
        </a:p>
        <a:p>
          <a:pPr marL="0" indent="0" algn="l"/>
          <a:endParaRPr lang="en-US" sz="1400" b="0" i="0" u="none" strike="noStrike">
            <a:solidFill>
              <a:srgbClr val="000000"/>
            </a:solidFill>
            <a:latin typeface="Calibri" panose="020F0502020204030204" pitchFamily="34" charset="0"/>
            <a:cs typeface="Calibri" panose="020F0502020204030204" pitchFamily="34" charset="0"/>
          </a:endParaRPr>
        </a:p>
      </xdr:txBody>
    </xdr:sp>
    <xdr:clientData/>
  </xdr:twoCellAnchor>
  <xdr:twoCellAnchor>
    <xdr:from>
      <xdr:col>3</xdr:col>
      <xdr:colOff>19050</xdr:colOff>
      <xdr:row>37</xdr:row>
      <xdr:rowOff>0</xdr:rowOff>
    </xdr:from>
    <xdr:to>
      <xdr:col>8</xdr:col>
      <xdr:colOff>1019175</xdr:colOff>
      <xdr:row>38</xdr:row>
      <xdr:rowOff>9525</xdr:rowOff>
    </xdr:to>
    <xdr:sp macro="" textlink="">
      <xdr:nvSpPr>
        <xdr:cNvPr id="26" name="CaixaDeTexto 25">
          <a:extLst>
            <a:ext uri="{FF2B5EF4-FFF2-40B4-BE49-F238E27FC236}">
              <a16:creationId xmlns:a16="http://schemas.microsoft.com/office/drawing/2014/main" id="{A6909E54-1F61-95C0-C6CB-DE52BD656078}"/>
            </a:ext>
            <a:ext uri="{147F2762-F138-4A5C-976F-8EAC2B608ADB}">
              <a16:predDERef xmlns:a16="http://schemas.microsoft.com/office/drawing/2014/main" pred="{06CDDF99-F48D-72B8-1172-8238A1D57035}"/>
            </a:ext>
          </a:extLst>
        </xdr:cNvPr>
        <xdr:cNvSpPr txBox="1"/>
      </xdr:nvSpPr>
      <xdr:spPr>
        <a:xfrm>
          <a:off x="3762375" y="9086850"/>
          <a:ext cx="6143625" cy="51435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a:latin typeface="Arial" panose="020B0604020202020204" pitchFamily="34" charset="0"/>
              <a:cs typeface="Arial" panose="020B0604020202020204" pitchFamily="34" charset="0"/>
            </a:rPr>
            <a:t>Leveraging digital tools to provide elevated online and in-store experiences </a:t>
          </a:r>
          <a:r>
            <a:rPr lang="en-US" sz="1100" b="0" i="0" u="none" strike="noStrike">
              <a:solidFill>
                <a:srgbClr val="000000"/>
              </a:solidFill>
              <a:latin typeface="Arial" panose="020B0604020202020204" pitchFamily="34" charset="0"/>
              <a:cs typeface="Arial" panose="020B0604020202020204" pitchFamily="34" charset="0"/>
            </a:rPr>
            <a:t>is a strategy known for</a:t>
          </a:r>
          <a:r>
            <a:rPr lang="en-US" sz="1100">
              <a:latin typeface="Arial" panose="020B0604020202020204" pitchFamily="34" charset="0"/>
              <a:cs typeface="Arial" panose="020B0604020202020204" pitchFamily="34" charset="0"/>
            </a:rPr>
            <a:t> driving sales. Still, it’s crucial to balance digitalization and the preservation of an exclusive brand image.</a:t>
          </a:r>
        </a:p>
      </xdr:txBody>
    </xdr:sp>
    <xdr:clientData/>
  </xdr:twoCellAnchor>
  <xdr:twoCellAnchor>
    <xdr:from>
      <xdr:col>3</xdr:col>
      <xdr:colOff>19050</xdr:colOff>
      <xdr:row>38</xdr:row>
      <xdr:rowOff>28575</xdr:rowOff>
    </xdr:from>
    <xdr:to>
      <xdr:col>8</xdr:col>
      <xdr:colOff>1019175</xdr:colOff>
      <xdr:row>38</xdr:row>
      <xdr:rowOff>552450</xdr:rowOff>
    </xdr:to>
    <xdr:sp macro="" textlink="">
      <xdr:nvSpPr>
        <xdr:cNvPr id="27" name="CaixaDeTexto 26">
          <a:extLst>
            <a:ext uri="{FF2B5EF4-FFF2-40B4-BE49-F238E27FC236}">
              <a16:creationId xmlns:a16="http://schemas.microsoft.com/office/drawing/2014/main" id="{CC6CB1D2-0D23-8ECF-9B1D-B287D77886B7}"/>
            </a:ext>
            <a:ext uri="{147F2762-F138-4A5C-976F-8EAC2B608ADB}">
              <a16:predDERef xmlns:a16="http://schemas.microsoft.com/office/drawing/2014/main" pred="{A6909E54-1F61-95C0-C6CB-DE52BD656078}"/>
            </a:ext>
          </a:extLst>
        </xdr:cNvPr>
        <xdr:cNvSpPr txBox="1"/>
      </xdr:nvSpPr>
      <xdr:spPr>
        <a:xfrm>
          <a:off x="3762375" y="9753600"/>
          <a:ext cx="6143625" cy="5238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a:latin typeface="Arial" panose="020B0604020202020204" pitchFamily="34" charset="0"/>
              <a:cs typeface="Arial" panose="020B0604020202020204" pitchFamily="34" charset="0"/>
            </a:rPr>
            <a:t>Brands embracing eco-friendly materials and ethical sourcing can gain a competitive edge, as consumers increasingly prioritize sustainable products throughout their lifecycle, valuing those made from recycled materials and produced under fair conditions.</a:t>
          </a:r>
        </a:p>
      </xdr:txBody>
    </xdr:sp>
    <xdr:clientData/>
  </xdr:twoCellAnchor>
  <xdr:twoCellAnchor>
    <xdr:from>
      <xdr:col>3</xdr:col>
      <xdr:colOff>9525</xdr:colOff>
      <xdr:row>36</xdr:row>
      <xdr:rowOff>28575</xdr:rowOff>
    </xdr:from>
    <xdr:to>
      <xdr:col>8</xdr:col>
      <xdr:colOff>1009650</xdr:colOff>
      <xdr:row>37</xdr:row>
      <xdr:rowOff>9525</xdr:rowOff>
    </xdr:to>
    <xdr:sp macro="" textlink="">
      <xdr:nvSpPr>
        <xdr:cNvPr id="28" name="CaixaDeTexto 27">
          <a:extLst>
            <a:ext uri="{FF2B5EF4-FFF2-40B4-BE49-F238E27FC236}">
              <a16:creationId xmlns:a16="http://schemas.microsoft.com/office/drawing/2014/main" id="{ED160C89-5E07-13FA-A007-5732B165A97A}"/>
            </a:ext>
            <a:ext uri="{147F2762-F138-4A5C-976F-8EAC2B608ADB}">
              <a16:predDERef xmlns:a16="http://schemas.microsoft.com/office/drawing/2014/main" pred="{CC6CB1D2-0D23-8ECF-9B1D-B287D77886B7}"/>
            </a:ext>
          </a:extLst>
        </xdr:cNvPr>
        <xdr:cNvSpPr txBox="1"/>
      </xdr:nvSpPr>
      <xdr:spPr>
        <a:xfrm>
          <a:off x="3752850" y="8610600"/>
          <a:ext cx="6143625" cy="485775"/>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a:latin typeface="Arial" panose="020B0604020202020204" pitchFamily="34" charset="0"/>
              <a:cs typeface="Arial" panose="020B0604020202020204" pitchFamily="34" charset="0"/>
            </a:rPr>
            <a:t>Catering to evolving consumer values, including sustainability, authenticity, and experiences, is crucial as brands aligning with these preferences often experience increased demand in the luxury market.</a:t>
          </a:r>
        </a:p>
      </xdr:txBody>
    </xdr:sp>
    <xdr:clientData/>
  </xdr:twoCellAnchor>
  <xdr:twoCellAnchor editAs="oneCell">
    <xdr:from>
      <xdr:col>4</xdr:col>
      <xdr:colOff>0</xdr:colOff>
      <xdr:row>67</xdr:row>
      <xdr:rowOff>0</xdr:rowOff>
    </xdr:from>
    <xdr:to>
      <xdr:col>8</xdr:col>
      <xdr:colOff>447675</xdr:colOff>
      <xdr:row>84</xdr:row>
      <xdr:rowOff>95250</xdr:rowOff>
    </xdr:to>
    <xdr:pic>
      <xdr:nvPicPr>
        <xdr:cNvPr id="29" name="Imagem 28">
          <a:extLst>
            <a:ext uri="{FF2B5EF4-FFF2-40B4-BE49-F238E27FC236}">
              <a16:creationId xmlns:a16="http://schemas.microsoft.com/office/drawing/2014/main" id="{00FF9368-6A3B-7805-8C67-365547BFB21C}"/>
            </a:ext>
            <a:ext uri="{147F2762-F138-4A5C-976F-8EAC2B608ADB}">
              <a16:predDERef xmlns:a16="http://schemas.microsoft.com/office/drawing/2014/main" pred="{ED160C89-5E07-13FA-A007-5732B165A97A}"/>
            </a:ext>
          </a:extLst>
        </xdr:cNvPr>
        <xdr:cNvPicPr>
          <a:picLocks noChangeAspect="1"/>
        </xdr:cNvPicPr>
      </xdr:nvPicPr>
      <xdr:blipFill>
        <a:blip xmlns:r="http://schemas.openxmlformats.org/officeDocument/2006/relationships" r:embed="rId21"/>
        <a:stretch>
          <a:fillRect/>
        </a:stretch>
      </xdr:blipFill>
      <xdr:spPr>
        <a:xfrm>
          <a:off x="4772025" y="15230475"/>
          <a:ext cx="4562475" cy="2847975"/>
        </a:xfrm>
        <a:prstGeom prst="rect">
          <a:avLst/>
        </a:prstGeom>
      </xdr:spPr>
    </xdr:pic>
    <xdr:clientData/>
  </xdr:twoCellAnchor>
  <xdr:twoCellAnchor editAs="oneCell">
    <xdr:from>
      <xdr:col>9</xdr:col>
      <xdr:colOff>28575</xdr:colOff>
      <xdr:row>35</xdr:row>
      <xdr:rowOff>38100</xdr:rowOff>
    </xdr:from>
    <xdr:to>
      <xdr:col>16</xdr:col>
      <xdr:colOff>1524000</xdr:colOff>
      <xdr:row>58</xdr:row>
      <xdr:rowOff>133350</xdr:rowOff>
    </xdr:to>
    <xdr:pic>
      <xdr:nvPicPr>
        <xdr:cNvPr id="30" name="Imagem 29">
          <a:extLst>
            <a:ext uri="{FF2B5EF4-FFF2-40B4-BE49-F238E27FC236}">
              <a16:creationId xmlns:a16="http://schemas.microsoft.com/office/drawing/2014/main" id="{EA582E29-9C27-D989-B80C-ECE305BDDB5B}"/>
            </a:ext>
            <a:ext uri="{147F2762-F138-4A5C-976F-8EAC2B608ADB}">
              <a16:predDERef xmlns:a16="http://schemas.microsoft.com/office/drawing/2014/main" pred="{00FF9368-6A3B-7805-8C67-365547BFB21C}"/>
            </a:ext>
          </a:extLst>
        </xdr:cNvPr>
        <xdr:cNvPicPr>
          <a:picLocks noChangeAspect="1"/>
        </xdr:cNvPicPr>
      </xdr:nvPicPr>
      <xdr:blipFill>
        <a:blip xmlns:r="http://schemas.openxmlformats.org/officeDocument/2006/relationships" r:embed="rId21"/>
        <a:stretch>
          <a:fillRect/>
        </a:stretch>
      </xdr:blipFill>
      <xdr:spPr>
        <a:xfrm>
          <a:off x="9944100" y="8458200"/>
          <a:ext cx="6829425" cy="5353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 uri="{147F2762-F138-4A5C-976F-8EAC2B608ADB}">
              <a16:predDERef xmlns:a16="http://schemas.microsoft.com/office/drawing/2014/main" pred="{A23DF9CB-ABDC-4CBC-941E-C3A1E6B7BDD7}"/>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 uri="{147F2762-F138-4A5C-976F-8EAC2B608ADB}">
              <a16:predDERef xmlns:a16="http://schemas.microsoft.com/office/drawing/2014/main" pred="{76C615DC-9449-489C-838D-7501FF91B816}"/>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 uri="{147F2762-F138-4A5C-976F-8EAC2B608ADB}">
              <a16:predDERef xmlns:a16="http://schemas.microsoft.com/office/drawing/2014/main" pred="{3816F209-593F-4972-8238-056F7A06C2DB}"/>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9</xdr:col>
      <xdr:colOff>528777</xdr:colOff>
      <xdr:row>17</xdr:row>
      <xdr:rowOff>56029</xdr:rowOff>
    </xdr:from>
    <xdr:to>
      <xdr:col>17</xdr:col>
      <xdr:colOff>702468</xdr:colOff>
      <xdr:row>33</xdr:row>
      <xdr:rowOff>114301</xdr:rowOff>
    </xdr:to>
    <xdr:graphicFrame macro="">
      <xdr:nvGraphicFramePr>
        <xdr:cNvPr id="2" name="Chart 1">
          <a:extLst>
            <a:ext uri="{FF2B5EF4-FFF2-40B4-BE49-F238E27FC236}">
              <a16:creationId xmlns:a16="http://schemas.microsoft.com/office/drawing/2014/main" id="{F8B867AC-6A7A-4512-8C9D-97B8E534E8E4}"/>
            </a:ext>
            <a:ext uri="{147F2762-F138-4A5C-976F-8EAC2B608ADB}">
              <a16:predDERef xmlns:a16="http://schemas.microsoft.com/office/drawing/2014/main" pred="{71A499F7-7BCB-43D8-AAAA-8629B391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107156</xdr:colOff>
      <xdr:row>33</xdr:row>
      <xdr:rowOff>142875</xdr:rowOff>
    </xdr:from>
    <xdr:to>
      <xdr:col>20</xdr:col>
      <xdr:colOff>273843</xdr:colOff>
      <xdr:row>50</xdr:row>
      <xdr:rowOff>142875</xdr:rowOff>
    </xdr:to>
    <xdr:graphicFrame macro="">
      <xdr:nvGraphicFramePr>
        <xdr:cNvPr id="3" name="Chart 2">
          <a:extLst>
            <a:ext uri="{FF2B5EF4-FFF2-40B4-BE49-F238E27FC236}">
              <a16:creationId xmlns:a16="http://schemas.microsoft.com/office/drawing/2014/main" id="{06EE3DBE-321E-4EF6-A0A4-D90C4883E80D}"/>
            </a:ext>
            <a:ext uri="{147F2762-F138-4A5C-976F-8EAC2B608ADB}">
              <a16:predDERef xmlns:a16="http://schemas.microsoft.com/office/drawing/2014/main" pre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171450</xdr:colOff>
      <xdr:row>1</xdr:row>
      <xdr:rowOff>266700</xdr:rowOff>
    </xdr:from>
    <xdr:to>
      <xdr:col>1</xdr:col>
      <xdr:colOff>1895475</xdr:colOff>
      <xdr:row>1</xdr:row>
      <xdr:rowOff>762000</xdr:rowOff>
    </xdr:to>
    <xdr:pic>
      <xdr:nvPicPr>
        <xdr:cNvPr id="4" name="Imagem 3">
          <a:extLst>
            <a:ext uri="{FF2B5EF4-FFF2-40B4-BE49-F238E27FC236}">
              <a16:creationId xmlns:a16="http://schemas.microsoft.com/office/drawing/2014/main" id="{AA253446-F90C-701B-458D-20F643C2ED13}"/>
            </a:ext>
            <a:ext uri="{147F2762-F138-4A5C-976F-8EAC2B608ADB}">
              <a16:predDERef xmlns:a16="http://schemas.microsoft.com/office/drawing/2014/main" pred="{06EE3DBE-321E-4EF6-A0A4-D90C4883E80D}"/>
            </a:ext>
          </a:extLst>
        </xdr:cNvPr>
        <xdr:cNvPicPr>
          <a:picLocks noChangeAspect="1"/>
        </xdr:cNvPicPr>
      </xdr:nvPicPr>
      <xdr:blipFill>
        <a:blip xmlns:r="http://schemas.openxmlformats.org/officeDocument/2006/relationships" r:embed="rId3"/>
        <a:stretch>
          <a:fillRect/>
        </a:stretch>
      </xdr:blipFill>
      <xdr:spPr>
        <a:xfrm>
          <a:off x="200025" y="457200"/>
          <a:ext cx="1724025" cy="495300"/>
        </a:xfrm>
        <a:prstGeom prst="rect">
          <a:avLst/>
        </a:prstGeom>
      </xdr:spPr>
    </xdr:pic>
    <xdr:clientData/>
  </xdr:twoCellAnchor>
  <xdr:twoCellAnchor editAs="oneCell">
    <xdr:from>
      <xdr:col>1</xdr:col>
      <xdr:colOff>257175</xdr:colOff>
      <xdr:row>2</xdr:row>
      <xdr:rowOff>276225</xdr:rowOff>
    </xdr:from>
    <xdr:to>
      <xdr:col>1</xdr:col>
      <xdr:colOff>1866900</xdr:colOff>
      <xdr:row>2</xdr:row>
      <xdr:rowOff>809625</xdr:rowOff>
    </xdr:to>
    <xdr:pic>
      <xdr:nvPicPr>
        <xdr:cNvPr id="5" name="Imagem 4">
          <a:extLst>
            <a:ext uri="{FF2B5EF4-FFF2-40B4-BE49-F238E27FC236}">
              <a16:creationId xmlns:a16="http://schemas.microsoft.com/office/drawing/2014/main" id="{5F1B0084-9FDD-1A0E-C360-0309D78A240D}"/>
            </a:ext>
            <a:ext uri="{147F2762-F138-4A5C-976F-8EAC2B608ADB}">
              <a16:predDERef xmlns:a16="http://schemas.microsoft.com/office/drawing/2014/main" pred="{AA253446-F90C-701B-458D-20F643C2ED13}"/>
            </a:ext>
          </a:extLst>
        </xdr:cNvPr>
        <xdr:cNvPicPr>
          <a:picLocks noChangeAspect="1"/>
        </xdr:cNvPicPr>
      </xdr:nvPicPr>
      <xdr:blipFill>
        <a:blip xmlns:r="http://schemas.openxmlformats.org/officeDocument/2006/relationships" r:embed="rId4"/>
        <a:stretch>
          <a:fillRect/>
        </a:stretch>
      </xdr:blipFill>
      <xdr:spPr>
        <a:xfrm>
          <a:off x="285750" y="1504950"/>
          <a:ext cx="1609725" cy="533400"/>
        </a:xfrm>
        <a:prstGeom prst="rect">
          <a:avLst/>
        </a:prstGeom>
      </xdr:spPr>
    </xdr:pic>
    <xdr:clientData/>
  </xdr:twoCellAnchor>
  <xdr:twoCellAnchor editAs="oneCell">
    <xdr:from>
      <xdr:col>1</xdr:col>
      <xdr:colOff>228600</xdr:colOff>
      <xdr:row>3</xdr:row>
      <xdr:rowOff>361950</xdr:rowOff>
    </xdr:from>
    <xdr:to>
      <xdr:col>1</xdr:col>
      <xdr:colOff>1895475</xdr:colOff>
      <xdr:row>3</xdr:row>
      <xdr:rowOff>685800</xdr:rowOff>
    </xdr:to>
    <xdr:pic>
      <xdr:nvPicPr>
        <xdr:cNvPr id="6" name="Imagem 5">
          <a:extLst>
            <a:ext uri="{FF2B5EF4-FFF2-40B4-BE49-F238E27FC236}">
              <a16:creationId xmlns:a16="http://schemas.microsoft.com/office/drawing/2014/main" id="{F83B7196-41B8-2375-C2DD-67DA15BFD74F}"/>
            </a:ext>
            <a:ext uri="{147F2762-F138-4A5C-976F-8EAC2B608ADB}">
              <a16:predDERef xmlns:a16="http://schemas.microsoft.com/office/drawing/2014/main" pred="{5F1B0084-9FDD-1A0E-C360-0309D78A240D}"/>
            </a:ext>
          </a:extLst>
        </xdr:cNvPr>
        <xdr:cNvPicPr>
          <a:picLocks noChangeAspect="1"/>
        </xdr:cNvPicPr>
      </xdr:nvPicPr>
      <xdr:blipFill>
        <a:blip xmlns:r="http://schemas.openxmlformats.org/officeDocument/2006/relationships" r:embed="rId5"/>
        <a:stretch>
          <a:fillRect/>
        </a:stretch>
      </xdr:blipFill>
      <xdr:spPr>
        <a:xfrm>
          <a:off x="257175" y="2628900"/>
          <a:ext cx="1666875" cy="323850"/>
        </a:xfrm>
        <a:prstGeom prst="rect">
          <a:avLst/>
        </a:prstGeom>
      </xdr:spPr>
    </xdr:pic>
    <xdr:clientData/>
  </xdr:twoCellAnchor>
  <xdr:twoCellAnchor editAs="oneCell">
    <xdr:from>
      <xdr:col>1</xdr:col>
      <xdr:colOff>76200</xdr:colOff>
      <xdr:row>4</xdr:row>
      <xdr:rowOff>76200</xdr:rowOff>
    </xdr:from>
    <xdr:to>
      <xdr:col>1</xdr:col>
      <xdr:colOff>2000250</xdr:colOff>
      <xdr:row>4</xdr:row>
      <xdr:rowOff>914400</xdr:rowOff>
    </xdr:to>
    <xdr:pic>
      <xdr:nvPicPr>
        <xdr:cNvPr id="7" name="Imagem 6">
          <a:extLst>
            <a:ext uri="{FF2B5EF4-FFF2-40B4-BE49-F238E27FC236}">
              <a16:creationId xmlns:a16="http://schemas.microsoft.com/office/drawing/2014/main" id="{24CFEDC2-5921-9826-1BDB-635B93D9E56F}"/>
            </a:ext>
            <a:ext uri="{147F2762-F138-4A5C-976F-8EAC2B608ADB}">
              <a16:predDERef xmlns:a16="http://schemas.microsoft.com/office/drawing/2014/main" pred="{F83B7196-41B8-2375-C2DD-67DA15BFD74F}"/>
            </a:ext>
          </a:extLst>
        </xdr:cNvPr>
        <xdr:cNvPicPr>
          <a:picLocks noChangeAspect="1"/>
        </xdr:cNvPicPr>
      </xdr:nvPicPr>
      <xdr:blipFill>
        <a:blip xmlns:r="http://schemas.openxmlformats.org/officeDocument/2006/relationships" r:embed="rId6"/>
        <a:stretch>
          <a:fillRect/>
        </a:stretch>
      </xdr:blipFill>
      <xdr:spPr>
        <a:xfrm>
          <a:off x="104775" y="3381375"/>
          <a:ext cx="1924050" cy="838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262618</xdr:colOff>
      <xdr:row>1</xdr:row>
      <xdr:rowOff>112145</xdr:rowOff>
    </xdr:from>
    <xdr:to>
      <xdr:col>22</xdr:col>
      <xdr:colOff>953521</xdr:colOff>
      <xdr:row>7</xdr:row>
      <xdr:rowOff>204220</xdr:rowOff>
    </xdr:to>
    <xdr:graphicFrame macro="">
      <xdr:nvGraphicFramePr>
        <xdr:cNvPr id="310" name="Gráfico 8">
          <a:extLst>
            <a:ext uri="{FF2B5EF4-FFF2-40B4-BE49-F238E27FC236}">
              <a16:creationId xmlns:a16="http://schemas.microsoft.com/office/drawing/2014/main" id="{834A8E00-B31D-EC7A-4166-66F40E6412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281667</xdr:colOff>
      <xdr:row>8</xdr:row>
      <xdr:rowOff>95703</xdr:rowOff>
    </xdr:from>
    <xdr:to>
      <xdr:col>22</xdr:col>
      <xdr:colOff>967127</xdr:colOff>
      <xdr:row>13</xdr:row>
      <xdr:rowOff>87766</xdr:rowOff>
    </xdr:to>
    <xdr:graphicFrame macro="">
      <xdr:nvGraphicFramePr>
        <xdr:cNvPr id="301" name="Gráfico 9">
          <a:extLst>
            <a:ext uri="{FF2B5EF4-FFF2-40B4-BE49-F238E27FC236}">
              <a16:creationId xmlns:a16="http://schemas.microsoft.com/office/drawing/2014/main" id="{CF12CB32-795F-7528-355F-ABE1EF8A5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294254</xdr:colOff>
      <xdr:row>14</xdr:row>
      <xdr:rowOff>50688</xdr:rowOff>
    </xdr:from>
    <xdr:to>
      <xdr:col>22</xdr:col>
      <xdr:colOff>979714</xdr:colOff>
      <xdr:row>20</xdr:row>
      <xdr:rowOff>134825</xdr:rowOff>
    </xdr:to>
    <xdr:graphicFrame macro="">
      <xdr:nvGraphicFramePr>
        <xdr:cNvPr id="284" name="Gráfico 10">
          <a:extLst>
            <a:ext uri="{FF2B5EF4-FFF2-40B4-BE49-F238E27FC236}">
              <a16:creationId xmlns:a16="http://schemas.microsoft.com/office/drawing/2014/main" id="{E53AAB4F-BCF1-AFDB-6C67-D6DB06F294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283368</xdr:colOff>
      <xdr:row>21</xdr:row>
      <xdr:rowOff>141743</xdr:rowOff>
    </xdr:from>
    <xdr:to>
      <xdr:col>22</xdr:col>
      <xdr:colOff>968828</xdr:colOff>
      <xdr:row>29</xdr:row>
      <xdr:rowOff>29030</xdr:rowOff>
    </xdr:to>
    <xdr:graphicFrame macro="">
      <xdr:nvGraphicFramePr>
        <xdr:cNvPr id="271" name="Gráfico 11">
          <a:extLst>
            <a:ext uri="{FF2B5EF4-FFF2-40B4-BE49-F238E27FC236}">
              <a16:creationId xmlns:a16="http://schemas.microsoft.com/office/drawing/2014/main" id="{278A061F-1821-F77F-C4FB-83DCDAE48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abri\Desktop\ISEG\Lisbon%20Investment%20Society\Head%20ER\Assumptions%20sheet-%20Dami&#227;o.xlsx" TargetMode="External"/><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Patricia Figueiredo Franco" id="{B2C9ABB3-CE67-4DB8-8D98-310C711B98ED}" userId="S::l61831@aln.iseg.ulisboa.pt::a8896beb-22f4-47f1-8e4a-33e3b9570a5b" providerId="AD"/>
  <person displayName="DAVID FILIPE DE SOUSA TITA" id="{6D2C5BD9-1C3E-4972-9F97-1CA81A3CC14E}" userId="S::david.tita@aln.iseg.ulisboa.pt::2b554b1a-dfdf-4fc2-8414-05963e9f059c" providerId="AD"/>
  <person displayName="Molka Ezzedini" id="{343FA5F0-F7C1-40B8-B919-4FE2AB0DD0A1}" userId="S::molka.ezzedini@aln.iseg.ulisboa.pt::332866e0-efe8-4e48-b94a-596e1a297b36"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7">
  <rv s="0">
    <v>https://www.bing.com/financeapi/forcetrigger?t=ae9wk2&amp;q=XPAR%3aRMS&amp;form=skydnc</v>
    <v>Learn more on Bing</v>
  </rv>
  <rv s="1">
    <v>en-US</v>
    <v>ae9wk2</v>
    <v>268435456</v>
    <v>1</v>
    <v>Powered by Refinitiv</v>
    <v>0</v>
    <v>Hermes International SCA (XPAR:RMS)</v>
    <v>2</v>
    <v>3</v>
    <v>Finance</v>
    <v>4</v>
    <v>2436</v>
    <v>1743.4</v>
    <v>0.73650000000000004</v>
    <v>-28</v>
    <v>-1.3132999999999999E-2</v>
    <v>EUR</v>
    <v>Hermes International SCA is a France-based company specialized in the design, manufacturing, and marketing of luxury products. The Company reports its businesses into a number segments, including Leather Goods and Saddler, which includes bags, riding, diaries and small leather goods; Ready-to-wear and Accessories, which includes Hermes ready-to-wear for men and women, belts, costume jewellery, gloves, hats and shoes; Other Hermes, which encompasses jewellery and hermes home products, such as the art of living and hermes tableware; Other product segment, which includes the production activities carried out on behalf of non-group brands, as well as the John Lobb, Saint-Louis, Puiforcat and Shang Xia products; Silk and Textiles; Perfumes, and Watches. Apart from France, Hermes International SCA is present in other countries in Europe, Asia and the Americas, among others.</v>
    <v>23242</v>
    <v>Euronext Paris</v>
    <v>XPAR</v>
    <v>XPAR</v>
    <v>24 rue du Faubourg Saint Honore, PARIS, ILE-DE-FRANCE, 75008 FR</v>
    <v>2125</v>
    <v>Textiles &amp; Apparel</v>
    <v>Stock</v>
    <v>45595.708333333336</v>
    <v>0</v>
    <v>2073</v>
    <v>225074000000</v>
    <v>Hermes International SCA</v>
    <v>Hermes International SCA</v>
    <v>2110</v>
    <v>50.124499999999998</v>
    <v>2132</v>
    <v>2104</v>
    <v>105569400</v>
    <v>RMS</v>
    <v>Hermes International SCA (XPAR:RMS)</v>
    <v>64756</v>
    <v>53770</v>
    <v>1957</v>
  </rv>
  <rv s="2">
    <v>1</v>
  </rv>
  <rv s="0">
    <v>https://www.bing.com/financeapi/forcetrigger?t=ae96u2&amp;q=XPAR%3aMC&amp;form=skydnc</v>
    <v>Learn more on Bing</v>
  </rv>
  <rv s="1">
    <v>en-US</v>
    <v>ae96u2</v>
    <v>268435456</v>
    <v>1</v>
    <v>Powered by Refinitiv</v>
    <v>0</v>
    <v>LVMH Moet Hennessy Louis Vuitton SE (XPAR:MC)</v>
    <v>2</v>
    <v>3</v>
    <v>Finance</v>
    <v>4</v>
    <v>886.4</v>
    <v>578.79999999999995</v>
    <v>1.0277000000000001</v>
    <v>-12.8</v>
    <v>-2.0288E-2</v>
    <v>EUR</v>
    <v>LVMH Moet Hennessy Louis Vuitton SE is a France-based luxury group active in six sectors: Wines and Spirits, Fashion and Leather Goods, Perfumes and Cosmetics, Watches and Jewelry, Selective Retailing and Other Activities. Wines and Spirits owns brands, such as Moet &amp; Chandon, Krug, Veuve Clicquot, Hennessy and Chteau d’Yquem, among others. Fashion and Leather Goods owns brands, such as Luis Vuitton, Christian Dior and Givenchy, among others. Perfumes and Cosmetics owns brands, such as Parfums Christian Dior, Parfums Givenchy Guerlain, Benefit Cosmetics, Fresh and Make Up For Ever, among others. Watches and Jewelry owns brands, including TAG Heuer, Hublo, Zenith, Bulgari, Chaumet and Fred, among others. Selective Retailing owns the brands DFS, Miami Cruiseline, Sephora and Le Bon Marche Rive Gauche, among others. Other Activities includes its acquisition of Pedemonte Group, a jewelry producer and the arts brands, such as Les Echos, Royal Van Lent, and Cheval Blanc.</v>
    <v>192287</v>
    <v>Euronext Paris</v>
    <v>XPAR</v>
    <v>XPAR</v>
    <v>22, avenue Montaigne, PARIS, ILE-DE-FRANCE, 75008 FR</v>
    <v>625.9</v>
    <v>Textiles &amp; Apparel</v>
    <v>Stock</v>
    <v>45595.708333333336</v>
    <v>3</v>
    <v>608.6</v>
    <v>315539400000</v>
    <v>LVMH Moet Hennessy Louis Vuitton SE</v>
    <v>LVMH Moet Hennessy Louis Vuitton SE</v>
    <v>624.1</v>
    <v>22.578299999999999</v>
    <v>630.9</v>
    <v>618.1</v>
    <v>500141700</v>
    <v>MC</v>
    <v>LVMH Moet Hennessy Louis Vuitton SE (XPAR:MC)</v>
    <v>536640</v>
    <v>466050</v>
    <v>1971</v>
  </rv>
  <rv s="2">
    <v>4</v>
  </rv>
  <rv s="0">
    <v>https://www.bing.com/financeapi/forcetrigger?t=ae92im&amp;q=XPAR%3aKER&amp;form=skydnc</v>
    <v>Learn more on Bing</v>
  </rv>
  <rv s="1">
    <v>en-US</v>
    <v>ae92im</v>
    <v>268435456</v>
    <v>1</v>
    <v>Powered by Refinitiv</v>
    <v>0</v>
    <v>Kering SA (XPAR:KER)</v>
    <v>2</v>
    <v>3</v>
    <v>Finance</v>
    <v>4</v>
    <v>438.6</v>
    <v>215.45</v>
    <v>0.98699999999999999</v>
    <v>-7.65</v>
    <v>-3.2258000000000002E-2</v>
    <v>EUR</v>
    <v>Kering SA is a France-based company that mainly active in fashion group on luxurious branded products. The Group manages the development of a series of renowned Houses in Fashion, Leather Goods and Jewelry: Gucci, Saint Laurent, Bottega Veneta, Balenciaga, Alexander McQueen, Brioni, Boucheron, Pomellato, DoDo, Ginori 1735, as well as Kering Eyewear and Kering Beaute. It manufactures and sell, mostly through managed retail stores, an array of products, including leather goods, apparel, accessories, footwear, jewelry among others, for man, woman, and children. The Group is actively working in globally.</v>
    <v>46444</v>
    <v>Euronext Paris</v>
    <v>XPAR</v>
    <v>XPAR</v>
    <v>40 Rue de Sevres, Paris 7, PARIS, ILE-DE-FRANCE, 75007 FR</v>
    <v>235.6</v>
    <v>Specialty Retailers</v>
    <v>Stock</v>
    <v>45595.708333333336</v>
    <v>6</v>
    <v>225.85</v>
    <v>29269240000</v>
    <v>Kering SA</v>
    <v>Kering SA</v>
    <v>235</v>
    <v>13.4102</v>
    <v>237.15</v>
    <v>229.5</v>
    <v>123420800</v>
    <v>KER</v>
    <v>Kering SA (XPAR:KER)</v>
    <v>458106</v>
    <v>322740</v>
    <v>1955</v>
  </rv>
  <rv s="2">
    <v>7</v>
  </rv>
  <rv s="0">
    <v>https://www.bing.com/financeapi/forcetrigger?t=ao6p1h&amp;q=XLON%3aBRBY&amp;form=skydnc</v>
    <v>Learn more on Bing</v>
  </rv>
  <rv s="1">
    <v>en-US</v>
    <v>ao6p1h</v>
    <v>268435456</v>
    <v>1</v>
    <v>Powered by Refinitiv</v>
    <v>0</v>
    <v>BURBERRY GROUP PLC (XLON:BRBY)</v>
    <v>2</v>
    <v>5</v>
    <v>Finance</v>
    <v>6</v>
    <v>1751</v>
    <v>555.61</v>
    <v>1.4887999999999999</v>
    <v>11.8</v>
    <v>1.5767E-2</v>
    <v>GBp</v>
    <v>Burberry Group plc is a United Kingdom-based global luxury goods manufacturer, retailer, and wholesaler. The Company also licenses third parties to manufacture and distribute products using the Burberry trademarks. The Company's segments include Retail/wholesale and Licensing. The Retail/wholesale segment is engaged in the sale of luxury goods through Burberry mainline stores, concessions, outlets, and digital commerce, as well as Burberry franchisees, department stores globally and multi-brand specialty accounts. The flow of global product between retail and wholesale channels and across its regions is monitored and optimized at a corporate level and implemented via the Company's inventory hubs situated in Europe, the United States, mainland China, Hong Kong, and Special Administrative Regions (S.A.R.) China. The Company’s Licensing segment includes royalties from global licensees of beauty products, eyewear and licenses relating to the use of non-Burberry trademarks in Japan.</v>
    <v>9336</v>
    <v>London Stock Exchange</v>
    <v>XLON</v>
    <v>XLON</v>
    <v>Horseferry House, Horseferry Road, Westminster, LONDON, SW1P 2AW GB</v>
    <v>764.2</v>
    <v>Specialty Retailers</v>
    <v>Stock</v>
    <v>45595.690995370373</v>
    <v>9</v>
    <v>734.6</v>
    <v>2683640000</v>
    <v>BURBERRY GROUP PLC</v>
    <v>BURBERRY GROUP PLC</v>
    <v>745</v>
    <v>10.143700000000001</v>
    <v>748.4</v>
    <v>760.2</v>
    <v>358583600</v>
    <v>BRBY</v>
    <v>BURBERRY GROUP PLC (XLON:BRBY)</v>
    <v>5705485</v>
    <v>2725160</v>
    <v>1997</v>
  </rv>
  <rv s="2">
    <v>10</v>
  </rv>
  <rv s="0">
    <v>https://www.bing.com/financeapi/forcetrigger?t=ah3aw7&amp;q=XHKG%3a1913&amp;form=skydnc</v>
    <v>Learn more on Bing</v>
  </rv>
  <rv s="3">
    <v>en-US</v>
    <v>ah3aw7</v>
    <v>268435456</v>
    <v>1</v>
    <v>Powered by Refinitiv</v>
    <v>7</v>
    <v>Prada SpA (XHKG:1913)</v>
    <v>2</v>
    <v>8</v>
    <v>Finance</v>
    <v>9</v>
    <v>66.8</v>
    <v>40</v>
    <v>0.60709999999999997</v>
    <v>-1.35</v>
    <v>0</v>
    <v>-2.3788999999999998E-2</v>
    <v>0</v>
    <v>HKD</v>
    <v>Prada SpA is an Italy-based company engaged in fashion industry. The Company is a parent of the Prada Group. The Company, along with its subsidiaries, is engaged in the design, production and distribution of leather goods, handbags, clothing, eyewear, fragrances, footwear and accessories. Prada SpA manufactures jackets, trousers, skirts, dresses, sweaters, blouses, as well as perfumes and watches, among others. The Company trades its products through several brands, such as Prada, Miu Miu, The Church and The Car Shoe. Prada SpA operates in approximately 70 countries through directly operated stores, franchise operated stores, a network of selected multi-brand stores and department stores. Prada Spa operates through a numerous subsidiaries, including Artisans Shoes Srl, Angelo Marchesi Srl, Prada Far East BV, Tannerie Megisserie Hervy SAS and Prada SA, among others.</v>
    <v>14933</v>
    <v>Hong Kong Stock Exchange</v>
    <v>XHKG</v>
    <v>XHKG</v>
    <v>via Antonio Fogazzaro, 28, MILANO, MILANO, 20135 IT</v>
    <v>57</v>
    <v>Textiles &amp; Apparel</v>
    <v>Stock</v>
    <v>45595.338988726566</v>
    <v>12</v>
    <v>53.8</v>
    <v>145853000000</v>
    <v>Prada SpA</v>
    <v>Prada SpA</v>
    <v>56.75</v>
    <v>22.62</v>
    <v>56.75</v>
    <v>55.4</v>
    <v>55.4</v>
    <v>2558824000</v>
    <v>1913</v>
    <v>Prada SpA (XHKG:1913)</v>
    <v>3916688</v>
    <v>1257040</v>
  </rv>
  <rv s="2">
    <v>13</v>
  </rv>
  <rv s="4">
    <v>12</v>
    <v>Preço</v>
    <v>0</v>
  </rv>
  <rv s="5">
    <v>12</v>
    <v>1</v>
  </rv>
</rvData>
</file>

<file path=xl/richData/rdrichvaluestructure.xml><?xml version="1.0" encoding="utf-8"?>
<rvStructures xmlns="http://schemas.microsoft.com/office/spreadsheetml/2017/richdata" count="6">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error">
    <k n="errorType" t="i"/>
    <k n="field" t="s"/>
    <k n="subType" t="i"/>
  </s>
  <s t="_error">
    <k n="errorType" t="i"/>
    <k n="propagated" t="b"/>
  </s>
</rvStructures>
</file>

<file path=xl/richData/rdsupportingpropertybag.xml><?xml version="1.0" encoding="utf-8"?>
<supportingPropertyBags xmlns="http://schemas.microsoft.com/office/spreadsheetml/2017/richdata2">
  <spbArrays count="2">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spbArrays>
  <spbData count="10">
    <spb s="0">
      <v>0</v>
      <v>Name</v>
      <v>LearnMoreOnLink</v>
    </spb>
    <spb s="1">
      <v>0</v>
      <v>0</v>
      <v>0</v>
    </spb>
    <spb s="2">
      <v>1</v>
      <v>1</v>
      <v>1</v>
      <v>1</v>
    </spb>
    <spb s="3">
      <v>1</v>
      <v>2</v>
      <v>2</v>
      <v>1</v>
      <v>3</v>
      <v>1</v>
      <v>1</v>
      <v>1</v>
      <v>4</v>
      <v>4</v>
      <v>5</v>
      <v>6</v>
      <v>1</v>
      <v>1</v>
      <v>1</v>
      <v>4</v>
      <v>7</v>
      <v>8</v>
      <v>9</v>
      <v>4</v>
    </spb>
    <spb s="4">
      <v>Delayed 15 minutes</v>
      <v>from previous close</v>
      <v>from previous close</v>
      <v>GMT</v>
    </spb>
    <spb s="3">
      <v>10</v>
      <v>2</v>
      <v>2</v>
      <v>10</v>
      <v>3</v>
      <v>10</v>
      <v>10</v>
      <v>10</v>
      <v>4</v>
      <v>4</v>
      <v>5</v>
      <v>11</v>
      <v>10</v>
      <v>10</v>
      <v>10</v>
      <v>4</v>
      <v>7</v>
      <v>8</v>
      <v>9</v>
      <v>4</v>
    </spb>
    <spb s="5">
      <v>Delayed 15 minutes</v>
      <v>from previous close</v>
      <v>from previous close</v>
      <v>LSE</v>
      <v>GMT</v>
    </spb>
    <spb s="0">
      <v>1</v>
      <v>Name</v>
      <v>LearnMoreOnLink</v>
    </spb>
    <spb s="6">
      <v>12</v>
      <v>2</v>
      <v>2</v>
      <v>12</v>
      <v>3</v>
      <v>12</v>
      <v>12</v>
      <v>12</v>
      <v>4</v>
      <v>4</v>
      <v>5</v>
      <v>13</v>
      <v>12</v>
      <v>12</v>
      <v>12</v>
      <v>4</v>
      <v>7</v>
      <v>9</v>
      <v>4</v>
      <v>12</v>
      <v>12</v>
      <v>5</v>
    </spb>
    <spb s="7">
      <v>at close</v>
      <v>from previous close</v>
      <v>from previous close</v>
      <v>GMT</v>
      <v>Delayed 15 minutes</v>
      <v>from close</v>
      <v>from close</v>
    </spb>
  </spbData>
</supportingPropertyBags>
</file>

<file path=xl/richData/rdsupportingpropertybagstructure.xml><?xml version="1.0" encoding="utf-8"?>
<spbStructures xmlns="http://schemas.microsoft.com/office/spreadsheetml/2017/richdata2" count="8">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Price" t="s"/>
    <k n="Change" t="s"/>
    <k n="Change (%)" t="s"/>
    <k n="ExchangeID" t="s"/>
    <k n="Last trade time" t="s"/>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4" formatCode="#,##0.00"/>
    </x:dxf>
    <x:dxf>
      <x:numFmt numFmtId="3" formatCode="#,##0"/>
    </x:dxf>
    <x:dxf>
      <x:numFmt numFmtId="14" formatCode="0.00%"/>
    </x:dxf>
    <x:dxf>
      <x:numFmt numFmtId="2" formatCode="0.00"/>
    </x:dxf>
    <x:dxf>
      <x:numFmt numFmtId="1" formatCode="0"/>
    </x:dxf>
    <x:dxf>
      <x:numFmt numFmtId="27" formatCode="yyyy/m/d\ h:mm"/>
    </x:dxf>
    <x:dxf>
      <x:numFmt numFmtId="0" formatCode="General"/>
    </x:dxf>
    <x:dxf>
      <x:numFmt numFmtId="35" formatCode="_ * #,##0.00_ ;_ * \-#,##0.00_ ;_ * &quot;-&quot;??_ ;_ @_ "/>
    </x:dxf>
  </dxfs>
  <richProperties>
    <rPr n="NumberFormat" t="s"/>
    <rPr n="IsTitleField" t="b"/>
  </richProperties>
  <richStyles>
    <rSty dxfid="6">
      <rpv i="0">_([$€-x-euro2] * #,##0.00_);_([$€-x-euro2] * (#,##0.00);_([$€-x-euro2] * "-"??_);_(@_)</rpv>
    </rSty>
    <rSty dxfid="0">
      <rpv i="0">#,##0.00</rpv>
    </rSty>
    <rSty>
      <rpv i="1">1</rpv>
    </rSty>
    <rSty dxfid="1">
      <rpv i="0">#,##0</rpv>
    </rSty>
    <rSty dxfid="2"/>
    <rSty dxfid="6">
      <rpv i="0">_([$€-x-euro2] * #,##0_);_([$€-x-euro2] * (#,##0);_([$€-x-euro2] * "-"_);_(@_)</rpv>
    </rSty>
    <rSty dxfid="5"/>
    <rSty dxfid="4">
      <rpv i="0">0</rpv>
    </rSty>
    <rSty dxfid="3">
      <rpv i="0">0.00</rpv>
    </rSty>
    <rSty dxfid="7">
      <rpv i="0">_(* #,##0.00_);_(* (#,##0.00);_(* "-"??_);_(@_)</rpv>
    </rSty>
    <rSty dxfid="6">
      <rpv i="0">_-[$£-en-GB]* #,##0_-;-[$£-en-GB]* #,##0_-;_-[$£-en-GB]* "-"_-;_-@_-</rpv>
    </rSty>
    <rSty dxfid="6">
      <rpv i="0">_-[$$-en-HK]* #,##0.00_-;-[$$-en-HK]* #,##0.00_-;_-[$$-en-HK]* "-"??_-;_-@_-</rpv>
    </rSty>
    <rSty dxfid="6">
      <rpv i="0">_-[$$-en-HK]* #,##0_-;-[$$-en-HK]* #,##0_-;_-[$$-en-HK]* "-"_-;_-@_-</rpv>
    </rSty>
  </richStyles>
</richStyleSheet>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done="1">
    <text>Date of last update of the report</text>
  </threadedComment>
  <threadedComment ref="D2" dT="2023-03-05T23:56:06.54" personId="{6D2C5BD9-1C3E-4972-9F97-1CA81A3CC14E}" id="{D17B5162-9C54-4F03-8882-3A424C1A2E60}" done="1">
    <text>Insert the date when the company will issue their next quarter/annual report</text>
  </threadedComment>
  <threadedComment ref="J2" dT="2023-03-05T23:56:59.28" personId="{6D2C5BD9-1C3E-4972-9F97-1CA81A3CC14E}" id="{74106D0B-4568-4C95-B1A7-D780E3BD20D3}" done="1">
    <text>In what exchange the company is listed in (Input the main exchange)</text>
  </threadedComment>
  <threadedComment ref="L13" dT="2023-12-11T11:45:12.58" personId="{B2C9ABB3-CE67-4DB8-8D98-310C711B98ED}" id="{58D3B9F8-18C8-49C1-8E02-0A1F3012ED24}">
    <text>Hermes Family</text>
  </threadedComment>
</ThreadedComments>
</file>

<file path=xl/threadedComments/threadedComment2.xml><?xml version="1.0" encoding="utf-8"?>
<ThreadedComments xmlns="http://schemas.microsoft.com/office/spreadsheetml/2018/threadedcomments" xmlns:x="http://schemas.openxmlformats.org/spreadsheetml/2006/main">
  <threadedComment ref="A70" dT="2023-11-30T00:22:44.37" personId="{343FA5F0-F7C1-40B8-B919-4FE2AB0DD0A1}" id="{906C0C4E-398D-4539-8EB0-A92DC75E28DF}">
    <text>"Purchase of inv (L51)"</text>
  </threadedComment>
</ThreadedComments>
</file>

<file path=xl/threadedComments/threadedComment3.xml><?xml version="1.0" encoding="utf-8"?>
<ThreadedComments xmlns="http://schemas.microsoft.com/office/spreadsheetml/2018/threadedcomments" xmlns:x="http://schemas.openxmlformats.org/spreadsheetml/2006/main">
  <threadedComment ref="A29" dT="2023-11-30T13:22:28.83" personId="{343FA5F0-F7C1-40B8-B919-4FE2AB0DD0A1}" id="{86CA8168-5C5F-481A-A1F8-8B8878D0EE37}">
    <text>Took it from L27: "Acc rec - Trade, Net"</text>
  </threadedComment>
  <threadedComment ref="A73" dT="2023-11-30T13:52:25.23" personId="{343FA5F0-F7C1-40B8-B919-4FE2AB0DD0A1}" id="{9A3F6555-0BC4-43AE-AE6E-F9B76C225FA7}">
    <text>I used L58 "Tot cash div Paid" (CF)</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mordorintelligence.com/industry-reports/china-luxury-goods-market" TargetMode="External"/><Relationship Id="rId7" Type="http://schemas.openxmlformats.org/officeDocument/2006/relationships/hyperlink" Target="https://www.mordorintelligence.com/industry-reports/luxury-apparels-market" TargetMode="External"/><Relationship Id="rId2" Type="http://schemas.openxmlformats.org/officeDocument/2006/relationships/hyperlink" Target="https://www.globenewswire.com/news-release/2022/06/16/2464201/0/en/Global-Luxury-Goods-Market-to-Reach-296-9-Billion-by-2026.html" TargetMode="External"/><Relationship Id="rId1" Type="http://schemas.openxmlformats.org/officeDocument/2006/relationships/hyperlink" Target="https://www.statista.com/outlook/cmo/luxury-goods/worldwide" TargetMode="External"/><Relationship Id="rId6" Type="http://schemas.openxmlformats.org/officeDocument/2006/relationships/hyperlink" Target="https://www.mordorintelligence.com/industry-reports/luxury-apparels-market" TargetMode="External"/><Relationship Id="rId5" Type="http://schemas.openxmlformats.org/officeDocument/2006/relationships/hyperlink" Target="https://www.mordorintelligence.com/industry-reports/united-states-luxury-goods-market" TargetMode="External"/><Relationship Id="rId4" Type="http://schemas.openxmlformats.org/officeDocument/2006/relationships/hyperlink" Target="https://www.mordorintelligence.com/industry-reports/united-states-luxury-goods-market" TargetMode="Externa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R99"/>
  <sheetViews>
    <sheetView showGridLines="0" topLeftCell="A9" zoomScale="70" zoomScaleNormal="70" workbookViewId="0">
      <selection activeCell="I27" sqref="I27:L30"/>
    </sheetView>
  </sheetViews>
  <sheetFormatPr defaultColWidth="11.42578125" defaultRowHeight="13.15"/>
  <cols>
    <col min="1" max="1" width="0.42578125" customWidth="1"/>
    <col min="2" max="2" width="21.140625" bestFit="1" customWidth="1"/>
    <col min="3" max="3" width="23.42578125" customWidth="1"/>
    <col min="4" max="4" width="32" customWidth="1"/>
    <col min="5" max="5" width="20.42578125" bestFit="1" customWidth="1"/>
    <col min="6" max="6" width="17" bestFit="1" customWidth="1"/>
    <col min="7" max="7" width="13.42578125" bestFit="1" customWidth="1"/>
    <col min="8" max="8" width="24.85546875" customWidth="1"/>
    <col min="9" max="9" width="17.85546875" customWidth="1"/>
    <col min="10" max="10" width="16.28515625" customWidth="1"/>
    <col min="11" max="11" width="20.140625" customWidth="1"/>
    <col min="12" max="12" width="47.5703125" customWidth="1"/>
  </cols>
  <sheetData>
    <row r="1" spans="2:12" ht="3.75" customHeight="1"/>
    <row r="2" spans="2:12" ht="22.5" customHeight="1">
      <c r="B2" s="410">
        <v>45039</v>
      </c>
      <c r="C2" s="282" t="s">
        <v>0</v>
      </c>
      <c r="D2" s="411" t="s">
        <v>1</v>
      </c>
      <c r="E2" s="835" t="e" vm="1">
        <f>Inputs!H3</f>
        <v>#VALUE!</v>
      </c>
      <c r="F2" s="836"/>
      <c r="G2" s="836"/>
      <c r="H2" s="836"/>
      <c r="I2" s="837"/>
      <c r="J2" s="283" t="s">
        <v>2</v>
      </c>
      <c r="K2" s="784"/>
      <c r="L2" s="504" t="s">
        <v>3</v>
      </c>
    </row>
    <row r="3" spans="2:12" ht="26.25" customHeight="1">
      <c r="B3" s="883"/>
      <c r="C3" s="884"/>
      <c r="D3" s="845" t="s">
        <v>4</v>
      </c>
      <c r="E3" s="845"/>
      <c r="F3" s="845"/>
      <c r="G3" s="845"/>
      <c r="H3" s="845" t="s">
        <v>5</v>
      </c>
      <c r="I3" s="845"/>
      <c r="J3" s="845"/>
      <c r="K3" s="846"/>
      <c r="L3" s="847"/>
    </row>
    <row r="4" spans="2:12" ht="39" customHeight="1">
      <c r="B4" s="883"/>
      <c r="C4" s="884"/>
      <c r="D4" s="844" t="str" cm="1">
        <f t="array" aca="1" ref="D4" ca="1">_FV(Inputs!H3,"Description")</f>
        <v>Hermes International SCA is a France-based company specialized in the design, manufacturing, and marketing of luxury products. The Company reports its businesses into a number segments, including Leather Goods and Saddler, which includes bags, riding, diaries and small leather goods; Ready-to-wear and Accessories, which includes Hermes ready-to-wear for men and women, belts, costume jewellery, gloves, hats and shoes; Other Hermes, which encompasses jewellery and hermes home products, such as the art of living and hermes tableware; Other product segment, which includes the production activities carried out on behalf of non-group brands, as well as the John Lobb, Saint-Louis, Puiforcat and Shang Xia products; Silk and Textiles; Perfumes, and Watches. Apart from France, Hermes International SCA is present in other countries in Europe, Asia and the Americas, among others.</v>
      </c>
      <c r="E4" s="844"/>
      <c r="F4" s="844"/>
      <c r="G4" s="844"/>
      <c r="H4" s="114" t="s">
        <v>6</v>
      </c>
      <c r="I4" s="115" t="s">
        <v>7</v>
      </c>
      <c r="J4" s="115" t="s">
        <v>8</v>
      </c>
      <c r="K4" s="777"/>
      <c r="L4" s="116" t="s">
        <v>9</v>
      </c>
    </row>
    <row r="5" spans="2:12" ht="39" customHeight="1">
      <c r="B5" s="883"/>
      <c r="C5" s="884"/>
      <c r="D5" s="844"/>
      <c r="E5" s="844"/>
      <c r="F5" s="844"/>
      <c r="G5" s="844"/>
      <c r="H5" s="778" t="s">
        <v>10</v>
      </c>
      <c r="I5" s="399">
        <v>2013</v>
      </c>
      <c r="J5" s="399" t="s">
        <v>11</v>
      </c>
      <c r="K5" s="785"/>
      <c r="L5" s="802" t="s">
        <v>12</v>
      </c>
    </row>
    <row r="6" spans="2:12" ht="39" customHeight="1">
      <c r="B6" s="883"/>
      <c r="C6" s="884"/>
      <c r="D6" s="844"/>
      <c r="E6" s="844"/>
      <c r="F6" s="844"/>
      <c r="G6" s="844"/>
      <c r="H6" s="803" t="s">
        <v>13</v>
      </c>
      <c r="I6" s="399">
        <v>2011</v>
      </c>
      <c r="J6" s="399" t="s">
        <v>11</v>
      </c>
      <c r="K6" s="785"/>
      <c r="L6" s="503"/>
    </row>
    <row r="7" spans="2:12" ht="38.25" customHeight="1">
      <c r="B7" s="883"/>
      <c r="C7" s="884"/>
      <c r="D7" s="844"/>
      <c r="E7" s="844"/>
      <c r="F7" s="844"/>
      <c r="G7" s="844"/>
      <c r="H7" s="779" t="s">
        <v>14</v>
      </c>
      <c r="I7" s="399">
        <v>2006</v>
      </c>
      <c r="J7" s="399" t="s">
        <v>15</v>
      </c>
      <c r="K7" s="785"/>
      <c r="L7" s="503" t="s">
        <v>16</v>
      </c>
    </row>
    <row r="8" spans="2:12" ht="37.5" customHeight="1">
      <c r="B8" s="883"/>
      <c r="C8" s="884"/>
      <c r="D8" s="844"/>
      <c r="E8" s="844"/>
      <c r="F8" s="844"/>
      <c r="G8" s="844"/>
      <c r="H8" s="117" t="s">
        <v>17</v>
      </c>
      <c r="I8" s="399">
        <v>2005</v>
      </c>
      <c r="J8" s="399" t="s">
        <v>15</v>
      </c>
      <c r="K8" s="785"/>
      <c r="L8" s="804" t="s">
        <v>18</v>
      </c>
    </row>
    <row r="9" spans="2:12" ht="37.5" customHeight="1">
      <c r="B9" s="883"/>
      <c r="C9" s="884"/>
      <c r="D9" s="844"/>
      <c r="E9" s="844"/>
      <c r="F9" s="844"/>
      <c r="G9" s="844"/>
      <c r="H9" s="117" t="s">
        <v>19</v>
      </c>
      <c r="I9" s="399">
        <v>2008</v>
      </c>
      <c r="J9" s="399" t="s">
        <v>15</v>
      </c>
      <c r="K9" s="785"/>
      <c r="L9" s="284"/>
    </row>
    <row r="10" spans="2:12" ht="17.45">
      <c r="B10" s="851" t="s">
        <v>20</v>
      </c>
      <c r="C10" s="852"/>
      <c r="D10" s="852"/>
      <c r="E10" s="852"/>
      <c r="F10" s="852"/>
      <c r="G10" s="852"/>
      <c r="H10" s="852"/>
      <c r="I10" s="852"/>
      <c r="J10" s="852"/>
      <c r="K10" s="852"/>
      <c r="L10" s="853"/>
    </row>
    <row r="11" spans="2:12" ht="15.6">
      <c r="B11" s="888" t="s">
        <v>21</v>
      </c>
      <c r="C11" s="889"/>
      <c r="D11" s="885" t="s">
        <v>22</v>
      </c>
      <c r="E11" s="890"/>
      <c r="F11" s="848" t="s">
        <v>23</v>
      </c>
      <c r="G11" s="849"/>
      <c r="H11" s="850"/>
      <c r="I11" s="753"/>
      <c r="J11" s="885" t="s">
        <v>24</v>
      </c>
      <c r="K11" s="886"/>
      <c r="L11" s="887"/>
    </row>
    <row r="12" spans="2:12">
      <c r="B12" s="502" t="s">
        <v>25</v>
      </c>
      <c r="C12" s="123" cm="1">
        <f t="array" aca="1" ref="C12" ca="1">_FV(E2,"Price")</f>
        <v>2104</v>
      </c>
      <c r="D12" s="13" t="s">
        <v>26</v>
      </c>
      <c r="E12" s="121">
        <f>_xlfn.XLOOKUP(D12,'Fin. Data'!A:A,'Fin. Data'!B:B,,0)</f>
        <v>17459</v>
      </c>
      <c r="F12" s="838" t="s">
        <v>27</v>
      </c>
      <c r="G12" s="839"/>
      <c r="H12" s="108" t="s">
        <v>28</v>
      </c>
      <c r="I12" s="754"/>
      <c r="J12" s="12" t="s">
        <v>29</v>
      </c>
      <c r="K12" s="786"/>
      <c r="L12" s="544" t="s">
        <v>30</v>
      </c>
    </row>
    <row r="13" spans="2:12" ht="12.75" customHeight="1">
      <c r="B13" s="502" t="s">
        <v>31</v>
      </c>
      <c r="C13" s="327" cm="1">
        <f t="array" aca="1" ref="C13" ca="1">_FV(E2,"Shares outstanding",TRUE)</f>
        <v>105569400</v>
      </c>
      <c r="D13" s="12" t="s">
        <v>32</v>
      </c>
      <c r="E13" s="121">
        <f>_xlfn.XLOOKUP(D13,'Fin. Data'!A:A,'Fin. Data'!B:B,,0)</f>
        <v>5018</v>
      </c>
      <c r="F13" s="840" t="str">
        <f>Segments!C5</f>
        <v>France</v>
      </c>
      <c r="G13" s="841"/>
      <c r="H13" s="17">
        <f>Segments!B5</f>
        <v>9.1708326150663683E-2</v>
      </c>
      <c r="I13" s="755"/>
      <c r="J13" s="12" t="s">
        <v>33</v>
      </c>
      <c r="K13" s="786"/>
      <c r="L13" s="500">
        <v>0.66700000000000004</v>
      </c>
    </row>
    <row r="14" spans="2:12" ht="12.75" customHeight="1">
      <c r="B14" s="502" t="s">
        <v>34</v>
      </c>
      <c r="C14" s="54">
        <f ca="1">C12*C13/1000000</f>
        <v>222118.01759999999</v>
      </c>
      <c r="D14" s="12" t="s">
        <v>35</v>
      </c>
      <c r="E14" s="387" t="e">
        <f ca="1">_xlfn.XLOOKUP("Cash &amp; Eq.",'Fin. Data'!A:A,'Fin. Data'!B:B,,0)*1000000/C13</f>
        <v>#VALUE!</v>
      </c>
      <c r="F14" s="840" t="str">
        <f>Segments!C6</f>
        <v>Europe (excluding France)</v>
      </c>
      <c r="G14" s="841"/>
      <c r="H14" s="17">
        <f>Segments!B6</f>
        <v>0.13239096707464229</v>
      </c>
      <c r="I14" s="121" t="e">
        <f>_xlfn.XLOOKUP(#REF!,'Fin. Data'!A:A,'Fin. Data'!B:B,,0)</f>
        <v>#REF!</v>
      </c>
      <c r="J14" s="8" t="s">
        <v>36</v>
      </c>
      <c r="K14" s="787"/>
      <c r="L14" s="501"/>
    </row>
    <row r="15" spans="2:12" ht="12.75" customHeight="1">
      <c r="B15" s="499" t="s">
        <v>37</v>
      </c>
      <c r="C15" s="54">
        <f>'Fin. Data'!B58</f>
        <v>37</v>
      </c>
      <c r="D15" s="12" t="s">
        <v>38</v>
      </c>
      <c r="E15" s="387" t="e">
        <f>_xlfn.XLOOKUP("EBITDA",'Fin. Data'!A:A,'Fin. Data'!B:B,,0)/_xlfn.XLOOKUP("Net Financial Cost",'Fin. Data'!A:A,'Fin. Data'!B:B,,0)</f>
        <v>#DIV/0!</v>
      </c>
      <c r="F15" s="840" t="str">
        <f>Segments!C7</f>
        <v>Japan</v>
      </c>
      <c r="G15" s="841"/>
      <c r="H15" s="17">
        <f>Segments!B7</f>
        <v>9.4897431477331498E-2</v>
      </c>
      <c r="I15" s="121" t="e">
        <f>_xlfn.XLOOKUP(#REF!,'Fin. Data'!A:A,'Fin. Data'!B:B,,0)</f>
        <v>#REF!</v>
      </c>
      <c r="J15" s="12" t="s">
        <v>39</v>
      </c>
      <c r="K15" s="786"/>
      <c r="L15" s="498" t="s">
        <v>40</v>
      </c>
    </row>
    <row r="16" spans="2:12" ht="12.75" customHeight="1">
      <c r="B16" s="499" t="s">
        <v>41</v>
      </c>
      <c r="C16" s="54" t="str">
        <f>'Fin. Data'!B39</f>
        <v>--</v>
      </c>
      <c r="D16" s="12" t="s">
        <v>42</v>
      </c>
      <c r="E16" s="387">
        <f>_xlfn.XLOOKUP("Total Debt",'Fin. Data'!A:A,'Fin. Data'!B:B,,0)/_xlfn.XLOOKUP("EBITDA",'Fin. Data'!A:A,'Fin. Data'!B:B,,0)</f>
        <v>1.9903173749327596E-2</v>
      </c>
      <c r="F16" s="840" t="str">
        <f>Segments!C8</f>
        <v>Asia-Pacific (excluding Japan)</v>
      </c>
      <c r="G16" s="841"/>
      <c r="H16" s="43">
        <f>Segments!B8</f>
        <v>0.47888295121530772</v>
      </c>
      <c r="I16" s="121" t="e">
        <f>_xlfn.XLOOKUP(#REF!,'Fin. Data'!A:A,'Fin. Data'!B:B,,0)</f>
        <v>#REF!</v>
      </c>
      <c r="J16" s="12" t="s">
        <v>43</v>
      </c>
      <c r="K16" s="786"/>
      <c r="L16" s="497">
        <f ca="1">IFERROR((C12*C13/(E12-E13))/1000000,"")</f>
        <v>17.853710923559198</v>
      </c>
    </row>
    <row r="17" spans="1:13" ht="12.75" customHeight="1">
      <c r="B17" s="499" t="s">
        <v>44</v>
      </c>
      <c r="C17" s="54" t="e">
        <f ca="1">C14+C15-C16</f>
        <v>#VALUE!</v>
      </c>
      <c r="D17" s="12" t="s">
        <v>45</v>
      </c>
      <c r="E17" s="387">
        <f>_xlfn.XLOOKUP("Other Assets",'Fin. Data'!A:A,'Fin. Data'!B:B,,0)/_xlfn.XLOOKUP("Total Assets",'Fin. Data'!A:A,'Fin. Data'!B:B,,0)</f>
        <v>0.481929091013231</v>
      </c>
      <c r="F17" s="840" t="str">
        <f>Segments!C9</f>
        <v>Americas</v>
      </c>
      <c r="G17" s="841"/>
      <c r="H17" s="43">
        <f>Segments!B9</f>
        <v>0.18427857265988623</v>
      </c>
      <c r="I17" s="121" t="e">
        <f>_xlfn.XLOOKUP(#REF!,'Fin. Data'!A:A,'Fin. Data'!B:B,,0)</f>
        <v>#REF!</v>
      </c>
      <c r="J17" s="12" t="s">
        <v>46</v>
      </c>
      <c r="K17" s="786"/>
      <c r="L17" s="496">
        <f>IFERROR(I23/E12,"")</f>
        <v>0.13742673310804362</v>
      </c>
    </row>
    <row r="18" spans="1:13" ht="12.75" customHeight="1">
      <c r="B18" s="499" t="s">
        <v>47</v>
      </c>
      <c r="C18" s="124" t="s">
        <v>48</v>
      </c>
      <c r="D18" s="12" t="s">
        <v>49</v>
      </c>
      <c r="E18" s="387">
        <f>_xlfn.XLOOKUP(D18,'Fin. Data'!A:A,'Fin. Data'!B:B,,0)</f>
        <v>2.1192508161979495E-3</v>
      </c>
      <c r="F18" s="842" t="s">
        <v>50</v>
      </c>
      <c r="G18" s="843"/>
      <c r="H18" s="109" t="s">
        <v>28</v>
      </c>
      <c r="I18" s="72" t="e">
        <f ca="1">1000000*I17/C13</f>
        <v>#REF!</v>
      </c>
      <c r="J18" s="12" t="s">
        <v>51</v>
      </c>
      <c r="K18" s="786"/>
      <c r="L18" s="495">
        <f ca="1">IFERROR(C14/I22,"")</f>
        <v>92.574889247013047</v>
      </c>
    </row>
    <row r="19" spans="1:13" ht="12.75" customHeight="1">
      <c r="B19" s="502" t="s">
        <v>52</v>
      </c>
      <c r="C19" s="125" t="s">
        <v>48</v>
      </c>
      <c r="D19" s="12" t="s">
        <v>53</v>
      </c>
      <c r="E19" s="122">
        <f>AVERAGE(_xlfn.XLOOKUP("EBITDA Margin",'Fin. Data'!A:A,'Fin. Data'!B:D,,0))</f>
        <v>0.13521434002578239</v>
      </c>
      <c r="F19" s="840" t="str">
        <f>Segments!C18</f>
        <v>Leather Goods and Saddlery</v>
      </c>
      <c r="G19" s="841"/>
      <c r="H19" s="17">
        <f>Segments!B18</f>
        <v>0.42780794759072494</v>
      </c>
      <c r="I19" s="73" t="e">
        <f>I17/E12</f>
        <v>#REF!</v>
      </c>
      <c r="J19" s="12" t="s">
        <v>54</v>
      </c>
      <c r="K19" s="786"/>
      <c r="L19" s="494" t="str">
        <f ca="1">IFERROR(C17/E12,"")</f>
        <v/>
      </c>
    </row>
    <row r="20" spans="1:13" ht="12.75" customHeight="1">
      <c r="B20" s="502" t="s">
        <v>55</v>
      </c>
      <c r="C20" s="18"/>
      <c r="D20" s="12" t="s">
        <v>56</v>
      </c>
      <c r="E20" s="122">
        <f>AVERAGE(_xlfn.XLOOKUP("Operating Margin",'Fin. Data'!A:A,'Fin. Data'!B:D,,0))</f>
        <v>0.37410538449376324</v>
      </c>
      <c r="F20" s="840" t="str">
        <f>Segments!C20</f>
        <v>Silk and Textiles</v>
      </c>
      <c r="G20" s="841"/>
      <c r="H20" s="17">
        <f>Segments!B20</f>
        <v>7.2579950004309973E-2</v>
      </c>
      <c r="I20" s="73" t="e">
        <f>I17/(E12-(E13-C15))</f>
        <v>#REF!</v>
      </c>
      <c r="J20" s="12" t="s">
        <v>57</v>
      </c>
      <c r="K20" s="786"/>
      <c r="L20" s="494" t="str">
        <f ca="1">IFERROR(C17/I21,"")</f>
        <v/>
      </c>
    </row>
    <row r="21" spans="1:13" ht="15.6">
      <c r="B21" s="888" t="s">
        <v>58</v>
      </c>
      <c r="C21" s="889"/>
      <c r="D21" s="12" t="s">
        <v>59</v>
      </c>
      <c r="E21" s="122">
        <f>AVERAGE(_xlfn.XLOOKUP("Net Income Margin",'Fin. Data'!A:A,'Fin. Data'!B:D,,0))</f>
        <v>0.25976994865956282</v>
      </c>
      <c r="F21" s="840" t="str">
        <f>Segments!C21</f>
        <v>Other Hermès Sectors</v>
      </c>
      <c r="G21" s="841"/>
      <c r="H21" s="17">
        <f>Segments!B21</f>
        <v>0.11817946728730282</v>
      </c>
      <c r="I21" s="121">
        <f>AVERAGE(_xlfn.XLOOKUP("EBITDA",'Fin. Data'!A:A,'Fin. Data'!B:D,,0))</f>
        <v>1283</v>
      </c>
      <c r="J21" s="12" t="s">
        <v>60</v>
      </c>
      <c r="K21" s="786"/>
      <c r="L21" s="495">
        <f ca="1">IFERROR(C14/I23,"")</f>
        <v>92.574889247013047</v>
      </c>
    </row>
    <row r="22" spans="1:13" ht="12.75" customHeight="1">
      <c r="B22" s="9" t="s">
        <v>61</v>
      </c>
      <c r="C22" s="782"/>
      <c r="D22" s="702"/>
      <c r="E22" s="130"/>
      <c r="F22" s="840" t="str">
        <f>Segments!C22</f>
        <v>Perfume and Beauty</v>
      </c>
      <c r="G22" s="841"/>
      <c r="H22" s="17">
        <f>Segments!B22</f>
        <v>3.8617360572364451E-2</v>
      </c>
      <c r="I22" s="121">
        <f>AVERAGE(_xlfn.XLOOKUP("Net Income",'Fin. Data'!A:A,'Fin. Data'!B:D,,0))</f>
        <v>2399.3333333333335</v>
      </c>
      <c r="J22" s="12" t="s">
        <v>62</v>
      </c>
      <c r="K22" s="786"/>
      <c r="L22" s="493" t="s">
        <v>48</v>
      </c>
    </row>
    <row r="23" spans="1:13" ht="12.75" customHeight="1">
      <c r="B23" s="9" t="s">
        <v>63</v>
      </c>
      <c r="C23" s="780"/>
      <c r="D23" s="12" t="s">
        <v>64</v>
      </c>
      <c r="E23" s="553" t="e">
        <f>-_xlfn.XLOOKUP("Net Financial Cost",'Fin. Data'!A:A,'Fin. Data'!B:B,,0)/AVERAGE(_xlfn.XLOOKUP("Net Debt",'Fin. Data'!A:A,'Fin. Data'!B:D,,0))</f>
        <v>#VALUE!</v>
      </c>
      <c r="F23" s="840" t="e">
        <f>Segments!#REF!</f>
        <v>#REF!</v>
      </c>
      <c r="G23" s="841"/>
      <c r="H23" s="17" t="e">
        <f>Segments!#REF!</f>
        <v>#REF!</v>
      </c>
      <c r="I23" s="121">
        <f>AVERAGE(_xlfn.XLOOKUP("Net Income",'Fin. Data'!A:A,'Fin. Data'!B:D,,0))</f>
        <v>2399.3333333333335</v>
      </c>
      <c r="J23" s="12" t="s">
        <v>65</v>
      </c>
      <c r="K23" s="786"/>
      <c r="L23" s="492">
        <f ca="1">-IFERROR(SUM(E44:E46)/(3*C14),"")</f>
        <v>2.2438521889635312E-3</v>
      </c>
    </row>
    <row r="24" spans="1:13" ht="12.6" customHeight="1">
      <c r="B24" s="9" t="s">
        <v>66</v>
      </c>
      <c r="C24" s="781"/>
      <c r="D24" s="127"/>
      <c r="E24" s="129"/>
      <c r="F24" s="857"/>
      <c r="G24" s="858"/>
      <c r="H24" s="19"/>
      <c r="I24" s="128"/>
      <c r="J24" s="12" t="s">
        <v>67</v>
      </c>
      <c r="K24" s="786"/>
      <c r="L24" s="491" t="e">
        <f ca="1">-IFERROR(J45/C14,"")</f>
        <v>#VALUE!</v>
      </c>
    </row>
    <row r="25" spans="1:13" ht="17.45">
      <c r="B25" s="851" t="s">
        <v>68</v>
      </c>
      <c r="C25" s="852"/>
      <c r="D25" s="852"/>
      <c r="E25" s="852"/>
      <c r="F25" s="852"/>
      <c r="G25" s="852"/>
      <c r="H25" s="852"/>
      <c r="I25" s="852"/>
      <c r="J25" s="852"/>
      <c r="K25" s="852"/>
      <c r="L25" s="853"/>
    </row>
    <row r="26" spans="1:13" ht="15.6">
      <c r="B26" s="878" t="s">
        <v>69</v>
      </c>
      <c r="C26" s="879"/>
      <c r="D26" s="879"/>
      <c r="E26" s="879"/>
      <c r="F26" s="879"/>
      <c r="G26" s="879"/>
      <c r="H26" s="559" t="s">
        <v>70</v>
      </c>
      <c r="I26" s="891" t="s">
        <v>71</v>
      </c>
      <c r="J26" s="891"/>
      <c r="K26" s="891"/>
      <c r="L26" s="892"/>
      <c r="M26" s="11"/>
    </row>
    <row r="27" spans="1:13" ht="13.35" customHeight="1">
      <c r="A27" s="11"/>
      <c r="B27" s="560" t="s">
        <v>72</v>
      </c>
      <c r="C27" s="899" t="s">
        <v>73</v>
      </c>
      <c r="D27" s="900"/>
      <c r="E27" s="900"/>
      <c r="F27" s="900"/>
      <c r="G27" s="901"/>
      <c r="H27" s="859"/>
      <c r="I27" s="870" t="s">
        <v>74</v>
      </c>
      <c r="J27" s="870"/>
      <c r="K27" s="870"/>
      <c r="L27" s="871"/>
    </row>
    <row r="28" spans="1:13" ht="24.6" customHeight="1">
      <c r="A28" s="11"/>
      <c r="B28" s="561"/>
      <c r="C28" s="821"/>
      <c r="D28" s="822"/>
      <c r="E28" s="822"/>
      <c r="F28" s="822"/>
      <c r="G28" s="823"/>
      <c r="H28" s="859"/>
      <c r="I28" s="872"/>
      <c r="J28" s="872"/>
      <c r="K28" s="872"/>
      <c r="L28" s="873"/>
    </row>
    <row r="29" spans="1:13" ht="24.6" customHeight="1">
      <c r="A29" s="11"/>
      <c r="B29" s="561"/>
      <c r="C29" s="821"/>
      <c r="D29" s="822"/>
      <c r="E29" s="822"/>
      <c r="F29" s="822"/>
      <c r="G29" s="823"/>
      <c r="H29" s="859"/>
      <c r="I29" s="872"/>
      <c r="J29" s="872"/>
      <c r="K29" s="872"/>
      <c r="L29" s="873"/>
    </row>
    <row r="30" spans="1:13" ht="24.6" customHeight="1">
      <c r="B30" s="562"/>
      <c r="C30" s="824"/>
      <c r="D30" s="825"/>
      <c r="E30" s="825"/>
      <c r="F30" s="825"/>
      <c r="G30" s="826"/>
      <c r="H30" s="860"/>
      <c r="I30" s="874"/>
      <c r="J30" s="874"/>
      <c r="K30" s="874"/>
      <c r="L30" s="875"/>
    </row>
    <row r="31" spans="1:13" ht="15.6">
      <c r="B31" s="893" t="s">
        <v>75</v>
      </c>
      <c r="C31" s="894"/>
      <c r="D31" s="894"/>
      <c r="E31" s="894"/>
      <c r="F31" s="894"/>
      <c r="G31" s="895"/>
      <c r="H31" s="563" t="s">
        <v>76</v>
      </c>
      <c r="I31" s="876"/>
      <c r="J31" s="876"/>
      <c r="K31" s="876"/>
      <c r="L31" s="877"/>
    </row>
    <row r="32" spans="1:13" ht="13.35" customHeight="1">
      <c r="B32" s="564" t="s">
        <v>77</v>
      </c>
      <c r="C32" s="896" t="s">
        <v>73</v>
      </c>
      <c r="D32" s="897"/>
      <c r="E32" s="897"/>
      <c r="F32" s="897"/>
      <c r="G32" s="898"/>
      <c r="H32" s="854" t="e">
        <f ca="1">DCF!D76</f>
        <v>#VALUE!</v>
      </c>
      <c r="I32" s="904"/>
      <c r="J32" s="863" t="s">
        <v>78</v>
      </c>
      <c r="K32" s="788"/>
      <c r="L32" s="867" t="e">
        <f>#REF!</f>
        <v>#REF!</v>
      </c>
    </row>
    <row r="33" spans="2:18" ht="13.35" customHeight="1">
      <c r="B33" s="561"/>
      <c r="C33" s="827"/>
      <c r="D33" s="828"/>
      <c r="E33" s="828"/>
      <c r="F33" s="828"/>
      <c r="G33" s="829"/>
      <c r="H33" s="855"/>
      <c r="I33" s="862"/>
      <c r="J33" s="864"/>
      <c r="K33" s="789"/>
      <c r="L33" s="868"/>
    </row>
    <row r="34" spans="2:18" ht="13.35" customHeight="1">
      <c r="B34" s="565"/>
      <c r="C34" s="831"/>
      <c r="D34" s="832"/>
      <c r="E34" s="832"/>
      <c r="F34" s="832"/>
      <c r="G34" s="833"/>
      <c r="H34" s="855"/>
      <c r="I34" s="861"/>
      <c r="J34" s="865" t="s">
        <v>79</v>
      </c>
      <c r="K34" s="789"/>
      <c r="L34" s="869" t="e">
        <f>#REF!</f>
        <v>#REF!</v>
      </c>
    </row>
    <row r="35" spans="2:18" ht="12.75" customHeight="1">
      <c r="B35" s="566"/>
      <c r="C35" s="880"/>
      <c r="D35" s="881"/>
      <c r="E35" s="881"/>
      <c r="F35" s="881"/>
      <c r="G35" s="882"/>
      <c r="H35" s="856"/>
      <c r="I35" s="862"/>
      <c r="J35" s="866"/>
      <c r="K35" s="789"/>
      <c r="L35" s="868"/>
    </row>
    <row r="36" spans="2:18" ht="17.45">
      <c r="B36" s="851" t="s">
        <v>80</v>
      </c>
      <c r="C36" s="852"/>
      <c r="D36" s="852"/>
      <c r="E36" s="852"/>
      <c r="F36" s="852"/>
      <c r="G36" s="852"/>
      <c r="H36" s="852"/>
      <c r="I36" s="852"/>
      <c r="J36" s="852"/>
      <c r="K36" s="852"/>
      <c r="L36" s="853"/>
    </row>
    <row r="37" spans="2:18">
      <c r="B37" s="703" t="s">
        <v>81</v>
      </c>
      <c r="C37" s="118" t="s">
        <v>82</v>
      </c>
      <c r="D37" s="118" t="s">
        <v>83</v>
      </c>
      <c r="E37" s="134" t="s">
        <v>84</v>
      </c>
      <c r="F37" s="118" t="s">
        <v>85</v>
      </c>
      <c r="G37" s="118" t="s">
        <v>49</v>
      </c>
      <c r="H37" s="133" t="s">
        <v>86</v>
      </c>
      <c r="I37" s="808"/>
      <c r="J37" s="808"/>
      <c r="K37" s="902"/>
      <c r="L37" s="903"/>
    </row>
    <row r="38" spans="2:18">
      <c r="B38" s="704" t="e">
        <f t="shared" ref="B38:B44" si="0">B39-1</f>
        <v>#REF!</v>
      </c>
      <c r="C38" s="132" cm="1">
        <f t="array" ref="C38:C46">_xlfn.SORTBY(TRANSPOSE(_xlfn.XLOOKUP(C$37,'Fin. Data'!$A:$A,'Fin. Data'!$B:$J,,0)),$B$38:$B$46,-1)</f>
        <v>11602</v>
      </c>
      <c r="D38" s="111" cm="1">
        <f t="array" ref="D38:D46">_xlfn.SORTBY(TRANSPOSE(_xlfn.XLOOKUP(D$37,'Fin. Data'!$A:$A,'Fin. Data'!$B:$J,,0)),$B$38:$B$46,-1)</f>
        <v>0.40484399241510083</v>
      </c>
      <c r="E38" s="132" cm="1">
        <f t="array" ref="E38:E46">_xlfn.SORTBY(TRANSPOSE(_xlfn.XLOOKUP(E$37,'Fin. Data'!$A:$A,'Fin. Data'!$B:$J,,0)),$B$38:$B$46,-1)</f>
        <v>-845</v>
      </c>
      <c r="F38" s="131">
        <f>Inputs!J77</f>
        <v>352</v>
      </c>
      <c r="G38" s="111" cm="1">
        <f t="array" ref="G38:G46">_xlfn.SORTBY(TRANSPOSE(_xlfn.XLOOKUP(G$37,'Fin. Data'!$A:$A,'Fin. Data'!$B:$J,,0)),$B$38:$B$46,-1)</f>
        <v>2.1192508161979495E-3</v>
      </c>
      <c r="H38" s="132" cm="1">
        <f t="array" ref="H38:H46">_xlfn.SORTBY(TRANSPOSE(_xlfn.XLOOKUP(H$37,'Fin. Data'!$A:$A,'Fin. Data'!$B:$J,,0)),$B$38:$B$46,-1)</f>
        <v>551</v>
      </c>
      <c r="I38" s="127"/>
      <c r="J38" s="112" t="e">
        <f>#REF!</f>
        <v>#REF!</v>
      </c>
      <c r="K38" s="791"/>
      <c r="L38" s="415" t="e">
        <f>J38-1</f>
        <v>#REF!</v>
      </c>
    </row>
    <row r="39" spans="2:18">
      <c r="B39" s="704" t="e">
        <f>B40-1</f>
        <v>#REF!</v>
      </c>
      <c r="C39" s="132">
        <v>8982</v>
      </c>
      <c r="D39" s="110">
        <v>0.39300823869962148</v>
      </c>
      <c r="E39" s="132">
        <v>-485</v>
      </c>
      <c r="F39" s="131">
        <f>Inputs!I77</f>
        <v>110</v>
      </c>
      <c r="G39" s="111">
        <v>1.8054452227919404E-3</v>
      </c>
      <c r="H39" s="132">
        <v>512</v>
      </c>
      <c r="I39" s="756"/>
      <c r="J39" s="54" t="e">
        <f>_xlfn.XLOOKUP(#REF!,'Fin. Data'!$A:$A,'Fin. Data'!B:B,,0)</f>
        <v>#REF!</v>
      </c>
      <c r="K39" s="792"/>
      <c r="L39" s="490" t="e">
        <f>_xlfn.XLOOKUP(#REF!,'Fin. Data'!$A:$A,'Fin. Data'!C:C,,0)</f>
        <v>#REF!</v>
      </c>
      <c r="M39" s="22">
        <f t="shared" ref="M39:M47" si="1">(C39/C38)-1</f>
        <v>-0.2258231339424237</v>
      </c>
      <c r="N39" s="22">
        <f t="shared" ref="N39:N47" si="2">(D39/D38)-1</f>
        <v>-2.9235344817328368E-2</v>
      </c>
      <c r="O39" s="21"/>
      <c r="P39" s="20"/>
      <c r="Q39" s="20"/>
      <c r="R39" s="20"/>
    </row>
    <row r="40" spans="2:18">
      <c r="B40" s="704" t="e">
        <f t="shared" si="0"/>
        <v>#REF!</v>
      </c>
      <c r="C40" s="132">
        <v>6389</v>
      </c>
      <c r="D40" s="110">
        <v>0.32446392236656751</v>
      </c>
      <c r="E40" s="132">
        <v>-485.1</v>
      </c>
      <c r="F40" s="131">
        <f>Inputs!H77</f>
        <v>783</v>
      </c>
      <c r="G40" s="111">
        <v>3.0766446475432086E-3</v>
      </c>
      <c r="H40" s="132">
        <v>468</v>
      </c>
      <c r="I40" s="756"/>
      <c r="J40" s="54" t="e">
        <f>_xlfn.XLOOKUP(#REF!,'Fin. Data'!$A:$A,'Fin. Data'!B:B,,0)</f>
        <v>#REF!</v>
      </c>
      <c r="K40" s="792"/>
      <c r="L40" s="490" t="e">
        <f>_xlfn.XLOOKUP(#REF!,'Fin. Data'!$A:$A,'Fin. Data'!C:C,,0)</f>
        <v>#REF!</v>
      </c>
      <c r="M40" s="22">
        <f t="shared" si="1"/>
        <v>-0.28868848808728564</v>
      </c>
      <c r="N40" s="22">
        <f t="shared" si="2"/>
        <v>-0.17440936240892091</v>
      </c>
      <c r="O40" s="21"/>
      <c r="P40" s="20">
        <f t="shared" ref="P40:P46" si="3">F40/F39-1</f>
        <v>6.1181818181818182</v>
      </c>
      <c r="Q40" s="20">
        <f t="shared" ref="Q40:Q46" si="4">H40/H39-1</f>
        <v>-8.59375E-2</v>
      </c>
      <c r="R40" s="20" t="e">
        <f>#REF!/#REF!-1</f>
        <v>#REF!</v>
      </c>
    </row>
    <row r="41" spans="2:18">
      <c r="B41" s="704" t="e">
        <f t="shared" si="0"/>
        <v>#REF!</v>
      </c>
      <c r="C41" s="132">
        <v>6883</v>
      </c>
      <c r="D41" s="110">
        <v>0.33982275170710446</v>
      </c>
      <c r="E41" s="132">
        <v>-486.6</v>
      </c>
      <c r="F41" s="131">
        <f>Inputs!G77</f>
        <v>668</v>
      </c>
      <c r="G41" s="111">
        <v>4.3517862564517763E-3</v>
      </c>
      <c r="H41" s="132">
        <v>407</v>
      </c>
      <c r="I41" s="756"/>
      <c r="J41" s="54" t="e">
        <f>_xlfn.XLOOKUP(#REF!,'Fin. Data'!$A:$A,'Fin. Data'!B:B,,0)</f>
        <v>#REF!</v>
      </c>
      <c r="K41" s="792"/>
      <c r="L41" s="490" t="e">
        <f>_xlfn.XLOOKUP(#REF!,'Fin. Data'!$A:$A,'Fin. Data'!C:C,,0)</f>
        <v>#REF!</v>
      </c>
      <c r="M41" s="22">
        <f t="shared" si="1"/>
        <v>7.7320394427923045E-2</v>
      </c>
      <c r="N41" s="22">
        <f t="shared" si="2"/>
        <v>4.7336015753348004E-2</v>
      </c>
      <c r="O41" s="21"/>
      <c r="P41" s="20">
        <f t="shared" si="3"/>
        <v>-0.14687100893997451</v>
      </c>
      <c r="Q41" s="20">
        <f t="shared" si="4"/>
        <v>-0.13034188034188032</v>
      </c>
      <c r="R41" s="20" t="e">
        <f>#REF!/#REF!-1</f>
        <v>#REF!</v>
      </c>
    </row>
    <row r="42" spans="2:18">
      <c r="B42" s="704" t="e">
        <f t="shared" si="0"/>
        <v>#REF!</v>
      </c>
      <c r="C42" s="132">
        <v>5966</v>
      </c>
      <c r="D42" s="110">
        <v>0.35668789808917195</v>
      </c>
      <c r="E42" s="132">
        <v>-958.3</v>
      </c>
      <c r="F42" s="131">
        <f>Inputs!F77</f>
        <v>501</v>
      </c>
      <c r="G42" s="111">
        <v>4.9692380501656416E-3</v>
      </c>
      <c r="H42" s="132">
        <v>369</v>
      </c>
      <c r="I42" s="757"/>
      <c r="J42" s="54" t="e">
        <f>_xlfn.XLOOKUP(#REF!,'Fin. Data'!$A:$A,'Fin. Data'!B:B,,0)</f>
        <v>#REF!</v>
      </c>
      <c r="K42" s="792"/>
      <c r="L42" s="490" t="e">
        <f>_xlfn.XLOOKUP(#REF!,'Fin. Data'!$A:$A,'Fin. Data'!C:C,,0)</f>
        <v>#REF!</v>
      </c>
      <c r="M42" s="22">
        <f t="shared" si="1"/>
        <v>-0.13322679064361476</v>
      </c>
      <c r="N42" s="22">
        <f t="shared" si="2"/>
        <v>4.9629244355609448E-2</v>
      </c>
      <c r="O42" s="21"/>
      <c r="P42" s="20">
        <f t="shared" si="3"/>
        <v>-0.25</v>
      </c>
      <c r="Q42" s="20">
        <f t="shared" si="4"/>
        <v>-9.3366093366093361E-2</v>
      </c>
      <c r="R42" s="20" t="e">
        <f>#REF!/#REF!-1</f>
        <v>#REF!</v>
      </c>
    </row>
    <row r="43" spans="2:18">
      <c r="B43" s="704" t="e">
        <f t="shared" si="0"/>
        <v>#REF!</v>
      </c>
      <c r="C43" s="132">
        <v>5549</v>
      </c>
      <c r="D43" s="110">
        <v>0.34636871508379891</v>
      </c>
      <c r="E43" s="132">
        <v>-401.9</v>
      </c>
      <c r="F43" s="131">
        <f>Inputs!E77</f>
        <v>873</v>
      </c>
      <c r="G43" s="111">
        <v>6.648936170212766E-3</v>
      </c>
      <c r="H43" s="132">
        <v>167</v>
      </c>
      <c r="I43" s="757"/>
      <c r="J43" s="54" t="s">
        <v>87</v>
      </c>
      <c r="K43" s="792"/>
      <c r="L43" s="490" t="e">
        <f>_xlfn.XLOOKUP(#REF!,'Fin. Data'!$A:$A,'Fin. Data'!C:C,,0)</f>
        <v>#REF!</v>
      </c>
      <c r="M43" s="22">
        <f t="shared" si="1"/>
        <v>-6.9896077774052934E-2</v>
      </c>
      <c r="N43" s="22">
        <f t="shared" si="2"/>
        <v>-2.8930566640063771E-2</v>
      </c>
      <c r="O43" s="21"/>
      <c r="P43" s="20">
        <f t="shared" si="3"/>
        <v>0.74251497005988032</v>
      </c>
      <c r="Q43" s="20">
        <f t="shared" si="4"/>
        <v>-0.54742547425474253</v>
      </c>
      <c r="R43" s="20" t="e">
        <f>#REF!/#REF!-1</f>
        <v>#REF!</v>
      </c>
    </row>
    <row r="44" spans="2:18">
      <c r="B44" s="704" t="e">
        <f t="shared" si="0"/>
        <v>#REF!</v>
      </c>
      <c r="C44" s="132">
        <v>5202</v>
      </c>
      <c r="D44" s="110">
        <v>0.32622068435217222</v>
      </c>
      <c r="E44" s="132">
        <v>-360.1</v>
      </c>
      <c r="F44" s="131">
        <f>Inputs!D77</f>
        <v>400</v>
      </c>
      <c r="G44" s="111">
        <v>6.8344724120686781E-3</v>
      </c>
      <c r="H44" s="132">
        <v>168</v>
      </c>
      <c r="I44" s="756"/>
      <c r="J44" s="54" t="e">
        <f>_xlfn.XLOOKUP(#REF!,'Fin. Data'!$A:$A,'Fin. Data'!B:B,,0)</f>
        <v>#REF!</v>
      </c>
      <c r="K44" s="792"/>
      <c r="L44" s="490" t="e">
        <f>_xlfn.XLOOKUP(#REF!,'Fin. Data'!$A:$A,'Fin. Data'!C:C,,0)</f>
        <v>#REF!</v>
      </c>
      <c r="M44" s="22">
        <f t="shared" si="1"/>
        <v>-6.253378987204905E-2</v>
      </c>
      <c r="N44" s="22">
        <f t="shared" si="2"/>
        <v>-5.8169314531631877E-2</v>
      </c>
      <c r="O44" s="21"/>
      <c r="P44" s="20">
        <f t="shared" si="3"/>
        <v>-0.54180985108820168</v>
      </c>
      <c r="Q44" s="20">
        <f t="shared" si="4"/>
        <v>5.9880239520957446E-3</v>
      </c>
      <c r="R44" s="20" t="e">
        <f>#REF!/#REF!-1</f>
        <v>#REF!</v>
      </c>
    </row>
    <row r="45" spans="2:18">
      <c r="B45" s="704" t="e">
        <f>B46-1</f>
        <v>#REF!</v>
      </c>
      <c r="C45" s="132">
        <v>4841</v>
      </c>
      <c r="D45" s="110">
        <v>0.31832266060731251</v>
      </c>
      <c r="E45" s="132">
        <v>-840.2</v>
      </c>
      <c r="F45" s="131">
        <f>Inputs!C$77</f>
        <v>1868</v>
      </c>
      <c r="G45" s="111">
        <v>7.9028527370855819E-3</v>
      </c>
      <c r="H45" s="132">
        <v>147</v>
      </c>
      <c r="I45" s="757"/>
      <c r="J45" s="54" t="e">
        <f>_xlfn.XLOOKUP(#REF!,'Fin. Data'!$A:$A,'Fin. Data'!B:B,,0)</f>
        <v>#REF!</v>
      </c>
      <c r="K45" s="792"/>
      <c r="L45" s="490" t="e">
        <f>_xlfn.XLOOKUP(#REF!,'Fin. Data'!$A:$A,'Fin. Data'!C:C,,0)</f>
        <v>#REF!</v>
      </c>
      <c r="M45" s="22">
        <f t="shared" si="1"/>
        <v>-6.939638600538256E-2</v>
      </c>
      <c r="N45" s="22">
        <f t="shared" si="2"/>
        <v>-2.4210677384066126E-2</v>
      </c>
      <c r="O45" s="21"/>
      <c r="P45" s="20">
        <f t="shared" si="3"/>
        <v>3.67</v>
      </c>
      <c r="Q45" s="20">
        <f t="shared" si="4"/>
        <v>-0.125</v>
      </c>
      <c r="R45" s="20" t="e">
        <f>#REF!/#REF!-1</f>
        <v>#REF!</v>
      </c>
    </row>
    <row r="46" spans="2:18">
      <c r="B46" s="704" t="e">
        <f>#REF!</f>
        <v>#REF!</v>
      </c>
      <c r="C46" s="132">
        <v>4119</v>
      </c>
      <c r="D46" s="110">
        <v>0.31536780772032047</v>
      </c>
      <c r="E46" s="132">
        <v>-294.89999999999998</v>
      </c>
      <c r="F46" s="131">
        <f>Inputs!B77</f>
        <v>2369</v>
      </c>
      <c r="G46" s="111">
        <v>8.8087248322147645E-3</v>
      </c>
      <c r="H46" s="132">
        <v>118</v>
      </c>
      <c r="I46" s="757"/>
      <c r="J46" s="54" t="e">
        <f>_xlfn.XLOOKUP(#REF!,'Fin. Data'!$A:$A,'Fin. Data'!B:B,,0)</f>
        <v>#REF!</v>
      </c>
      <c r="K46" s="792"/>
      <c r="L46" s="490" t="e">
        <f>_xlfn.XLOOKUP(#REF!,'Fin. Data'!$A:$A,'Fin. Data'!C:C,,0)</f>
        <v>#REF!</v>
      </c>
      <c r="M46" s="22">
        <f t="shared" si="1"/>
        <v>-0.14914273910349096</v>
      </c>
      <c r="N46" s="22">
        <f t="shared" si="2"/>
        <v>-9.2825715937239206E-3</v>
      </c>
      <c r="O46" s="21"/>
      <c r="P46" s="20">
        <f t="shared" si="3"/>
        <v>0.26820128479657379</v>
      </c>
      <c r="Q46" s="20">
        <f t="shared" si="4"/>
        <v>-0.19727891156462585</v>
      </c>
      <c r="R46" s="20" t="e">
        <f>#REF!/#REF!-1</f>
        <v>#REF!</v>
      </c>
    </row>
    <row r="47" spans="2:18">
      <c r="B47" s="705" t="s">
        <v>88</v>
      </c>
      <c r="C47" s="113">
        <f>IFERROR((C46/C38)^(1/8)-1,"")</f>
        <v>-0.12141786857272374</v>
      </c>
      <c r="D47" s="113">
        <f>IFERROR((D46/D38)^(1/8)-1,"")</f>
        <v>-3.0737953155373976E-2</v>
      </c>
      <c r="E47" s="126"/>
      <c r="F47" s="113">
        <f>IFERROR((F46/F38)^(1/8)-1,"")</f>
        <v>0.26912032573345557</v>
      </c>
      <c r="G47" s="126"/>
      <c r="H47" s="113">
        <f>IFERROR((H46/H38)^(1/8)-1,"")</f>
        <v>-0.17521396111185827</v>
      </c>
      <c r="I47" s="756"/>
      <c r="J47" s="54" t="e">
        <f>_xlfn.XLOOKUP(#REF!,'Fin. Data'!$A:$A,'Fin. Data'!B:B,,0)</f>
        <v>#REF!</v>
      </c>
      <c r="K47" s="792"/>
      <c r="L47" s="490" t="e">
        <f>_xlfn.XLOOKUP(#REF!,'Fin. Data'!$A:$A,'Fin. Data'!C:C,,0)</f>
        <v>#REF!</v>
      </c>
      <c r="M47" s="22">
        <f t="shared" si="1"/>
        <v>-1.0000294775111853</v>
      </c>
      <c r="N47" s="22">
        <f t="shared" si="2"/>
        <v>-1.0974669969568787</v>
      </c>
      <c r="O47" s="21"/>
      <c r="P47" s="20"/>
      <c r="Q47" s="20"/>
      <c r="R47" s="20"/>
    </row>
    <row r="48" spans="2:18">
      <c r="B48" s="705" t="s">
        <v>89</v>
      </c>
      <c r="C48" s="113">
        <f>IFERROR(AVERAGE(M39:M46),"")</f>
        <v>-0.11517337637504707</v>
      </c>
      <c r="D48" s="113">
        <f>IFERROR(AVERAGE(N39:N46),"")</f>
        <v>-2.840907215834719E-2</v>
      </c>
      <c r="E48" s="126"/>
      <c r="F48" s="113">
        <f>IFERROR(AVERAGE(P39:P46),"")</f>
        <v>1.4086024590014425</v>
      </c>
      <c r="G48" s="126"/>
      <c r="H48" s="113" t="str">
        <f>IFERROR(AVERAGE(R39:R46),"")</f>
        <v/>
      </c>
      <c r="I48" s="758"/>
      <c r="J48" s="135" t="e">
        <f>J40-J41+J44-J45-J46</f>
        <v>#REF!</v>
      </c>
      <c r="K48" s="793"/>
      <c r="L48" s="416" t="e">
        <f>L40-L41+L44-L45-L46</f>
        <v>#REF!</v>
      </c>
    </row>
    <row r="49" spans="2:12">
      <c r="B49" s="705" t="s">
        <v>90</v>
      </c>
      <c r="C49" s="113">
        <f>IFERROR(STDEV(C39:C46)/AVERAGE(C39:C46),"")</f>
        <v>0.24872956455220746</v>
      </c>
      <c r="D49" s="113">
        <f>IFERROR(STDEV(D38:D46)/AVERAGE(D38:D46),"")</f>
        <v>9.3156024426364573E-2</v>
      </c>
      <c r="E49" s="126"/>
      <c r="F49" s="113">
        <f>IFERROR(STDEV(F38:F46)/AVERAGE(F38:F46),"")</f>
        <v>0.85121666392563755</v>
      </c>
      <c r="G49" s="126"/>
      <c r="H49" s="113">
        <f>IFERROR(STDEV(H38:H46)/AVERAGE(H38:H46),"")</f>
        <v>0.53541577618594582</v>
      </c>
      <c r="I49" s="759"/>
      <c r="J49" s="412" t="str">
        <f>IFERROR(SUM(#REF!)/(C46-C42),"")</f>
        <v/>
      </c>
      <c r="K49" s="794"/>
      <c r="L49" s="489" t="str">
        <f>IFERROR((SUM(#REF!)-SUM(H43:H46))/(C46-C42),"")</f>
        <v/>
      </c>
    </row>
    <row r="50" spans="2:12">
      <c r="B50" s="705" t="s">
        <v>91</v>
      </c>
      <c r="C50" s="113">
        <f>IFERROR(C46/C45-1,"")</f>
        <v>-0.14914273910349096</v>
      </c>
      <c r="D50" s="113">
        <f>IFERROR(D46/D45-1,"")</f>
        <v>-9.2825715937239206E-3</v>
      </c>
      <c r="E50" s="126"/>
      <c r="F50" s="113">
        <f>IFERROR(1-(F46/F45),"")</f>
        <v>-0.26820128479657379</v>
      </c>
      <c r="G50" s="126"/>
      <c r="H50" s="113">
        <f>IFERROR(1-(H46/H45),"")</f>
        <v>0.19727891156462585</v>
      </c>
      <c r="I50" s="760"/>
      <c r="J50" s="413" t="str">
        <f>IFERROR(J49/E19,"")</f>
        <v/>
      </c>
      <c r="K50" s="795"/>
      <c r="L50" s="417" t="str">
        <f>IFERROR(L49/E19,"")</f>
        <v/>
      </c>
    </row>
    <row r="51" spans="2:12" ht="17.45">
      <c r="B51" s="851" t="s">
        <v>92</v>
      </c>
      <c r="C51" s="852"/>
      <c r="D51" s="852"/>
      <c r="E51" s="852"/>
      <c r="F51" s="852"/>
      <c r="G51" s="852"/>
      <c r="H51" s="852"/>
      <c r="I51" s="852"/>
      <c r="J51" s="852"/>
      <c r="K51" s="852"/>
      <c r="L51" s="853"/>
    </row>
    <row r="52" spans="2:12" ht="15.6">
      <c r="B52" s="830" t="s">
        <v>93</v>
      </c>
      <c r="C52" s="818"/>
      <c r="D52" s="818"/>
      <c r="E52" s="818"/>
      <c r="F52" s="818"/>
      <c r="G52" s="818"/>
      <c r="H52" s="818"/>
      <c r="I52" s="818"/>
      <c r="J52" s="818"/>
      <c r="K52" s="819"/>
      <c r="L52" s="820"/>
    </row>
    <row r="53" spans="2:12">
      <c r="B53" s="807" t="s">
        <v>94</v>
      </c>
      <c r="C53" s="808"/>
      <c r="D53" s="808"/>
      <c r="E53" s="808" t="s">
        <v>95</v>
      </c>
      <c r="F53" s="808"/>
      <c r="G53" s="808"/>
      <c r="H53" s="808"/>
      <c r="I53" s="808"/>
      <c r="J53" s="808"/>
      <c r="K53" s="790"/>
      <c r="L53" s="414" t="s">
        <v>96</v>
      </c>
    </row>
    <row r="54" spans="2:12" ht="15" customHeight="1">
      <c r="B54" s="809" t="s">
        <v>97</v>
      </c>
      <c r="C54" s="810"/>
      <c r="D54" s="811"/>
      <c r="E54" s="906" t="s">
        <v>98</v>
      </c>
      <c r="F54" s="810"/>
      <c r="G54" s="810"/>
      <c r="H54" s="810"/>
      <c r="I54" s="834"/>
      <c r="J54" s="834"/>
      <c r="K54" s="796"/>
      <c r="L54" s="418"/>
    </row>
    <row r="55" spans="2:12" ht="15" customHeight="1">
      <c r="B55" s="812"/>
      <c r="C55" s="813"/>
      <c r="D55" s="814"/>
      <c r="E55" s="928"/>
      <c r="F55" s="813"/>
      <c r="G55" s="813"/>
      <c r="H55" s="813"/>
      <c r="I55" s="834"/>
      <c r="J55" s="834"/>
      <c r="K55" s="797"/>
      <c r="L55" s="805"/>
    </row>
    <row r="56" spans="2:12" ht="15" customHeight="1">
      <c r="B56" s="812"/>
      <c r="C56" s="813"/>
      <c r="D56" s="814"/>
      <c r="E56" s="928"/>
      <c r="F56" s="813"/>
      <c r="G56" s="813"/>
      <c r="H56" s="813"/>
      <c r="I56" s="834"/>
      <c r="J56" s="834"/>
      <c r="K56" s="796"/>
      <c r="L56" s="418"/>
    </row>
    <row r="57" spans="2:12" ht="15" customHeight="1">
      <c r="B57" s="812"/>
      <c r="C57" s="813"/>
      <c r="D57" s="814"/>
      <c r="E57" s="928"/>
      <c r="F57" s="813"/>
      <c r="G57" s="813"/>
      <c r="H57" s="813"/>
      <c r="I57" s="834"/>
      <c r="J57" s="834"/>
      <c r="K57" s="796"/>
      <c r="L57" s="418"/>
    </row>
    <row r="58" spans="2:12">
      <c r="B58" s="812"/>
      <c r="C58" s="813"/>
      <c r="D58" s="814"/>
      <c r="E58" s="928"/>
      <c r="F58" s="813"/>
      <c r="G58" s="813"/>
      <c r="H58" s="813"/>
      <c r="I58" s="834"/>
      <c r="J58" s="834"/>
      <c r="K58" s="796"/>
      <c r="L58" s="418"/>
    </row>
    <row r="59" spans="2:12">
      <c r="B59" s="812"/>
      <c r="C59" s="813"/>
      <c r="D59" s="814"/>
      <c r="E59" s="928"/>
      <c r="F59" s="813"/>
      <c r="G59" s="813"/>
      <c r="H59" s="813"/>
      <c r="I59" s="834"/>
      <c r="J59" s="834"/>
      <c r="K59" s="796"/>
      <c r="L59" s="418"/>
    </row>
    <row r="60" spans="2:12">
      <c r="B60" s="812"/>
      <c r="C60" s="813"/>
      <c r="D60" s="814"/>
      <c r="E60" s="928"/>
      <c r="F60" s="813"/>
      <c r="G60" s="813"/>
      <c r="H60" s="813"/>
      <c r="I60" s="834"/>
      <c r="J60" s="834"/>
      <c r="K60" s="796"/>
      <c r="L60" s="418"/>
    </row>
    <row r="61" spans="2:12">
      <c r="B61" s="812"/>
      <c r="C61" s="813"/>
      <c r="D61" s="814"/>
      <c r="E61" s="928"/>
      <c r="F61" s="813"/>
      <c r="G61" s="813"/>
      <c r="H61" s="813"/>
      <c r="I61" s="834"/>
      <c r="J61" s="834"/>
      <c r="K61" s="796"/>
      <c r="L61" s="418"/>
    </row>
    <row r="62" spans="2:12">
      <c r="B62" s="812"/>
      <c r="C62" s="813"/>
      <c r="D62" s="814"/>
      <c r="E62" s="928"/>
      <c r="F62" s="813"/>
      <c r="G62" s="813"/>
      <c r="H62" s="813"/>
      <c r="I62" s="834"/>
      <c r="J62" s="834"/>
      <c r="K62" s="796"/>
      <c r="L62" s="418"/>
    </row>
    <row r="63" spans="2:12">
      <c r="B63" s="815"/>
      <c r="C63" s="816"/>
      <c r="D63" s="817"/>
      <c r="E63" s="929"/>
      <c r="F63" s="816"/>
      <c r="G63" s="816"/>
      <c r="H63" s="816"/>
      <c r="I63" s="834"/>
      <c r="J63" s="834"/>
      <c r="K63" s="796"/>
      <c r="L63" s="418"/>
    </row>
    <row r="64" spans="2:12">
      <c r="B64" s="807" t="s">
        <v>99</v>
      </c>
      <c r="C64" s="808"/>
      <c r="D64" s="808"/>
      <c r="E64" s="808" t="s">
        <v>100</v>
      </c>
      <c r="F64" s="808"/>
      <c r="G64" s="808"/>
      <c r="H64" s="808"/>
      <c r="I64" s="834"/>
      <c r="J64" s="834"/>
      <c r="K64" s="796"/>
      <c r="L64" s="418"/>
    </row>
    <row r="65" spans="2:12" ht="15" customHeight="1">
      <c r="B65" s="809"/>
      <c r="C65" s="907"/>
      <c r="D65" s="920"/>
      <c r="E65" s="906" t="s">
        <v>101</v>
      </c>
      <c r="F65" s="907"/>
      <c r="G65" s="907"/>
      <c r="H65" s="907"/>
      <c r="I65" s="834"/>
      <c r="J65" s="834"/>
      <c r="K65" s="796"/>
      <c r="L65" s="418"/>
    </row>
    <row r="66" spans="2:12" ht="15" customHeight="1">
      <c r="B66" s="921"/>
      <c r="C66" s="909"/>
      <c r="D66" s="922"/>
      <c r="E66" s="908"/>
      <c r="F66" s="909"/>
      <c r="G66" s="909"/>
      <c r="H66" s="909"/>
      <c r="I66" s="834"/>
      <c r="J66" s="834"/>
      <c r="K66" s="796"/>
      <c r="L66" s="418"/>
    </row>
    <row r="67" spans="2:12" ht="15" customHeight="1">
      <c r="B67" s="921"/>
      <c r="C67" s="909"/>
      <c r="D67" s="922"/>
      <c r="E67" s="908"/>
      <c r="F67" s="909"/>
      <c r="G67" s="909"/>
      <c r="H67" s="909"/>
      <c r="I67" s="834"/>
      <c r="J67" s="834"/>
      <c r="K67" s="796"/>
      <c r="L67" s="418"/>
    </row>
    <row r="68" spans="2:12" ht="15" customHeight="1">
      <c r="B68" s="921"/>
      <c r="C68" s="909"/>
      <c r="D68" s="922"/>
      <c r="E68" s="908"/>
      <c r="F68" s="909"/>
      <c r="G68" s="909"/>
      <c r="H68" s="909"/>
      <c r="I68" s="834"/>
      <c r="J68" s="834"/>
      <c r="K68" s="796"/>
      <c r="L68" s="418"/>
    </row>
    <row r="69" spans="2:12">
      <c r="B69" s="921"/>
      <c r="C69" s="909"/>
      <c r="D69" s="922"/>
      <c r="E69" s="908"/>
      <c r="F69" s="909"/>
      <c r="G69" s="909"/>
      <c r="H69" s="909"/>
      <c r="I69" s="834"/>
      <c r="J69" s="834"/>
      <c r="K69" s="796"/>
      <c r="L69" s="418"/>
    </row>
    <row r="70" spans="2:12">
      <c r="B70" s="921"/>
      <c r="C70" s="909"/>
      <c r="D70" s="922"/>
      <c r="E70" s="908"/>
      <c r="F70" s="909"/>
      <c r="G70" s="909"/>
      <c r="H70" s="909"/>
      <c r="I70" s="834"/>
      <c r="J70" s="834"/>
      <c r="K70" s="796"/>
      <c r="L70" s="418"/>
    </row>
    <row r="71" spans="2:12">
      <c r="B71" s="921"/>
      <c r="C71" s="909"/>
      <c r="D71" s="922"/>
      <c r="E71" s="908"/>
      <c r="F71" s="909"/>
      <c r="G71" s="909"/>
      <c r="H71" s="909"/>
      <c r="I71" s="834"/>
      <c r="J71" s="834"/>
      <c r="K71" s="796"/>
      <c r="L71" s="418"/>
    </row>
    <row r="72" spans="2:12">
      <c r="B72" s="921"/>
      <c r="C72" s="909"/>
      <c r="D72" s="922"/>
      <c r="E72" s="908"/>
      <c r="F72" s="909"/>
      <c r="G72" s="909"/>
      <c r="H72" s="909"/>
      <c r="I72" s="925"/>
      <c r="J72" s="925"/>
      <c r="K72" s="798"/>
      <c r="L72" s="418"/>
    </row>
    <row r="73" spans="2:12">
      <c r="B73" s="923"/>
      <c r="C73" s="911"/>
      <c r="D73" s="924"/>
      <c r="E73" s="910"/>
      <c r="F73" s="911"/>
      <c r="G73" s="911"/>
      <c r="H73" s="911"/>
      <c r="I73" s="925"/>
      <c r="J73" s="925"/>
      <c r="K73" s="798"/>
      <c r="L73" s="418"/>
    </row>
    <row r="74" spans="2:12" ht="15.6">
      <c r="B74" s="926" t="s">
        <v>102</v>
      </c>
      <c r="C74" s="927"/>
      <c r="D74" s="927"/>
      <c r="E74" s="927"/>
      <c r="F74" s="927"/>
      <c r="G74" s="818" t="s">
        <v>103</v>
      </c>
      <c r="H74" s="818"/>
      <c r="I74" s="818"/>
      <c r="J74" s="818"/>
      <c r="K74" s="819"/>
      <c r="L74" s="820"/>
    </row>
    <row r="75" spans="2:12" s="11" customFormat="1">
      <c r="B75" s="1052"/>
      <c r="C75" s="912"/>
      <c r="D75" s="912"/>
      <c r="E75" s="912"/>
      <c r="F75" s="913"/>
      <c r="G75"/>
      <c r="H75"/>
      <c r="I75"/>
      <c r="J75"/>
      <c r="K75"/>
      <c r="L75" s="51"/>
    </row>
    <row r="76" spans="2:12">
      <c r="B76" s="914"/>
      <c r="C76" s="915"/>
      <c r="D76" s="915"/>
      <c r="E76" s="915"/>
      <c r="F76" s="916"/>
      <c r="L76" s="51"/>
    </row>
    <row r="77" spans="2:12">
      <c r="B77" s="914"/>
      <c r="C77" s="915"/>
      <c r="D77" s="915"/>
      <c r="E77" s="915"/>
      <c r="F77" s="916"/>
      <c r="L77" s="51"/>
    </row>
    <row r="78" spans="2:12">
      <c r="B78" s="914"/>
      <c r="C78" s="915"/>
      <c r="D78" s="915"/>
      <c r="E78" s="915"/>
      <c r="F78" s="916"/>
      <c r="L78" s="51"/>
    </row>
    <row r="79" spans="2:12">
      <c r="B79" s="914"/>
      <c r="C79" s="915"/>
      <c r="D79" s="915"/>
      <c r="E79" s="915"/>
      <c r="F79" s="916"/>
      <c r="L79" s="51"/>
    </row>
    <row r="80" spans="2:12">
      <c r="B80" s="914"/>
      <c r="C80" s="915"/>
      <c r="D80" s="915"/>
      <c r="E80" s="915"/>
      <c r="F80" s="916"/>
      <c r="L80" s="51"/>
    </row>
    <row r="81" spans="2:12">
      <c r="B81" s="914"/>
      <c r="C81" s="915"/>
      <c r="D81" s="915"/>
      <c r="E81" s="915"/>
      <c r="F81" s="916"/>
      <c r="L81" s="51"/>
    </row>
    <row r="82" spans="2:12">
      <c r="B82" s="914"/>
      <c r="C82" s="915"/>
      <c r="D82" s="915"/>
      <c r="E82" s="915"/>
      <c r="F82" s="916"/>
      <c r="L82" s="51"/>
    </row>
    <row r="83" spans="2:12">
      <c r="B83" s="914"/>
      <c r="C83" s="915"/>
      <c r="D83" s="915"/>
      <c r="E83" s="915"/>
      <c r="F83" s="916"/>
      <c r="L83" s="51"/>
    </row>
    <row r="84" spans="2:12">
      <c r="B84" s="914"/>
      <c r="C84" s="915"/>
      <c r="D84" s="915"/>
      <c r="E84" s="915"/>
      <c r="F84" s="916"/>
      <c r="L84" s="51"/>
    </row>
    <row r="85" spans="2:12">
      <c r="B85" s="914"/>
      <c r="C85" s="915"/>
      <c r="D85" s="915"/>
      <c r="E85" s="915"/>
      <c r="F85" s="916"/>
      <c r="L85" s="51"/>
    </row>
    <row r="86" spans="2:12">
      <c r="B86" s="914"/>
      <c r="C86" s="915"/>
      <c r="D86" s="915"/>
      <c r="E86" s="915"/>
      <c r="F86" s="916"/>
      <c r="L86" s="51"/>
    </row>
    <row r="87" spans="2:12">
      <c r="B87" s="914"/>
      <c r="C87" s="915"/>
      <c r="D87" s="915"/>
      <c r="E87" s="915"/>
      <c r="F87" s="916"/>
      <c r="L87" s="51"/>
    </row>
    <row r="88" spans="2:12">
      <c r="B88" s="914"/>
      <c r="C88" s="915"/>
      <c r="D88" s="915"/>
      <c r="E88" s="915"/>
      <c r="F88" s="916"/>
      <c r="L88" s="51"/>
    </row>
    <row r="89" spans="2:12">
      <c r="B89" s="914"/>
      <c r="C89" s="915"/>
      <c r="D89" s="915"/>
      <c r="E89" s="915"/>
      <c r="F89" s="916"/>
      <c r="L89" s="51"/>
    </row>
    <row r="90" spans="2:12">
      <c r="B90" s="914"/>
      <c r="C90" s="915"/>
      <c r="D90" s="915"/>
      <c r="E90" s="915"/>
      <c r="F90" s="916"/>
      <c r="L90" s="51"/>
    </row>
    <row r="91" spans="2:12">
      <c r="B91" s="914"/>
      <c r="C91" s="915"/>
      <c r="D91" s="915"/>
      <c r="E91" s="915"/>
      <c r="F91" s="916"/>
      <c r="L91" s="51"/>
    </row>
    <row r="92" spans="2:12">
      <c r="B92" s="914"/>
      <c r="C92" s="915"/>
      <c r="D92" s="915"/>
      <c r="E92" s="915"/>
      <c r="F92" s="916"/>
      <c r="L92" s="51"/>
    </row>
    <row r="93" spans="2:12">
      <c r="B93" s="914"/>
      <c r="C93" s="915"/>
      <c r="D93" s="915"/>
      <c r="E93" s="915"/>
      <c r="F93" s="916"/>
      <c r="L93" s="51"/>
    </row>
    <row r="94" spans="2:12">
      <c r="B94" s="914"/>
      <c r="C94" s="915"/>
      <c r="D94" s="915"/>
      <c r="E94" s="915"/>
      <c r="F94" s="916"/>
      <c r="L94" s="51"/>
    </row>
    <row r="95" spans="2:12">
      <c r="B95" s="914"/>
      <c r="C95" s="915"/>
      <c r="D95" s="915"/>
      <c r="E95" s="915"/>
      <c r="F95" s="916"/>
      <c r="L95" s="51"/>
    </row>
    <row r="96" spans="2:12">
      <c r="B96" s="914"/>
      <c r="C96" s="915"/>
      <c r="D96" s="915"/>
      <c r="E96" s="915"/>
      <c r="F96" s="916"/>
      <c r="L96" s="51"/>
    </row>
    <row r="97" spans="2:12">
      <c r="B97" s="914"/>
      <c r="C97" s="915"/>
      <c r="D97" s="915"/>
      <c r="E97" s="915"/>
      <c r="F97" s="916"/>
      <c r="L97" s="51"/>
    </row>
    <row r="98" spans="2:12">
      <c r="B98" s="914"/>
      <c r="C98" s="915"/>
      <c r="D98" s="915"/>
      <c r="E98" s="915"/>
      <c r="F98" s="916"/>
      <c r="L98" s="51"/>
    </row>
    <row r="99" spans="2:12" ht="52.9">
      <c r="B99" s="917"/>
      <c r="C99" s="918"/>
      <c r="D99" s="918"/>
      <c r="E99" s="918"/>
      <c r="F99" s="919"/>
      <c r="G99" s="905" t="e" vm="1">
        <v>#VALUE!</v>
      </c>
      <c r="H99" s="905"/>
      <c r="I99" s="783" t="e" vm="2">
        <v>#VALUE!</v>
      </c>
      <c r="J99" s="801" t="e" vm="3">
        <v>#VALUE!</v>
      </c>
      <c r="K99" s="799" t="e" vm="4">
        <v>#VALUE!</v>
      </c>
      <c r="L99" s="800" t="e" vm="5">
        <v>#VALUE!</v>
      </c>
    </row>
  </sheetData>
  <mergeCells count="84">
    <mergeCell ref="E54:H63"/>
    <mergeCell ref="I61:J61"/>
    <mergeCell ref="I63:J63"/>
    <mergeCell ref="I67:J67"/>
    <mergeCell ref="I69:J69"/>
    <mergeCell ref="I64:J64"/>
    <mergeCell ref="I58:J58"/>
    <mergeCell ref="I59:J59"/>
    <mergeCell ref="I60:J60"/>
    <mergeCell ref="I62:J62"/>
    <mergeCell ref="I70:J70"/>
    <mergeCell ref="G99:H99"/>
    <mergeCell ref="G74:L74"/>
    <mergeCell ref="E65:H73"/>
    <mergeCell ref="B75:F99"/>
    <mergeCell ref="B65:D73"/>
    <mergeCell ref="I73:J73"/>
    <mergeCell ref="I72:J72"/>
    <mergeCell ref="B74:F74"/>
    <mergeCell ref="I68:J68"/>
    <mergeCell ref="I65:J65"/>
    <mergeCell ref="I66:J66"/>
    <mergeCell ref="I71:J71"/>
    <mergeCell ref="I26:L26"/>
    <mergeCell ref="B31:G31"/>
    <mergeCell ref="C32:G32"/>
    <mergeCell ref="C27:G27"/>
    <mergeCell ref="B51:L51"/>
    <mergeCell ref="C28:G28"/>
    <mergeCell ref="I37:L37"/>
    <mergeCell ref="B36:L36"/>
    <mergeCell ref="I32:I33"/>
    <mergeCell ref="B3:C9"/>
    <mergeCell ref="J11:L11"/>
    <mergeCell ref="B11:C11"/>
    <mergeCell ref="B21:C21"/>
    <mergeCell ref="D11:E11"/>
    <mergeCell ref="B10:L10"/>
    <mergeCell ref="B25:L25"/>
    <mergeCell ref="H32:H35"/>
    <mergeCell ref="F24:G24"/>
    <mergeCell ref="F23:G23"/>
    <mergeCell ref="F21:G21"/>
    <mergeCell ref="F22:G22"/>
    <mergeCell ref="H27:H30"/>
    <mergeCell ref="I34:I35"/>
    <mergeCell ref="J32:J33"/>
    <mergeCell ref="J34:J35"/>
    <mergeCell ref="L32:L33"/>
    <mergeCell ref="L34:L35"/>
    <mergeCell ref="I27:L30"/>
    <mergeCell ref="I31:L31"/>
    <mergeCell ref="B26:G26"/>
    <mergeCell ref="C35:G35"/>
    <mergeCell ref="E2:I2"/>
    <mergeCell ref="F12:G12"/>
    <mergeCell ref="F20:G20"/>
    <mergeCell ref="F18:G18"/>
    <mergeCell ref="F19:G19"/>
    <mergeCell ref="D4:G9"/>
    <mergeCell ref="D3:G3"/>
    <mergeCell ref="H3:L3"/>
    <mergeCell ref="F11:H11"/>
    <mergeCell ref="F14:G14"/>
    <mergeCell ref="F15:G15"/>
    <mergeCell ref="F16:G16"/>
    <mergeCell ref="F17:G17"/>
    <mergeCell ref="F13:G13"/>
    <mergeCell ref="B53:D53"/>
    <mergeCell ref="B64:D64"/>
    <mergeCell ref="B54:D63"/>
    <mergeCell ref="I52:L52"/>
    <mergeCell ref="C29:G29"/>
    <mergeCell ref="C30:G30"/>
    <mergeCell ref="C33:G33"/>
    <mergeCell ref="B52:H52"/>
    <mergeCell ref="C34:G34"/>
    <mergeCell ref="I53:J53"/>
    <mergeCell ref="E64:H64"/>
    <mergeCell ref="I54:J54"/>
    <mergeCell ref="I55:J55"/>
    <mergeCell ref="E53:H53"/>
    <mergeCell ref="I56:J56"/>
    <mergeCell ref="I57:J57"/>
  </mergeCells>
  <phoneticPr fontId="0" type="noConversion"/>
  <conditionalFormatting sqref="C38:C46 D38:E38">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38:D46">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39:D46">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38:E46">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39:E46">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47:E50 G47:G50">
    <cfRule type="dataBar" priority="82">
      <dataBar>
        <cfvo type="min"/>
        <cfvo type="max"/>
        <color rgb="FF638EC6"/>
      </dataBar>
      <extLst>
        <ext xmlns:x14="http://schemas.microsoft.com/office/spreadsheetml/2009/9/main" uri="{B025F937-C7B1-47D3-B67F-A62EFF666E3E}">
          <x14:id>{4382A5A4-8938-4754-913D-04C8EB3E9944}</x14:id>
        </ext>
      </extLst>
    </cfRule>
    <cfRule type="dataBar" priority="83">
      <dataBar>
        <cfvo type="min"/>
        <cfvo type="max"/>
        <color rgb="FF63C384"/>
      </dataBar>
      <extLst>
        <ext xmlns:x14="http://schemas.microsoft.com/office/spreadsheetml/2009/9/main" uri="{B025F937-C7B1-47D3-B67F-A62EFF666E3E}">
          <x14:id>{CA48BEF9-536B-483E-93D1-1D70FAC05115}</x14:id>
        </ext>
      </extLst>
    </cfRule>
  </conditionalFormatting>
  <conditionalFormatting sqref="F38:F46">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38:G46">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13:H17">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19:H23">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38:H46">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34:I35">
    <cfRule type="cellIs" dxfId="34" priority="1" operator="lessThan">
      <formula>0</formula>
    </cfRule>
    <cfRule type="cellIs" dxfId="33" priority="2" operator="greaterThan">
      <formula>0</formula>
    </cfRule>
  </conditionalFormatting>
  <conditionalFormatting sqref="L32:L35">
    <cfRule type="cellIs" dxfId="32" priority="3" operator="lessThan">
      <formula>0</formula>
    </cfRule>
    <cfRule type="cellIs" dxfId="31"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M39:R49"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C38:C46 D38:E38</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D38:D46</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D39:D46</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E38:E46</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E39:E46</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E47:E50 G47:G50</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F38:F46</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G38:G46</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H13:H17</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H19:H23</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H38:H46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
  <sheetViews>
    <sheetView workbookViewId="0"/>
  </sheetViews>
  <sheetFormatPr defaultColWidth="11.42578125" defaultRowHeight="13.15"/>
  <cols>
    <col min="1" max="1" width="27.140625" bestFit="1" customWidth="1"/>
  </cols>
  <sheetData>
    <row r="1" spans="1:1">
      <c r="A1" t="s">
        <v>104</v>
      </c>
    </row>
    <row r="2" spans="1:1">
      <c r="A2" t="s">
        <v>105</v>
      </c>
    </row>
    <row r="3" spans="1:1">
      <c r="A3" t="s">
        <v>106</v>
      </c>
    </row>
    <row r="4" spans="1:1">
      <c r="A4" t="s">
        <v>107</v>
      </c>
    </row>
    <row r="5" spans="1:1">
      <c r="A5" t="s">
        <v>108</v>
      </c>
    </row>
    <row r="6" spans="1:1">
      <c r="A6" s="11" t="s">
        <v>109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AG79"/>
  <sheetViews>
    <sheetView showGridLines="0" workbookViewId="0">
      <selection activeCell="D29" sqref="D29:H29"/>
    </sheetView>
  </sheetViews>
  <sheetFormatPr defaultColWidth="11.42578125" defaultRowHeight="13.15"/>
  <cols>
    <col min="1" max="1" width="2.140625" customWidth="1"/>
    <col min="2" max="2" width="11.140625" customWidth="1"/>
    <col min="3" max="3" width="42.85546875" customWidth="1"/>
    <col min="4" max="4" width="15.42578125" style="2" customWidth="1"/>
    <col min="5" max="9" width="15.42578125" customWidth="1"/>
    <col min="10" max="11" width="11.42578125" bestFit="1" customWidth="1"/>
    <col min="17" max="17" width="23.42578125" customWidth="1"/>
  </cols>
  <sheetData>
    <row r="1" spans="2:25" ht="7.5" customHeight="1"/>
    <row r="2" spans="2:25" ht="21">
      <c r="B2" s="937" t="e">
        <f>"Regions "&amp;"("&amp;OP!#REF!&amp;")"</f>
        <v>#REF!</v>
      </c>
      <c r="C2" s="938"/>
      <c r="D2" s="938"/>
      <c r="E2" s="938"/>
      <c r="F2" s="938"/>
      <c r="G2" s="938"/>
      <c r="H2" s="938"/>
      <c r="I2" s="938"/>
      <c r="J2" s="938"/>
      <c r="K2" s="938"/>
      <c r="L2" s="938"/>
      <c r="M2" s="938"/>
      <c r="N2" s="938"/>
      <c r="O2" s="938"/>
      <c r="P2" s="938"/>
      <c r="Q2" s="933" t="s">
        <v>110</v>
      </c>
      <c r="R2" s="934"/>
      <c r="S2" s="934"/>
      <c r="T2" s="934"/>
      <c r="U2" s="934"/>
      <c r="V2" s="934"/>
      <c r="W2" s="934"/>
      <c r="X2" s="934"/>
      <c r="Y2" s="935"/>
    </row>
    <row r="3" spans="2:25" ht="18" thickBot="1">
      <c r="B3" s="169"/>
      <c r="C3" s="170"/>
      <c r="D3" s="953" t="s">
        <v>111</v>
      </c>
      <c r="E3" s="953"/>
      <c r="F3" s="953"/>
      <c r="G3" s="953"/>
      <c r="H3" s="953"/>
      <c r="I3" s="954"/>
      <c r="J3" s="148"/>
      <c r="K3" s="936" t="s">
        <v>112</v>
      </c>
      <c r="L3" s="936"/>
      <c r="M3" s="936"/>
      <c r="N3" s="936"/>
      <c r="O3" s="936"/>
      <c r="P3" s="936"/>
      <c r="Q3" s="137"/>
      <c r="Y3" s="164"/>
    </row>
    <row r="4" spans="2:25">
      <c r="B4" s="155" t="s">
        <v>113</v>
      </c>
      <c r="C4" s="156" t="s">
        <v>114</v>
      </c>
      <c r="D4" s="157">
        <v>2022</v>
      </c>
      <c r="E4" s="157">
        <f>D4-1</f>
        <v>2021</v>
      </c>
      <c r="F4" s="157">
        <f>E4-1</f>
        <v>2020</v>
      </c>
      <c r="G4" s="157">
        <f>F4-1</f>
        <v>2019</v>
      </c>
      <c r="H4" s="157">
        <f>G4-1</f>
        <v>2018</v>
      </c>
      <c r="I4" s="157">
        <f>H4-1</f>
        <v>2017</v>
      </c>
      <c r="J4" s="149"/>
      <c r="K4" s="157">
        <v>2022</v>
      </c>
      <c r="L4" s="157">
        <f t="shared" ref="L4:P4" si="0">K4-1</f>
        <v>2021</v>
      </c>
      <c r="M4" s="157">
        <f t="shared" si="0"/>
        <v>2020</v>
      </c>
      <c r="N4" s="157">
        <f t="shared" si="0"/>
        <v>2019</v>
      </c>
      <c r="O4" s="157">
        <f t="shared" si="0"/>
        <v>2018</v>
      </c>
      <c r="P4" s="171">
        <f t="shared" si="0"/>
        <v>2017</v>
      </c>
      <c r="Q4" s="137"/>
      <c r="Y4" s="164"/>
    </row>
    <row r="5" spans="2:25">
      <c r="B5" s="153">
        <f t="shared" ref="B5:B12" si="1">IFERROR(D5/$D$13,"")</f>
        <v>9.1708326150663683E-2</v>
      </c>
      <c r="C5" s="154" t="s">
        <v>115</v>
      </c>
      <c r="D5" s="158">
        <v>1064</v>
      </c>
      <c r="E5" s="158">
        <v>838</v>
      </c>
      <c r="F5" s="158">
        <v>620</v>
      </c>
      <c r="G5" s="158">
        <v>867</v>
      </c>
      <c r="H5" s="158">
        <v>802</v>
      </c>
      <c r="I5" s="158">
        <v>755</v>
      </c>
      <c r="J5" s="150"/>
      <c r="K5" s="301">
        <f t="shared" ref="K5:O10" si="2">(D5-E5)/E5</f>
        <v>0.26968973747016706</v>
      </c>
      <c r="L5" s="301">
        <f t="shared" si="2"/>
        <v>0.35161290322580646</v>
      </c>
      <c r="M5" s="301">
        <f t="shared" si="2"/>
        <v>-0.28489042675893889</v>
      </c>
      <c r="N5" s="301">
        <f t="shared" si="2"/>
        <v>8.1047381546134667E-2</v>
      </c>
      <c r="O5" s="301">
        <f t="shared" si="2"/>
        <v>6.225165562913907E-2</v>
      </c>
      <c r="P5" s="301" t="s">
        <v>48</v>
      </c>
      <c r="Q5" s="137"/>
      <c r="Y5" s="164"/>
    </row>
    <row r="6" spans="2:25">
      <c r="B6" s="153">
        <f t="shared" si="1"/>
        <v>0.13239096707464229</v>
      </c>
      <c r="C6" s="154" t="s">
        <v>116</v>
      </c>
      <c r="D6" s="158">
        <v>1536</v>
      </c>
      <c r="E6" s="158">
        <v>1303</v>
      </c>
      <c r="F6" s="158">
        <v>953</v>
      </c>
      <c r="G6" s="158">
        <v>1202</v>
      </c>
      <c r="H6" s="158">
        <v>1107</v>
      </c>
      <c r="I6" s="158">
        <v>1044</v>
      </c>
      <c r="J6" s="150"/>
      <c r="K6" s="301">
        <f t="shared" ref="K6:O9" si="3">(D6-E6)/E6</f>
        <v>0.17881811204911743</v>
      </c>
      <c r="L6" s="301">
        <f t="shared" si="3"/>
        <v>0.36726128016789089</v>
      </c>
      <c r="M6" s="301">
        <f t="shared" si="3"/>
        <v>-0.20715474209650583</v>
      </c>
      <c r="N6" s="301">
        <f t="shared" si="3"/>
        <v>8.5817524841915085E-2</v>
      </c>
      <c r="O6" s="301">
        <f t="shared" si="3"/>
        <v>6.0344827586206899E-2</v>
      </c>
      <c r="P6" s="301" t="s">
        <v>48</v>
      </c>
      <c r="Q6" s="137"/>
      <c r="Y6" s="164"/>
    </row>
    <row r="7" spans="2:25">
      <c r="B7" s="153">
        <f t="shared" si="1"/>
        <v>9.4897431477331498E-2</v>
      </c>
      <c r="C7" s="154" t="s">
        <v>117</v>
      </c>
      <c r="D7" s="158">
        <v>1101</v>
      </c>
      <c r="E7" s="158">
        <v>977</v>
      </c>
      <c r="F7" s="158">
        <v>834</v>
      </c>
      <c r="G7" s="158">
        <v>864</v>
      </c>
      <c r="H7" s="158">
        <v>748</v>
      </c>
      <c r="I7" s="158">
        <v>717</v>
      </c>
      <c r="J7" s="150"/>
      <c r="K7" s="301">
        <f t="shared" si="3"/>
        <v>0.12691914022517911</v>
      </c>
      <c r="L7" s="301">
        <f t="shared" si="3"/>
        <v>0.17146282973621102</v>
      </c>
      <c r="M7" s="301">
        <f t="shared" si="3"/>
        <v>-3.4722222222222224E-2</v>
      </c>
      <c r="N7" s="301">
        <f t="shared" si="3"/>
        <v>0.15508021390374332</v>
      </c>
      <c r="O7" s="301">
        <f t="shared" si="3"/>
        <v>4.3235704323570434E-2</v>
      </c>
      <c r="P7" s="301" t="s">
        <v>48</v>
      </c>
      <c r="Q7" s="137"/>
      <c r="Y7" s="164"/>
    </row>
    <row r="8" spans="2:25">
      <c r="B8" s="153">
        <f t="shared" si="1"/>
        <v>0.47888295121530772</v>
      </c>
      <c r="C8" s="154" t="s">
        <v>118</v>
      </c>
      <c r="D8" s="158">
        <v>5556</v>
      </c>
      <c r="E8" s="158">
        <v>4251</v>
      </c>
      <c r="F8" s="158">
        <v>2915</v>
      </c>
      <c r="G8" s="158">
        <v>2590</v>
      </c>
      <c r="H8" s="158">
        <v>2142</v>
      </c>
      <c r="I8" s="158">
        <v>1946</v>
      </c>
      <c r="J8" s="150"/>
      <c r="K8" s="301">
        <f t="shared" si="3"/>
        <v>0.30698659139026113</v>
      </c>
      <c r="L8" s="301">
        <f t="shared" si="3"/>
        <v>0.45831903945111491</v>
      </c>
      <c r="M8" s="301">
        <f t="shared" si="3"/>
        <v>0.12548262548262548</v>
      </c>
      <c r="N8" s="301">
        <f t="shared" si="3"/>
        <v>0.20915032679738563</v>
      </c>
      <c r="O8" s="301">
        <f t="shared" si="3"/>
        <v>0.10071942446043165</v>
      </c>
      <c r="P8" s="301" t="s">
        <v>48</v>
      </c>
      <c r="Q8" s="137"/>
      <c r="Y8" s="164"/>
    </row>
    <row r="9" spans="2:25">
      <c r="B9" s="153">
        <f t="shared" si="1"/>
        <v>0.18427857265988623</v>
      </c>
      <c r="C9" s="154" t="s">
        <v>119</v>
      </c>
      <c r="D9" s="158">
        <v>2138</v>
      </c>
      <c r="E9" s="158">
        <v>1458</v>
      </c>
      <c r="F9" s="158">
        <v>959</v>
      </c>
      <c r="G9" s="158">
        <v>1241</v>
      </c>
      <c r="H9" s="158">
        <v>1059</v>
      </c>
      <c r="I9" s="158">
        <v>996</v>
      </c>
      <c r="J9" s="150"/>
      <c r="K9" s="301">
        <f t="shared" si="3"/>
        <v>0.4663923182441701</v>
      </c>
      <c r="L9" s="301">
        <f t="shared" si="3"/>
        <v>0.52033368091762255</v>
      </c>
      <c r="M9" s="301">
        <f t="shared" si="3"/>
        <v>-0.22723609991941982</v>
      </c>
      <c r="N9" s="301">
        <f t="shared" si="3"/>
        <v>0.17186024551463644</v>
      </c>
      <c r="O9" s="301">
        <f t="shared" si="3"/>
        <v>6.3253012048192767E-2</v>
      </c>
      <c r="P9" s="301" t="s">
        <v>48</v>
      </c>
      <c r="Q9" s="137"/>
      <c r="Y9" s="164"/>
    </row>
    <row r="10" spans="2:25" ht="13.9" thickBot="1">
      <c r="B10" s="153">
        <f t="shared" si="1"/>
        <v>1.7841751422168591E-2</v>
      </c>
      <c r="C10" s="140" t="s">
        <v>120</v>
      </c>
      <c r="D10" s="146">
        <v>207</v>
      </c>
      <c r="E10" s="146">
        <v>156</v>
      </c>
      <c r="F10" s="146">
        <v>108.2</v>
      </c>
      <c r="G10" s="146">
        <v>120</v>
      </c>
      <c r="H10" s="146">
        <v>108.1</v>
      </c>
      <c r="I10" s="146">
        <v>92</v>
      </c>
      <c r="J10" s="150"/>
      <c r="K10" s="301">
        <f t="shared" si="2"/>
        <v>0.32692307692307693</v>
      </c>
      <c r="L10" s="301">
        <f t="shared" si="2"/>
        <v>0.44177449168207023</v>
      </c>
      <c r="M10" s="301">
        <f t="shared" si="2"/>
        <v>-9.8333333333333314E-2</v>
      </c>
      <c r="N10" s="301">
        <f t="shared" si="2"/>
        <v>0.11008325624421837</v>
      </c>
      <c r="O10" s="301">
        <f t="shared" si="2"/>
        <v>0.17499999999999993</v>
      </c>
      <c r="P10" s="301" t="s">
        <v>48</v>
      </c>
      <c r="Q10" s="137"/>
      <c r="Y10" s="164"/>
    </row>
    <row r="11" spans="2:25" hidden="1">
      <c r="B11" s="142">
        <f t="shared" si="1"/>
        <v>0</v>
      </c>
      <c r="C11" s="140"/>
      <c r="D11" s="146"/>
      <c r="E11" s="146"/>
      <c r="F11" s="146"/>
      <c r="G11" s="146"/>
      <c r="H11" s="146"/>
      <c r="I11" s="146"/>
      <c r="J11" s="150"/>
      <c r="K11" s="146"/>
      <c r="L11" s="146"/>
      <c r="M11" s="146"/>
      <c r="N11" s="146"/>
      <c r="O11" s="146"/>
      <c r="P11" s="172"/>
      <c r="Q11" s="137"/>
      <c r="Y11" s="164"/>
    </row>
    <row r="12" spans="2:25" hidden="1">
      <c r="B12" s="143">
        <f t="shared" si="1"/>
        <v>0</v>
      </c>
      <c r="C12" s="159"/>
      <c r="D12" s="147"/>
      <c r="E12" s="147"/>
      <c r="F12" s="147"/>
      <c r="G12" s="147"/>
      <c r="H12" s="147"/>
      <c r="I12" s="147"/>
      <c r="J12" s="150"/>
      <c r="K12" s="147"/>
      <c r="L12" s="147"/>
      <c r="M12" s="147"/>
      <c r="N12" s="147"/>
      <c r="O12" s="147"/>
      <c r="P12" s="173"/>
      <c r="Q12" s="137"/>
      <c r="Y12" s="164"/>
    </row>
    <row r="13" spans="2:25" ht="13.9" thickBot="1">
      <c r="B13" s="145">
        <f>SUM(B5:B12)</f>
        <v>1</v>
      </c>
      <c r="C13" s="160" t="s">
        <v>121</v>
      </c>
      <c r="D13" s="141">
        <f t="shared" ref="D13:I13" si="4">SUM(D5:D12)</f>
        <v>11602</v>
      </c>
      <c r="E13" s="141">
        <f t="shared" si="4"/>
        <v>8983</v>
      </c>
      <c r="F13" s="141">
        <f t="shared" si="4"/>
        <v>6389.2</v>
      </c>
      <c r="G13" s="141">
        <f t="shared" si="4"/>
        <v>6884</v>
      </c>
      <c r="H13" s="141">
        <f t="shared" si="4"/>
        <v>5966.1</v>
      </c>
      <c r="I13" s="141">
        <f t="shared" si="4"/>
        <v>5550</v>
      </c>
      <c r="J13" s="151"/>
      <c r="K13" s="303">
        <f>(D13-E13)/E13</f>
        <v>0.29155070689079371</v>
      </c>
      <c r="L13" s="303">
        <f>(E13-F13)/F13</f>
        <v>0.40596631816189827</v>
      </c>
      <c r="M13" s="303">
        <f>(F13-G13)/G13</f>
        <v>-7.1876815804764696E-2</v>
      </c>
      <c r="N13" s="303">
        <f t="shared" ref="N13:O13" si="5">(G13-H13)/H13</f>
        <v>0.15385260052630689</v>
      </c>
      <c r="O13" s="303">
        <f t="shared" si="5"/>
        <v>7.4972972972973034E-2</v>
      </c>
      <c r="P13" s="303" t="s">
        <v>48</v>
      </c>
      <c r="Q13" s="137"/>
      <c r="Y13" s="164"/>
    </row>
    <row r="14" spans="2:25" ht="26.45">
      <c r="B14" s="167"/>
      <c r="C14" s="6"/>
      <c r="D14" s="15"/>
      <c r="E14" s="15"/>
      <c r="F14" s="15"/>
      <c r="G14" s="15"/>
      <c r="H14" s="15"/>
      <c r="I14" s="752" t="s">
        <v>122</v>
      </c>
      <c r="J14" s="15"/>
      <c r="K14" s="15"/>
      <c r="L14" s="15"/>
      <c r="M14" s="15"/>
      <c r="N14" s="15"/>
      <c r="O14" s="15"/>
      <c r="P14" s="15"/>
      <c r="Q14" s="137"/>
      <c r="Y14" s="164"/>
    </row>
    <row r="15" spans="2:25" ht="21.6" thickBot="1">
      <c r="B15" s="937" t="e">
        <f>"Categories "&amp;"("&amp;OP!#REF!&amp;")"</f>
        <v>#REF!</v>
      </c>
      <c r="C15" s="938"/>
      <c r="D15" s="938"/>
      <c r="E15" s="938"/>
      <c r="F15" s="938"/>
      <c r="G15" s="938"/>
      <c r="H15" s="938"/>
      <c r="I15" s="938"/>
      <c r="J15" s="938"/>
      <c r="K15" s="938"/>
      <c r="L15" s="938"/>
      <c r="M15" s="938"/>
      <c r="N15" s="938"/>
      <c r="O15" s="938"/>
      <c r="P15" s="938"/>
      <c r="Q15" s="137"/>
      <c r="S15" s="306"/>
      <c r="Y15" s="164"/>
    </row>
    <row r="16" spans="2:25" ht="21.6" thickBot="1">
      <c r="B16" s="169"/>
      <c r="C16" s="170"/>
      <c r="D16" s="943" t="s">
        <v>111</v>
      </c>
      <c r="E16" s="944"/>
      <c r="F16" s="944"/>
      <c r="G16" s="944"/>
      <c r="H16" s="944"/>
      <c r="I16" s="945"/>
      <c r="J16" s="148"/>
      <c r="K16" s="939" t="s">
        <v>112</v>
      </c>
      <c r="L16" s="940"/>
      <c r="M16" s="940"/>
      <c r="N16" s="940"/>
      <c r="O16" s="940"/>
      <c r="P16" s="940"/>
      <c r="Q16" s="137"/>
      <c r="Y16" s="164"/>
    </row>
    <row r="17" spans="2:25">
      <c r="B17" s="168" t="s">
        <v>113</v>
      </c>
      <c r="C17" s="136" t="s">
        <v>123</v>
      </c>
      <c r="D17" s="144">
        <v>2022</v>
      </c>
      <c r="E17" s="144">
        <f>D17-1</f>
        <v>2021</v>
      </c>
      <c r="F17" s="144">
        <f>E17-1</f>
        <v>2020</v>
      </c>
      <c r="G17" s="144">
        <f>F17-1</f>
        <v>2019</v>
      </c>
      <c r="H17" s="144">
        <f>G17-1</f>
        <v>2018</v>
      </c>
      <c r="I17" s="144">
        <f>H17-1</f>
        <v>2017</v>
      </c>
      <c r="J17" s="149"/>
      <c r="K17" s="152">
        <v>2022</v>
      </c>
      <c r="L17" s="152">
        <f t="shared" ref="L17:P17" si="6">K17-1</f>
        <v>2021</v>
      </c>
      <c r="M17" s="152">
        <f t="shared" si="6"/>
        <v>2020</v>
      </c>
      <c r="N17" s="152">
        <f t="shared" si="6"/>
        <v>2019</v>
      </c>
      <c r="O17" s="152">
        <f t="shared" si="6"/>
        <v>2018</v>
      </c>
      <c r="P17" s="174">
        <f t="shared" si="6"/>
        <v>2017</v>
      </c>
      <c r="Q17" s="137"/>
      <c r="Y17" s="164"/>
    </row>
    <row r="18" spans="2:25">
      <c r="B18" s="153">
        <f t="shared" ref="B18:B24" si="7">IFERROR(D18/$D$25,"")</f>
        <v>0.42780794759072494</v>
      </c>
      <c r="C18" s="139" t="s">
        <v>124</v>
      </c>
      <c r="D18" s="158">
        <v>4963</v>
      </c>
      <c r="E18" s="158">
        <v>4091</v>
      </c>
      <c r="F18" s="158">
        <v>3209.2</v>
      </c>
      <c r="G18" s="158">
        <v>3414.3</v>
      </c>
      <c r="H18" s="158">
        <v>2975.8</v>
      </c>
      <c r="I18" s="158">
        <v>2800</v>
      </c>
      <c r="J18" s="150"/>
      <c r="K18" s="304">
        <f>(D18-E18)/E18</f>
        <v>0.21315081887069176</v>
      </c>
      <c r="L18" s="304">
        <f t="shared" ref="L18:O25" si="8">(E18-F18)/F18</f>
        <v>0.27477252897918492</v>
      </c>
      <c r="M18" s="304">
        <f t="shared" si="8"/>
        <v>-6.0070878364525772E-2</v>
      </c>
      <c r="N18" s="304">
        <f t="shared" si="8"/>
        <v>0.14735533301969217</v>
      </c>
      <c r="O18" s="304">
        <f t="shared" si="8"/>
        <v>6.2785714285714347E-2</v>
      </c>
      <c r="P18" s="304" t="s">
        <v>48</v>
      </c>
      <c r="Q18" s="137"/>
      <c r="Y18" s="164"/>
    </row>
    <row r="19" spans="2:25">
      <c r="B19" s="153">
        <f t="shared" si="7"/>
        <v>0.27170071545556418</v>
      </c>
      <c r="C19" s="614" t="s">
        <v>125</v>
      </c>
      <c r="D19" s="158">
        <v>3152</v>
      </c>
      <c r="E19" s="158">
        <v>2219</v>
      </c>
      <c r="F19" s="158">
        <v>1408.9</v>
      </c>
      <c r="G19" s="158">
        <v>1574.2</v>
      </c>
      <c r="H19" s="158">
        <v>1310.4000000000001</v>
      </c>
      <c r="I19" s="158">
        <v>1181</v>
      </c>
      <c r="J19" s="150"/>
      <c r="K19" s="304">
        <f>(D19-E19)/E19</f>
        <v>0.42045966651644884</v>
      </c>
      <c r="L19" s="304">
        <f t="shared" ref="L19" si="9">(E19-F19)/F19</f>
        <v>0.5749875789623109</v>
      </c>
      <c r="M19" s="304">
        <f t="shared" ref="M19" si="10">(F19-G19)/G19</f>
        <v>-0.10500571718968361</v>
      </c>
      <c r="N19" s="304">
        <f t="shared" ref="N19" si="11">(G19-H19)/H19</f>
        <v>0.20131257631257626</v>
      </c>
      <c r="O19" s="304">
        <f t="shared" ref="O19" si="12">(H19-I19)/I19</f>
        <v>0.10956816257408983</v>
      </c>
      <c r="P19" s="615" t="s">
        <v>48</v>
      </c>
      <c r="Q19" s="137"/>
      <c r="Y19" s="164"/>
    </row>
    <row r="20" spans="2:25">
      <c r="B20" s="153">
        <f t="shared" si="7"/>
        <v>7.2579950004309973E-2</v>
      </c>
      <c r="C20" s="140" t="s">
        <v>126</v>
      </c>
      <c r="D20" s="158">
        <v>842</v>
      </c>
      <c r="E20" s="158">
        <v>669</v>
      </c>
      <c r="F20" s="158">
        <v>452</v>
      </c>
      <c r="G20" s="158">
        <v>592.5</v>
      </c>
      <c r="H20" s="158">
        <v>536.9</v>
      </c>
      <c r="I20" s="158">
        <v>534</v>
      </c>
      <c r="J20" s="150"/>
      <c r="K20" s="305">
        <f t="shared" ref="K20:K22" si="13">(D20-E20)/E20</f>
        <v>0.25859491778774291</v>
      </c>
      <c r="L20" s="305">
        <f t="shared" si="8"/>
        <v>0.48008849557522126</v>
      </c>
      <c r="M20" s="305">
        <f t="shared" si="8"/>
        <v>-0.23713080168776371</v>
      </c>
      <c r="N20" s="305">
        <f t="shared" si="8"/>
        <v>0.10355745948966293</v>
      </c>
      <c r="O20" s="305">
        <f t="shared" si="8"/>
        <v>5.430711610486849E-3</v>
      </c>
      <c r="P20" s="305" t="s">
        <v>48</v>
      </c>
      <c r="Q20" s="137"/>
      <c r="Y20" s="164"/>
    </row>
    <row r="21" spans="2:25">
      <c r="B21" s="153">
        <f t="shared" si="7"/>
        <v>0.11817946728730282</v>
      </c>
      <c r="C21" s="140" t="s">
        <v>127</v>
      </c>
      <c r="D21" s="158">
        <v>1371</v>
      </c>
      <c r="E21" s="158">
        <v>1001</v>
      </c>
      <c r="F21" s="158">
        <v>642.6</v>
      </c>
      <c r="G21" s="158">
        <v>524.9</v>
      </c>
      <c r="H21" s="158">
        <v>424.7</v>
      </c>
      <c r="I21" s="158">
        <v>365</v>
      </c>
      <c r="J21" s="150"/>
      <c r="K21" s="305">
        <f t="shared" si="13"/>
        <v>0.3696303696303696</v>
      </c>
      <c r="L21" s="305">
        <f t="shared" si="8"/>
        <v>0.55773420479302827</v>
      </c>
      <c r="M21" s="305">
        <f t="shared" si="8"/>
        <v>0.22423318727376654</v>
      </c>
      <c r="N21" s="305">
        <f t="shared" si="8"/>
        <v>0.23593124558511888</v>
      </c>
      <c r="O21" s="305">
        <f t="shared" si="8"/>
        <v>0.16356164383561642</v>
      </c>
      <c r="P21" s="305" t="s">
        <v>48</v>
      </c>
      <c r="Q21" s="137"/>
      <c r="Y21" s="164"/>
    </row>
    <row r="22" spans="2:25">
      <c r="B22" s="153">
        <f t="shared" si="7"/>
        <v>3.8617360572364451E-2</v>
      </c>
      <c r="C22" s="140" t="s">
        <v>128</v>
      </c>
      <c r="D22" s="158">
        <v>448</v>
      </c>
      <c r="E22" s="158">
        <v>385</v>
      </c>
      <c r="F22" s="158">
        <v>263.2</v>
      </c>
      <c r="G22" s="158">
        <v>325.89999999999998</v>
      </c>
      <c r="H22" s="158">
        <v>311.7</v>
      </c>
      <c r="I22" s="158">
        <v>287</v>
      </c>
      <c r="J22" s="150"/>
      <c r="K22" s="305">
        <f t="shared" si="13"/>
        <v>0.16363636363636364</v>
      </c>
      <c r="L22" s="305">
        <f t="shared" si="8"/>
        <v>0.4627659574468086</v>
      </c>
      <c r="M22" s="305">
        <f t="shared" si="8"/>
        <v>-0.19239030377416383</v>
      </c>
      <c r="N22" s="305">
        <f t="shared" si="8"/>
        <v>4.5556624959897304E-2</v>
      </c>
      <c r="O22" s="305">
        <f t="shared" si="8"/>
        <v>8.6062717770034797E-2</v>
      </c>
      <c r="P22" s="305" t="s">
        <v>48</v>
      </c>
      <c r="Q22" s="137"/>
      <c r="Y22" s="164"/>
    </row>
    <row r="23" spans="2:25">
      <c r="B23" s="153">
        <f t="shared" si="7"/>
        <v>4.4737522627359708E-2</v>
      </c>
      <c r="C23" s="739" t="s">
        <v>129</v>
      </c>
      <c r="D23" s="158">
        <v>519</v>
      </c>
      <c r="E23" s="158">
        <v>337</v>
      </c>
      <c r="F23" s="158">
        <v>195.9</v>
      </c>
      <c r="G23" s="158">
        <v>193.4</v>
      </c>
      <c r="H23" s="158">
        <v>168.6</v>
      </c>
      <c r="I23" s="158">
        <v>158</v>
      </c>
      <c r="J23" s="150"/>
      <c r="K23" s="740">
        <f t="shared" ref="K23:O24" si="14">(D23-E23)/E23</f>
        <v>0.5400593471810089</v>
      </c>
      <c r="L23" s="740">
        <f t="shared" si="14"/>
        <v>0.72026544155181205</v>
      </c>
      <c r="M23" s="740">
        <f t="shared" si="14"/>
        <v>1.2926577042399173E-2</v>
      </c>
      <c r="N23" s="740">
        <f t="shared" si="14"/>
        <v>0.14709371293001194</v>
      </c>
      <c r="O23" s="740">
        <f t="shared" si="14"/>
        <v>6.7088607594936678E-2</v>
      </c>
      <c r="P23" s="740" t="s">
        <v>48</v>
      </c>
      <c r="Q23" s="137"/>
      <c r="Y23" s="164"/>
    </row>
    <row r="24" spans="2:25">
      <c r="B24" s="153">
        <f t="shared" si="7"/>
        <v>2.6377036462373934E-2</v>
      </c>
      <c r="C24" s="739" t="s">
        <v>130</v>
      </c>
      <c r="D24" s="158">
        <v>306</v>
      </c>
      <c r="E24" s="158">
        <v>279</v>
      </c>
      <c r="F24" s="158">
        <v>217.7</v>
      </c>
      <c r="G24" s="158">
        <v>258.2</v>
      </c>
      <c r="H24" s="158">
        <v>238</v>
      </c>
      <c r="I24" s="158">
        <v>223</v>
      </c>
      <c r="J24" s="150"/>
      <c r="K24" s="740">
        <f t="shared" si="14"/>
        <v>9.6774193548387094E-2</v>
      </c>
      <c r="L24" s="740">
        <f t="shared" si="14"/>
        <v>0.28158015617822696</v>
      </c>
      <c r="M24" s="740">
        <f t="shared" si="14"/>
        <v>-0.15685515104570102</v>
      </c>
      <c r="N24" s="740">
        <f t="shared" si="14"/>
        <v>8.4873949579831881E-2</v>
      </c>
      <c r="O24" s="740">
        <f t="shared" si="14"/>
        <v>6.726457399103139E-2</v>
      </c>
      <c r="P24" s="740" t="s">
        <v>48</v>
      </c>
      <c r="Q24" s="137"/>
      <c r="Y24" s="164"/>
    </row>
    <row r="25" spans="2:25">
      <c r="B25" s="145">
        <f>SUM(B18:B23)</f>
        <v>0.97362296353762601</v>
      </c>
      <c r="C25" s="160" t="s">
        <v>121</v>
      </c>
      <c r="D25" s="141">
        <f t="shared" ref="D25:I25" si="15">SUM(D18:D24)</f>
        <v>11601</v>
      </c>
      <c r="E25" s="141">
        <f t="shared" si="15"/>
        <v>8981</v>
      </c>
      <c r="F25" s="141">
        <f t="shared" si="15"/>
        <v>6389.5</v>
      </c>
      <c r="G25" s="141">
        <f t="shared" si="15"/>
        <v>6883.3999999999987</v>
      </c>
      <c r="H25" s="141">
        <f t="shared" si="15"/>
        <v>5966.1</v>
      </c>
      <c r="I25" s="141">
        <f t="shared" si="15"/>
        <v>5548</v>
      </c>
      <c r="J25" s="151"/>
      <c r="K25" s="302">
        <f>(D25-E25)/E25</f>
        <v>0.29172697917826523</v>
      </c>
      <c r="L25" s="303">
        <f t="shared" si="8"/>
        <v>0.40558729165036389</v>
      </c>
      <c r="M25" s="303">
        <f t="shared" ref="M25" si="16">(F25-G25)/G25</f>
        <v>-7.1752331696545144E-2</v>
      </c>
      <c r="N25" s="303">
        <f t="shared" ref="N25" si="17">(G25-H25)/H25</f>
        <v>0.153752032315918</v>
      </c>
      <c r="O25" s="303">
        <f t="shared" ref="O25" si="18">(H25-I25)/I25</f>
        <v>7.5360490266762864E-2</v>
      </c>
      <c r="P25" s="303" t="s">
        <v>48</v>
      </c>
      <c r="Q25" s="137"/>
      <c r="Y25" s="164"/>
    </row>
    <row r="26" spans="2:25" ht="13.9" thickBot="1">
      <c r="C26" s="14"/>
      <c r="D26" s="15"/>
      <c r="E26" s="16"/>
      <c r="F26" s="15"/>
      <c r="G26" s="16"/>
      <c r="H26" s="15"/>
      <c r="I26" s="16"/>
      <c r="J26" s="44"/>
      <c r="Q26" s="137"/>
      <c r="Y26" s="164"/>
    </row>
    <row r="27" spans="2:25" ht="21">
      <c r="B27" s="943" t="s">
        <v>50</v>
      </c>
      <c r="C27" s="945"/>
      <c r="D27" s="943" t="s">
        <v>131</v>
      </c>
      <c r="E27" s="944"/>
      <c r="F27" s="944"/>
      <c r="G27" s="944"/>
      <c r="H27" s="944"/>
      <c r="I27" s="951" t="s">
        <v>132</v>
      </c>
      <c r="J27" s="952"/>
      <c r="K27" s="952"/>
      <c r="L27" s="952"/>
      <c r="M27" s="952"/>
      <c r="N27" s="952"/>
      <c r="O27" s="952"/>
      <c r="P27" s="952"/>
      <c r="Q27" s="137"/>
      <c r="Y27" s="164"/>
    </row>
    <row r="28" spans="2:25" ht="39.75" customHeight="1">
      <c r="B28" s="941" t="s">
        <v>124</v>
      </c>
      <c r="C28" s="942"/>
      <c r="D28" s="946" t="s">
        <v>133</v>
      </c>
      <c r="E28" s="947"/>
      <c r="F28" s="947"/>
      <c r="G28" s="947"/>
      <c r="H28" s="947"/>
      <c r="I28" s="137"/>
      <c r="Q28" s="137"/>
      <c r="Y28" s="164"/>
    </row>
    <row r="29" spans="2:25" ht="39.75" customHeight="1">
      <c r="B29" s="941" t="s">
        <v>125</v>
      </c>
      <c r="C29" s="942"/>
      <c r="D29" s="946" t="s">
        <v>134</v>
      </c>
      <c r="E29" s="947"/>
      <c r="F29" s="947"/>
      <c r="G29" s="947"/>
      <c r="H29" s="947"/>
      <c r="I29" s="137"/>
      <c r="Q29" s="137"/>
      <c r="Y29" s="164"/>
    </row>
    <row r="30" spans="2:25" ht="39.75" customHeight="1">
      <c r="B30" s="941" t="s">
        <v>126</v>
      </c>
      <c r="C30" s="942"/>
      <c r="D30" s="948" t="s">
        <v>135</v>
      </c>
      <c r="E30" s="947"/>
      <c r="F30" s="947"/>
      <c r="G30" s="947"/>
      <c r="H30" s="947"/>
      <c r="I30" s="137"/>
      <c r="Q30" s="137"/>
      <c r="Y30" s="164"/>
    </row>
    <row r="31" spans="2:25" ht="39.75" customHeight="1">
      <c r="B31" s="941" t="s">
        <v>136</v>
      </c>
      <c r="C31" s="942"/>
      <c r="D31" s="948" t="s">
        <v>137</v>
      </c>
      <c r="E31" s="947"/>
      <c r="F31" s="947"/>
      <c r="G31" s="947"/>
      <c r="H31" s="947"/>
      <c r="I31" s="137"/>
      <c r="Q31" s="137"/>
      <c r="Y31" s="164"/>
    </row>
    <row r="32" spans="2:25" ht="39.75" customHeight="1">
      <c r="B32" s="941" t="s">
        <v>128</v>
      </c>
      <c r="C32" s="942"/>
      <c r="D32" s="948" t="s">
        <v>138</v>
      </c>
      <c r="E32" s="947"/>
      <c r="F32" s="947"/>
      <c r="G32" s="947"/>
      <c r="H32" s="947"/>
      <c r="I32" s="137"/>
      <c r="Q32" s="137"/>
      <c r="Y32" s="164"/>
    </row>
    <row r="33" spans="2:33" ht="39.75" customHeight="1">
      <c r="B33" s="941" t="s">
        <v>129</v>
      </c>
      <c r="C33" s="942"/>
      <c r="D33" s="949" t="s">
        <v>139</v>
      </c>
      <c r="E33" s="950"/>
      <c r="F33" s="950"/>
      <c r="G33" s="950"/>
      <c r="H33" s="950"/>
      <c r="I33" s="137"/>
      <c r="Q33" s="137"/>
      <c r="Y33" s="164"/>
    </row>
    <row r="34" spans="2:33" ht="39.75" customHeight="1">
      <c r="B34" s="941" t="s">
        <v>140</v>
      </c>
      <c r="C34" s="942"/>
      <c r="D34" s="948" t="s">
        <v>141</v>
      </c>
      <c r="E34" s="947"/>
      <c r="F34" s="947"/>
      <c r="G34" s="947"/>
      <c r="H34" s="947"/>
      <c r="I34" s="138"/>
      <c r="J34" s="165"/>
      <c r="K34" s="165"/>
      <c r="L34" s="165"/>
      <c r="M34" s="165"/>
      <c r="N34" s="165"/>
      <c r="O34" s="165"/>
      <c r="P34" s="165"/>
      <c r="Q34" s="138"/>
      <c r="R34" s="165"/>
      <c r="S34" s="165"/>
      <c r="T34" s="165"/>
      <c r="U34" s="165"/>
      <c r="V34" s="165"/>
      <c r="W34" s="165"/>
      <c r="X34" s="165"/>
      <c r="Y34" s="166"/>
    </row>
    <row r="35" spans="2:33" ht="21">
      <c r="B35" s="943" t="s">
        <v>142</v>
      </c>
      <c r="C35" s="944"/>
      <c r="D35" s="944"/>
      <c r="E35" s="944"/>
      <c r="F35" s="944"/>
      <c r="G35" s="944"/>
      <c r="H35" s="944"/>
      <c r="I35" s="945"/>
      <c r="J35" s="977" t="s">
        <v>143</v>
      </c>
      <c r="K35" s="978"/>
      <c r="L35" s="978"/>
      <c r="M35" s="978"/>
      <c r="N35" s="978"/>
      <c r="O35" s="978"/>
      <c r="P35" s="978"/>
      <c r="Q35" s="979"/>
    </row>
    <row r="36" spans="2:33" ht="12.75" customHeight="1">
      <c r="B36" s="959" t="s">
        <v>144</v>
      </c>
      <c r="C36" s="961"/>
      <c r="D36" s="959" t="s">
        <v>131</v>
      </c>
      <c r="E36" s="960"/>
      <c r="F36" s="960"/>
      <c r="G36" s="960"/>
      <c r="H36" s="960"/>
      <c r="I36" s="961"/>
      <c r="J36" s="161"/>
      <c r="K36" s="162"/>
      <c r="L36" s="162"/>
      <c r="M36" s="162"/>
      <c r="N36" s="162"/>
      <c r="O36" s="162"/>
      <c r="P36" s="162"/>
      <c r="Q36" s="163"/>
      <c r="T36" s="1053"/>
      <c r="U36" s="1053"/>
      <c r="V36" s="240"/>
      <c r="W36" s="1053"/>
      <c r="X36" s="1053"/>
      <c r="Y36" s="240"/>
      <c r="Z36" s="1053"/>
      <c r="AA36" s="1053"/>
      <c r="AB36" s="240"/>
      <c r="AC36" s="1053"/>
      <c r="AD36" s="1053"/>
      <c r="AE36" s="240"/>
      <c r="AF36" s="1053"/>
      <c r="AG36" s="1053"/>
    </row>
    <row r="37" spans="2:33" ht="45" customHeight="1">
      <c r="B37" s="957" t="s">
        <v>145</v>
      </c>
      <c r="C37" s="958"/>
      <c r="D37" s="965"/>
      <c r="E37" s="966"/>
      <c r="F37" s="966"/>
      <c r="G37" s="966"/>
      <c r="H37" s="966"/>
      <c r="I37" s="967"/>
      <c r="J37" s="137"/>
      <c r="Q37" s="164"/>
      <c r="T37" s="240"/>
      <c r="U37" s="240"/>
      <c r="V37" s="240"/>
      <c r="W37" s="240"/>
      <c r="X37" s="240"/>
      <c r="Y37" s="240"/>
      <c r="Z37" s="240"/>
      <c r="AA37" s="240"/>
      <c r="AB37" s="240"/>
      <c r="AC37" s="240"/>
      <c r="AD37" s="240"/>
      <c r="AE37" s="240"/>
      <c r="AF37" s="240"/>
      <c r="AG37" s="240"/>
    </row>
    <row r="38" spans="2:33" ht="45" customHeight="1">
      <c r="B38" s="957" t="s">
        <v>146</v>
      </c>
      <c r="C38" s="958"/>
      <c r="D38" s="965"/>
      <c r="E38" s="966"/>
      <c r="F38" s="966"/>
      <c r="G38" s="966"/>
      <c r="H38" s="966"/>
      <c r="I38" s="967"/>
      <c r="J38" s="137"/>
      <c r="Q38" s="164"/>
      <c r="T38" s="240"/>
      <c r="U38" s="240"/>
      <c r="V38" s="240"/>
      <c r="W38" s="240"/>
      <c r="X38" s="240"/>
      <c r="Y38" s="240"/>
      <c r="Z38" s="240"/>
      <c r="AA38" s="240"/>
      <c r="AB38" s="240"/>
      <c r="AC38" s="240"/>
      <c r="AD38" s="240"/>
      <c r="AE38" s="240"/>
      <c r="AF38" s="240"/>
      <c r="AG38" s="240"/>
    </row>
    <row r="39" spans="2:33" ht="45" customHeight="1">
      <c r="B39" s="982" t="s">
        <v>147</v>
      </c>
      <c r="C39" s="958"/>
      <c r="D39" s="971"/>
      <c r="E39" s="966"/>
      <c r="F39" s="966"/>
      <c r="G39" s="966"/>
      <c r="H39" s="966"/>
      <c r="I39" s="967"/>
      <c r="J39" s="137"/>
      <c r="Q39" s="164"/>
      <c r="T39" s="240"/>
      <c r="U39" s="240"/>
      <c r="V39" s="240"/>
      <c r="W39" s="240"/>
      <c r="X39" s="240"/>
      <c r="Y39" s="240"/>
      <c r="Z39" s="240"/>
      <c r="AA39" s="240"/>
      <c r="AB39" s="240"/>
      <c r="AC39" s="240"/>
      <c r="AD39" s="240"/>
      <c r="AE39" s="240"/>
      <c r="AF39" s="240"/>
      <c r="AG39" s="240"/>
    </row>
    <row r="40" spans="2:33" ht="14.45">
      <c r="B40" s="959" t="s">
        <v>148</v>
      </c>
      <c r="C40" s="960"/>
      <c r="D40" s="960"/>
      <c r="E40" s="960"/>
      <c r="F40" s="960"/>
      <c r="G40" s="960"/>
      <c r="H40" s="960"/>
      <c r="I40" s="961"/>
      <c r="J40" s="137"/>
      <c r="Q40" s="164"/>
      <c r="T40" s="240"/>
      <c r="U40" s="240"/>
      <c r="V40" s="240"/>
      <c r="W40" s="240"/>
      <c r="X40" s="240"/>
      <c r="Y40" s="240"/>
      <c r="Z40" s="240"/>
      <c r="AA40" s="240"/>
      <c r="AB40" s="240"/>
      <c r="AC40" s="240"/>
      <c r="AD40" s="240"/>
      <c r="AE40" s="240"/>
      <c r="AF40" s="240"/>
      <c r="AG40" s="240"/>
    </row>
    <row r="41" spans="2:33" ht="13.5" customHeight="1">
      <c r="B41" s="980" t="s">
        <v>149</v>
      </c>
      <c r="C41" s="981"/>
      <c r="D41" s="962" t="s">
        <v>150</v>
      </c>
      <c r="E41" s="963"/>
      <c r="F41" s="964"/>
      <c r="G41" s="962" t="s">
        <v>151</v>
      </c>
      <c r="H41" s="963"/>
      <c r="I41" s="964"/>
      <c r="J41" s="137"/>
      <c r="Q41" s="164"/>
      <c r="T41" s="240"/>
      <c r="U41" s="240"/>
      <c r="V41" s="240"/>
      <c r="W41" s="240"/>
      <c r="X41" s="240"/>
      <c r="Y41" s="240"/>
      <c r="Z41" s="240"/>
      <c r="AA41" s="240"/>
      <c r="AB41" s="240"/>
      <c r="AC41" s="240"/>
      <c r="AD41" s="240"/>
      <c r="AE41" s="240"/>
      <c r="AF41" s="240"/>
      <c r="AG41" s="240"/>
    </row>
    <row r="42" spans="2:33" ht="14.45">
      <c r="B42" s="975" t="s">
        <v>152</v>
      </c>
      <c r="C42" s="976"/>
      <c r="D42" s="968">
        <v>3.3799999999999997E-2</v>
      </c>
      <c r="E42" s="969"/>
      <c r="F42" s="970"/>
      <c r="G42" s="972" t="s">
        <v>153</v>
      </c>
      <c r="H42" s="973"/>
      <c r="I42" s="974"/>
      <c r="J42" s="137"/>
      <c r="Q42" s="164"/>
      <c r="T42" s="240"/>
      <c r="U42" s="240"/>
      <c r="V42" s="240"/>
      <c r="W42" s="240"/>
      <c r="X42" s="240"/>
      <c r="Y42" s="240"/>
      <c r="Z42" s="240"/>
      <c r="AA42" s="240"/>
      <c r="AB42" s="240"/>
      <c r="AC42" s="240"/>
      <c r="AD42" s="240"/>
      <c r="AE42" s="240"/>
      <c r="AF42" s="240"/>
      <c r="AG42" s="240"/>
    </row>
    <row r="43" spans="2:33" ht="14.45">
      <c r="B43" s="975" t="s">
        <v>154</v>
      </c>
      <c r="C43" s="976"/>
      <c r="D43" s="968">
        <v>4.8000000000000001E-2</v>
      </c>
      <c r="E43" s="969"/>
      <c r="F43" s="970"/>
      <c r="G43" s="972" t="s">
        <v>155</v>
      </c>
      <c r="H43" s="973"/>
      <c r="I43" s="974"/>
      <c r="J43" s="137"/>
      <c r="Q43" s="164"/>
      <c r="T43" s="240"/>
      <c r="U43" s="240"/>
      <c r="V43" s="240"/>
      <c r="W43" s="240"/>
      <c r="X43" s="240"/>
      <c r="Y43" s="240"/>
      <c r="Z43" s="240"/>
      <c r="AA43" s="240"/>
      <c r="AB43" s="240"/>
      <c r="AC43" s="240"/>
      <c r="AD43" s="240"/>
      <c r="AE43" s="240"/>
      <c r="AF43" s="240"/>
      <c r="AG43" s="240"/>
    </row>
    <row r="44" spans="2:33" ht="14.45">
      <c r="B44" s="975" t="s">
        <v>156</v>
      </c>
      <c r="C44" s="976"/>
      <c r="D44" s="968">
        <v>4.5999999999999999E-2</v>
      </c>
      <c r="E44" s="969"/>
      <c r="F44" s="970"/>
      <c r="G44" s="972" t="s">
        <v>153</v>
      </c>
      <c r="H44" s="973"/>
      <c r="I44" s="974"/>
      <c r="J44" s="137"/>
      <c r="Q44" s="164"/>
      <c r="T44" s="240"/>
      <c r="U44" s="240"/>
      <c r="V44" s="240"/>
      <c r="W44" s="240"/>
      <c r="X44" s="240"/>
      <c r="Y44" s="240"/>
      <c r="Z44" s="240"/>
      <c r="AA44" s="240"/>
      <c r="AB44" s="240"/>
      <c r="AC44" s="240"/>
      <c r="AD44" s="240"/>
      <c r="AE44" s="240"/>
      <c r="AF44" s="240"/>
      <c r="AG44" s="240"/>
    </row>
    <row r="45" spans="2:33" ht="14.45">
      <c r="B45" s="975" t="s">
        <v>157</v>
      </c>
      <c r="C45" s="976" t="s">
        <v>158</v>
      </c>
      <c r="D45" s="968">
        <v>5.1400000000000001E-2</v>
      </c>
      <c r="E45" s="969">
        <v>5.1400000000000001E-2</v>
      </c>
      <c r="F45" s="970"/>
      <c r="G45" s="972" t="s">
        <v>153</v>
      </c>
      <c r="H45" s="973"/>
      <c r="I45" s="974"/>
      <c r="J45" s="137"/>
      <c r="Q45" s="164"/>
      <c r="T45" s="240"/>
      <c r="U45" s="240"/>
      <c r="V45" s="240"/>
      <c r="W45" s="240"/>
      <c r="X45" s="240"/>
      <c r="Y45" s="240"/>
      <c r="Z45" s="240"/>
      <c r="AA45" s="240"/>
      <c r="AB45" s="240"/>
      <c r="AC45" s="240"/>
      <c r="AD45" s="240"/>
      <c r="AE45" s="240"/>
      <c r="AF45" s="240"/>
      <c r="AG45" s="240"/>
    </row>
    <row r="46" spans="2:33" ht="14.45">
      <c r="B46" s="975" t="s">
        <v>159</v>
      </c>
      <c r="C46" s="976"/>
      <c r="D46" s="968">
        <v>6.5600000000000006E-2</v>
      </c>
      <c r="E46" s="969"/>
      <c r="F46" s="970"/>
      <c r="G46" s="972" t="s">
        <v>153</v>
      </c>
      <c r="H46" s="973"/>
      <c r="I46" s="974"/>
      <c r="J46" s="968"/>
      <c r="K46" s="969"/>
      <c r="L46" s="970"/>
      <c r="M46" s="972"/>
      <c r="N46" s="973"/>
      <c r="O46" s="974"/>
      <c r="Q46" s="164"/>
      <c r="T46" s="240"/>
      <c r="U46" s="240"/>
      <c r="V46" s="240"/>
      <c r="W46" s="240"/>
      <c r="X46" s="240"/>
      <c r="Y46" s="240"/>
      <c r="Z46" s="240"/>
      <c r="AA46" s="240"/>
      <c r="AB46" s="240"/>
      <c r="AC46" s="240"/>
      <c r="AD46" s="240"/>
      <c r="AE46" s="240"/>
      <c r="AF46" s="240"/>
      <c r="AG46" s="240"/>
    </row>
    <row r="47" spans="2:33" ht="14.45">
      <c r="B47" s="955" t="s">
        <v>160</v>
      </c>
      <c r="C47" s="956"/>
      <c r="D47" s="968">
        <f>AVERAGE(D42:F46)</f>
        <v>4.936666666666667E-2</v>
      </c>
      <c r="E47" s="969"/>
      <c r="F47" s="970"/>
      <c r="G47" s="972"/>
      <c r="H47" s="973"/>
      <c r="I47" s="974"/>
      <c r="J47" s="137"/>
      <c r="Q47" s="164"/>
      <c r="T47" s="240"/>
      <c r="U47" s="240"/>
      <c r="V47" s="240"/>
      <c r="W47" s="240"/>
      <c r="X47" s="240"/>
      <c r="Y47" s="240"/>
      <c r="Z47" s="240"/>
      <c r="AA47" s="240"/>
      <c r="AB47" s="240"/>
      <c r="AC47" s="240"/>
      <c r="AD47" s="240"/>
      <c r="AE47" s="240"/>
      <c r="AF47" s="240"/>
      <c r="AG47" s="240"/>
    </row>
    <row r="48" spans="2:33" ht="21">
      <c r="B48" s="943" t="s">
        <v>161</v>
      </c>
      <c r="C48" s="944"/>
      <c r="D48" s="944"/>
      <c r="E48" s="944"/>
      <c r="F48" s="944"/>
      <c r="G48" s="944"/>
      <c r="H48" s="944"/>
      <c r="I48" s="945"/>
      <c r="J48" s="137"/>
      <c r="Q48" s="164"/>
      <c r="T48" s="240"/>
      <c r="U48" s="240"/>
      <c r="V48" s="240"/>
      <c r="W48" s="240"/>
      <c r="X48" s="240"/>
      <c r="Y48" s="240"/>
      <c r="Z48" s="240"/>
      <c r="AA48" s="240"/>
      <c r="AB48" s="240"/>
      <c r="AC48" s="240"/>
      <c r="AD48" s="240"/>
      <c r="AE48" s="240"/>
      <c r="AF48" s="240"/>
      <c r="AG48" s="240"/>
    </row>
    <row r="49" spans="2:21">
      <c r="B49" s="763"/>
      <c r="C49" s="762"/>
      <c r="D49" s="762"/>
      <c r="E49" s="762"/>
      <c r="F49" s="762"/>
      <c r="G49" s="762"/>
      <c r="H49" s="762"/>
      <c r="I49" s="764"/>
      <c r="J49" s="137"/>
      <c r="Q49" s="164"/>
      <c r="T49" s="11"/>
      <c r="U49" s="11"/>
    </row>
    <row r="50" spans="2:21">
      <c r="B50" s="307"/>
      <c r="C50" s="765"/>
      <c r="D50" s="765"/>
      <c r="E50" s="765"/>
      <c r="F50" s="765"/>
      <c r="G50" s="765"/>
      <c r="H50" s="765"/>
      <c r="I50" s="766"/>
      <c r="J50" s="137"/>
      <c r="Q50" s="164"/>
      <c r="T50" s="11"/>
      <c r="U50" s="11"/>
    </row>
    <row r="51" spans="2:21">
      <c r="B51" s="307"/>
      <c r="C51" s="765"/>
      <c r="D51" s="765"/>
      <c r="E51" s="765"/>
      <c r="F51" s="765"/>
      <c r="G51" s="765"/>
      <c r="H51" s="765"/>
      <c r="I51" s="766"/>
      <c r="J51" s="137"/>
      <c r="Q51" s="164"/>
      <c r="T51" s="11"/>
      <c r="U51" s="11"/>
    </row>
    <row r="52" spans="2:21">
      <c r="B52" s="307"/>
      <c r="C52" s="765"/>
      <c r="D52" s="765"/>
      <c r="E52" s="765"/>
      <c r="F52" s="765"/>
      <c r="G52" s="765"/>
      <c r="H52" s="765"/>
      <c r="I52" s="766"/>
      <c r="J52" s="137"/>
      <c r="Q52" s="164"/>
      <c r="T52" s="11"/>
      <c r="U52" s="11"/>
    </row>
    <row r="53" spans="2:21">
      <c r="B53" s="307"/>
      <c r="C53" s="765"/>
      <c r="D53" s="765"/>
      <c r="E53" s="765"/>
      <c r="F53" s="765"/>
      <c r="G53" s="765"/>
      <c r="H53" s="765"/>
      <c r="I53" s="766"/>
      <c r="J53" s="137"/>
      <c r="Q53" s="164"/>
      <c r="T53" s="11"/>
      <c r="U53" s="11"/>
    </row>
    <row r="54" spans="2:21">
      <c r="B54" s="307"/>
      <c r="C54" s="765"/>
      <c r="D54" s="765"/>
      <c r="E54" s="765"/>
      <c r="F54" s="765"/>
      <c r="G54" s="765"/>
      <c r="H54" s="765"/>
      <c r="I54" s="766"/>
      <c r="J54" s="137"/>
      <c r="Q54" s="164"/>
      <c r="T54" s="11"/>
      <c r="U54" s="11"/>
    </row>
    <row r="55" spans="2:21">
      <c r="B55" s="307"/>
      <c r="C55" s="765"/>
      <c r="D55" s="765"/>
      <c r="E55" s="765"/>
      <c r="F55" s="765"/>
      <c r="G55" s="765"/>
      <c r="H55" s="765"/>
      <c r="I55" s="766"/>
      <c r="J55" s="137"/>
      <c r="Q55" s="164"/>
      <c r="T55" s="11"/>
      <c r="U55" s="11"/>
    </row>
    <row r="56" spans="2:21">
      <c r="B56" s="307"/>
      <c r="C56" s="765"/>
      <c r="D56" s="765"/>
      <c r="E56" s="765"/>
      <c r="F56" s="765"/>
      <c r="G56" s="765"/>
      <c r="H56" s="765"/>
      <c r="I56" s="766"/>
      <c r="J56" s="137"/>
      <c r="Q56" s="164"/>
      <c r="T56" s="11"/>
      <c r="U56" s="11"/>
    </row>
    <row r="57" spans="2:21">
      <c r="B57" s="307"/>
      <c r="C57" s="765"/>
      <c r="D57" s="765"/>
      <c r="E57" s="765"/>
      <c r="F57" s="765"/>
      <c r="G57" s="765"/>
      <c r="H57" s="765"/>
      <c r="I57" s="766"/>
      <c r="J57" s="137"/>
      <c r="Q57" s="164"/>
      <c r="T57" s="11"/>
      <c r="U57" s="11"/>
    </row>
    <row r="58" spans="2:21">
      <c r="B58" s="307"/>
      <c r="C58" s="765"/>
      <c r="D58" s="765"/>
      <c r="E58" s="765"/>
      <c r="F58" s="765"/>
      <c r="G58" s="765"/>
      <c r="H58" s="765"/>
      <c r="I58" s="766"/>
      <c r="J58" s="137"/>
      <c r="Q58" s="164"/>
      <c r="T58" s="11"/>
      <c r="U58" s="11"/>
    </row>
    <row r="59" spans="2:21">
      <c r="B59" s="307"/>
      <c r="C59" s="765"/>
      <c r="D59" s="765"/>
      <c r="E59" s="765"/>
      <c r="F59" s="765"/>
      <c r="G59" s="765"/>
      <c r="H59" s="765"/>
      <c r="I59" s="766"/>
      <c r="J59" s="137"/>
      <c r="Q59" s="164"/>
      <c r="T59" s="11"/>
      <c r="U59" s="11"/>
    </row>
    <row r="60" spans="2:21">
      <c r="B60" s="307"/>
      <c r="C60" s="765"/>
      <c r="D60" s="765"/>
      <c r="E60" s="765"/>
      <c r="F60" s="765"/>
      <c r="G60" s="765"/>
      <c r="H60" s="765"/>
      <c r="I60" s="766"/>
      <c r="J60" s="137"/>
      <c r="Q60" s="164"/>
      <c r="T60" s="11"/>
      <c r="U60" s="11"/>
    </row>
    <row r="61" spans="2:21">
      <c r="B61" s="307"/>
      <c r="C61" s="765"/>
      <c r="D61" s="765"/>
      <c r="E61" s="765"/>
      <c r="F61" s="765"/>
      <c r="G61" s="765"/>
      <c r="H61" s="765"/>
      <c r="I61" s="766"/>
      <c r="J61" s="137"/>
      <c r="Q61" s="164"/>
      <c r="T61" s="11"/>
      <c r="U61" s="11"/>
    </row>
    <row r="62" spans="2:21">
      <c r="B62" s="307"/>
      <c r="C62" s="765"/>
      <c r="D62" s="765"/>
      <c r="E62" s="765"/>
      <c r="F62" s="765"/>
      <c r="G62" s="765"/>
      <c r="H62" s="765"/>
      <c r="I62" s="766"/>
      <c r="J62" s="137"/>
      <c r="Q62" s="164"/>
      <c r="T62" s="11"/>
      <c r="U62" s="11"/>
    </row>
    <row r="63" spans="2:21">
      <c r="B63" s="307"/>
      <c r="C63" s="765"/>
      <c r="D63" s="765"/>
      <c r="E63" s="765"/>
      <c r="F63" s="765"/>
      <c r="G63" s="765"/>
      <c r="H63" s="765"/>
      <c r="I63" s="766"/>
      <c r="J63" s="137"/>
      <c r="P63" s="930" t="s">
        <v>162</v>
      </c>
      <c r="Q63" s="931"/>
      <c r="T63" s="11"/>
      <c r="U63" s="11"/>
    </row>
    <row r="64" spans="2:21">
      <c r="B64" s="307"/>
      <c r="C64" s="765"/>
      <c r="D64" s="765"/>
      <c r="E64" s="765"/>
      <c r="F64" s="765"/>
      <c r="G64" s="765"/>
      <c r="H64" s="765"/>
      <c r="I64" s="766"/>
      <c r="J64" s="137"/>
      <c r="P64" s="932"/>
      <c r="Q64" s="931"/>
      <c r="T64" s="11"/>
      <c r="U64" s="11"/>
    </row>
    <row r="65" spans="2:21" ht="20.25" customHeight="1">
      <c r="B65" s="767"/>
      <c r="C65" s="768"/>
      <c r="D65" s="768"/>
      <c r="E65" s="768"/>
      <c r="F65" s="768"/>
      <c r="G65" s="768"/>
      <c r="H65" s="768"/>
      <c r="I65" s="769"/>
      <c r="J65" s="138"/>
      <c r="K65" s="165"/>
      <c r="L65" s="165"/>
      <c r="M65" s="165"/>
      <c r="N65" s="165"/>
      <c r="O65" s="165"/>
      <c r="P65" s="165"/>
      <c r="Q65" s="166"/>
      <c r="T65" s="11"/>
      <c r="U65" s="11"/>
    </row>
    <row r="66" spans="2:21">
      <c r="T66" s="11"/>
      <c r="U66" s="11"/>
    </row>
    <row r="67" spans="2:21">
      <c r="T67" s="11"/>
      <c r="U67" s="11"/>
    </row>
    <row r="68" spans="2:21">
      <c r="T68" s="11"/>
      <c r="U68" s="11"/>
    </row>
    <row r="69" spans="2:21">
      <c r="T69" s="11"/>
      <c r="U69" s="11"/>
    </row>
    <row r="70" spans="2:21">
      <c r="O70" s="308"/>
      <c r="T70" s="11"/>
      <c r="U70" s="11"/>
    </row>
    <row r="71" spans="2:21">
      <c r="O71" s="308"/>
      <c r="T71" s="11"/>
      <c r="U71" s="11"/>
    </row>
    <row r="72" spans="2:21">
      <c r="O72" s="308"/>
      <c r="T72" s="11"/>
      <c r="U72" s="11"/>
    </row>
    <row r="73" spans="2:21">
      <c r="T73" s="11"/>
      <c r="U73" s="11"/>
    </row>
    <row r="74" spans="2:21">
      <c r="T74" s="11"/>
      <c r="U74" s="11"/>
    </row>
    <row r="75" spans="2:21">
      <c r="T75" s="11"/>
      <c r="U75" s="11"/>
    </row>
    <row r="76" spans="2:21">
      <c r="T76" s="11"/>
      <c r="U76" s="11"/>
    </row>
    <row r="77" spans="2:21">
      <c r="T77" s="11"/>
      <c r="U77" s="11"/>
    </row>
    <row r="78" spans="2:21">
      <c r="T78" s="11"/>
      <c r="U78" s="11"/>
    </row>
    <row r="79" spans="2:21">
      <c r="T79" s="11"/>
      <c r="U79" s="11"/>
    </row>
  </sheetData>
  <mergeCells count="65">
    <mergeCell ref="J46:L46"/>
    <mergeCell ref="M46:O46"/>
    <mergeCell ref="G46:I46"/>
    <mergeCell ref="B46:C46"/>
    <mergeCell ref="D46:F46"/>
    <mergeCell ref="J35:Q35"/>
    <mergeCell ref="G43:I43"/>
    <mergeCell ref="G44:I44"/>
    <mergeCell ref="D42:F42"/>
    <mergeCell ref="D43:F43"/>
    <mergeCell ref="D44:F44"/>
    <mergeCell ref="B40:I40"/>
    <mergeCell ref="B41:C41"/>
    <mergeCell ref="B42:C42"/>
    <mergeCell ref="G42:I42"/>
    <mergeCell ref="B35:I35"/>
    <mergeCell ref="B36:C36"/>
    <mergeCell ref="B37:C37"/>
    <mergeCell ref="B39:C39"/>
    <mergeCell ref="B43:C43"/>
    <mergeCell ref="B44:C44"/>
    <mergeCell ref="B47:C47"/>
    <mergeCell ref="B34:C34"/>
    <mergeCell ref="B48:I48"/>
    <mergeCell ref="B38:C38"/>
    <mergeCell ref="D36:I36"/>
    <mergeCell ref="D41:F41"/>
    <mergeCell ref="G41:I41"/>
    <mergeCell ref="D38:I38"/>
    <mergeCell ref="D47:F47"/>
    <mergeCell ref="D37:I37"/>
    <mergeCell ref="D39:I39"/>
    <mergeCell ref="G47:I47"/>
    <mergeCell ref="D34:H34"/>
    <mergeCell ref="B45:C45"/>
    <mergeCell ref="D45:F45"/>
    <mergeCell ref="G45:I45"/>
    <mergeCell ref="D3:I3"/>
    <mergeCell ref="B28:C28"/>
    <mergeCell ref="B31:C31"/>
    <mergeCell ref="B32:C32"/>
    <mergeCell ref="B27:C27"/>
    <mergeCell ref="B30:C30"/>
    <mergeCell ref="B29:C29"/>
    <mergeCell ref="AF36:AG36"/>
    <mergeCell ref="Q2:Y2"/>
    <mergeCell ref="K3:P3"/>
    <mergeCell ref="B2:P2"/>
    <mergeCell ref="K16:P16"/>
    <mergeCell ref="B33:C33"/>
    <mergeCell ref="B15:P15"/>
    <mergeCell ref="D16:I16"/>
    <mergeCell ref="D27:H27"/>
    <mergeCell ref="D28:H28"/>
    <mergeCell ref="D29:H29"/>
    <mergeCell ref="D30:H30"/>
    <mergeCell ref="D31:H31"/>
    <mergeCell ref="D32:H32"/>
    <mergeCell ref="D33:H33"/>
    <mergeCell ref="I27:P27"/>
    <mergeCell ref="P63:Q64"/>
    <mergeCell ref="T36:U36"/>
    <mergeCell ref="W36:X36"/>
    <mergeCell ref="Z36:AA36"/>
    <mergeCell ref="AC36:AD36"/>
  </mergeCells>
  <phoneticPr fontId="0" type="noConversion"/>
  <conditionalFormatting sqref="B5:B12">
    <cfRule type="dataBar" priority="70">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8:B24">
    <cfRule type="dataBar" priority="71">
      <dataBar>
        <cfvo type="min"/>
        <cfvo type="max"/>
        <color rgb="FF638EC6"/>
      </dataBar>
      <extLst>
        <ext xmlns:x14="http://schemas.microsoft.com/office/spreadsheetml/2009/9/main" uri="{B025F937-C7B1-47D3-B67F-A62EFF666E3E}">
          <x14:id>{070902CC-8EB6-43DB-B9AD-5811F17D394B}</x14:id>
        </ext>
      </extLst>
    </cfRule>
  </conditionalFormatting>
  <conditionalFormatting sqref="D5:D12">
    <cfRule type="dataBar" priority="53">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8:D24">
    <cfRule type="dataBar" priority="72">
      <dataBar>
        <cfvo type="min"/>
        <cfvo type="max"/>
        <color rgb="FF63C384"/>
      </dataBar>
      <extLst>
        <ext xmlns:x14="http://schemas.microsoft.com/office/spreadsheetml/2009/9/main" uri="{B025F937-C7B1-47D3-B67F-A62EFF666E3E}">
          <x14:id>{3F107DCC-63A1-497B-B919-528218A545C1}</x14:id>
        </ext>
      </extLst>
    </cfRule>
  </conditionalFormatting>
  <conditionalFormatting sqref="D5:I10">
    <cfRule type="dataBar" priority="27">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8:I24">
    <cfRule type="dataBar" priority="73">
      <dataBar>
        <cfvo type="min"/>
        <cfvo type="max"/>
        <color rgb="FF63C384"/>
      </dataBar>
      <extLst>
        <ext xmlns:x14="http://schemas.microsoft.com/office/spreadsheetml/2009/9/main" uri="{B025F937-C7B1-47D3-B67F-A62EFF666E3E}">
          <x14:id>{5BBC426E-7FA9-4F5C-AC78-B3996BA8F931}</x14:id>
        </ext>
      </extLst>
    </cfRule>
  </conditionalFormatting>
  <conditionalFormatting sqref="E5:E12">
    <cfRule type="dataBar" priority="52">
      <dataBar>
        <cfvo type="min"/>
        <cfvo type="max"/>
        <color rgb="FF63C384"/>
      </dataBar>
      <extLst>
        <ext xmlns:x14="http://schemas.microsoft.com/office/spreadsheetml/2009/9/main" uri="{B025F937-C7B1-47D3-B67F-A62EFF666E3E}">
          <x14:id>{740A2B96-C6E5-4177-AC04-9573B81E30EC}</x14:id>
        </ext>
      </extLst>
    </cfRule>
  </conditionalFormatting>
  <conditionalFormatting sqref="E18:E24">
    <cfRule type="dataBar" priority="74">
      <dataBar>
        <cfvo type="min"/>
        <cfvo type="max"/>
        <color rgb="FF63C384"/>
      </dataBar>
      <extLst>
        <ext xmlns:x14="http://schemas.microsoft.com/office/spreadsheetml/2009/9/main" uri="{B025F937-C7B1-47D3-B67F-A62EFF666E3E}">
          <x14:id>{5AA7A103-2149-42E1-9BBB-48A01258D43D}</x14:id>
        </ext>
      </extLst>
    </cfRule>
  </conditionalFormatting>
  <conditionalFormatting sqref="F5:F12">
    <cfRule type="dataBar" priority="51">
      <dataBar>
        <cfvo type="min"/>
        <cfvo type="max"/>
        <color rgb="FF63C384"/>
      </dataBar>
      <extLst>
        <ext xmlns:x14="http://schemas.microsoft.com/office/spreadsheetml/2009/9/main" uri="{B025F937-C7B1-47D3-B67F-A62EFF666E3E}">
          <x14:id>{5EFE30C4-0901-404E-9108-731E3BE4821E}</x14:id>
        </ext>
      </extLst>
    </cfRule>
  </conditionalFormatting>
  <conditionalFormatting sqref="F18:F24">
    <cfRule type="dataBar" priority="75">
      <dataBar>
        <cfvo type="min"/>
        <cfvo type="max"/>
        <color rgb="FF63C384"/>
      </dataBar>
      <extLst>
        <ext xmlns:x14="http://schemas.microsoft.com/office/spreadsheetml/2009/9/main" uri="{B025F937-C7B1-47D3-B67F-A62EFF666E3E}">
          <x14:id>{5EE1521A-2483-44CA-9CCA-E5FC63E6246F}</x14:id>
        </ext>
      </extLst>
    </cfRule>
  </conditionalFormatting>
  <conditionalFormatting sqref="F19">
    <cfRule type="dataBar" priority="1">
      <dataBar>
        <cfvo type="min"/>
        <cfvo type="max"/>
        <color rgb="FF63C384"/>
      </dataBar>
      <extLst>
        <ext xmlns:x14="http://schemas.microsoft.com/office/spreadsheetml/2009/9/main" uri="{B025F937-C7B1-47D3-B67F-A62EFF666E3E}">
          <x14:id>{313AA6DF-AF7B-48A9-B4B1-35E5D82C1592}</x14:id>
        </ext>
      </extLst>
    </cfRule>
    <cfRule type="dataBar" priority="3">
      <dataBar>
        <cfvo type="min"/>
        <cfvo type="max"/>
        <color rgb="FF63C384"/>
      </dataBar>
      <extLst>
        <ext xmlns:x14="http://schemas.microsoft.com/office/spreadsheetml/2009/9/main" uri="{B025F937-C7B1-47D3-B67F-A62EFF666E3E}">
          <x14:id>{A11C8E92-8A99-4FA6-A73C-3018F9FEF094}</x14:id>
        </ext>
      </extLst>
    </cfRule>
  </conditionalFormatting>
  <conditionalFormatting sqref="G5:G12">
    <cfRule type="dataBar" priority="50">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8:G24">
    <cfRule type="dataBar" priority="76">
      <dataBar>
        <cfvo type="min"/>
        <cfvo type="max"/>
        <color rgb="FF63C384"/>
      </dataBar>
      <extLst>
        <ext xmlns:x14="http://schemas.microsoft.com/office/spreadsheetml/2009/9/main" uri="{B025F937-C7B1-47D3-B67F-A62EFF666E3E}">
          <x14:id>{00DC50B7-1706-4DFB-A90F-9F95CB19CA6D}</x14:id>
        </ext>
      </extLst>
    </cfRule>
  </conditionalFormatting>
  <conditionalFormatting sqref="G19">
    <cfRule type="dataBar" priority="2">
      <dataBar>
        <cfvo type="min"/>
        <cfvo type="max"/>
        <color rgb="FF63C384"/>
      </dataBar>
      <extLst>
        <ext xmlns:x14="http://schemas.microsoft.com/office/spreadsheetml/2009/9/main" uri="{B025F937-C7B1-47D3-B67F-A62EFF666E3E}">
          <x14:id>{0117FDD8-45C6-4247-B1AC-4C4B0BB55DF6}</x14:id>
        </ext>
      </extLst>
    </cfRule>
    <cfRule type="dataBar" priority="4">
      <dataBar>
        <cfvo type="min"/>
        <cfvo type="max"/>
        <color rgb="FF63C384"/>
      </dataBar>
      <extLst>
        <ext xmlns:x14="http://schemas.microsoft.com/office/spreadsheetml/2009/9/main" uri="{B025F937-C7B1-47D3-B67F-A62EFF666E3E}">
          <x14:id>{BF89EC16-F2DA-48FD-B7FB-87772893DA88}</x14:id>
        </ext>
      </extLst>
    </cfRule>
  </conditionalFormatting>
  <conditionalFormatting sqref="H5:H12">
    <cfRule type="dataBar" priority="49">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8:H24">
    <cfRule type="dataBar" priority="77">
      <dataBar>
        <cfvo type="min"/>
        <cfvo type="max"/>
        <color rgb="FF63C384"/>
      </dataBar>
      <extLst>
        <ext xmlns:x14="http://schemas.microsoft.com/office/spreadsheetml/2009/9/main" uri="{B025F937-C7B1-47D3-B67F-A62EFF666E3E}">
          <x14:id>{EED505F4-1AE5-4E85-A25F-1DAC1EADC97D}</x14:id>
        </ext>
      </extLst>
    </cfRule>
  </conditionalFormatting>
  <conditionalFormatting sqref="I5:I12">
    <cfRule type="dataBar" priority="48">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8:I24">
    <cfRule type="dataBar" priority="78">
      <dataBar>
        <cfvo type="min"/>
        <cfvo type="max"/>
        <color rgb="FF63C384"/>
      </dataBar>
      <extLst>
        <ext xmlns:x14="http://schemas.microsoft.com/office/spreadsheetml/2009/9/main" uri="{B025F937-C7B1-47D3-B67F-A62EFF666E3E}">
          <x14:id>{A192D211-7CF8-4DE2-A7D7-7E84CEAE76AC}</x14:id>
        </ext>
      </extLst>
    </cfRule>
  </conditionalFormatting>
  <conditionalFormatting sqref="K5:K12">
    <cfRule type="dataBar" priority="60">
      <dataBar>
        <cfvo type="min"/>
        <cfvo type="max"/>
        <color rgb="FF63C384"/>
      </dataBar>
      <extLst>
        <ext xmlns:x14="http://schemas.microsoft.com/office/spreadsheetml/2009/9/main" uri="{B025F937-C7B1-47D3-B67F-A62EFF666E3E}">
          <x14:id>{5A27FB5F-AC6D-40FD-B152-7630C251B9C8}</x14:id>
        </ext>
      </extLst>
    </cfRule>
  </conditionalFormatting>
  <conditionalFormatting sqref="K18:K24">
    <cfRule type="dataBar" priority="18">
      <dataBar>
        <cfvo type="min"/>
        <cfvo type="max"/>
        <color rgb="FF63C384"/>
      </dataBar>
      <extLst>
        <ext xmlns:x14="http://schemas.microsoft.com/office/spreadsheetml/2009/9/main" uri="{B025F937-C7B1-47D3-B67F-A62EFF666E3E}">
          <x14:id>{60785AC6-7D44-400D-A2D8-9BBBDC5C548B}</x14:id>
        </ext>
      </extLst>
    </cfRule>
  </conditionalFormatting>
  <conditionalFormatting sqref="K18:O24">
    <cfRule type="dataBar" priority="38">
      <dataBar>
        <cfvo type="min"/>
        <cfvo type="max"/>
        <color rgb="FF63C384"/>
      </dataBar>
      <extLst>
        <ext xmlns:x14="http://schemas.microsoft.com/office/spreadsheetml/2009/9/main" uri="{B025F937-C7B1-47D3-B67F-A62EFF666E3E}">
          <x14:id>{BE9D279A-ADD8-46F4-B26E-577DEFFA037B}</x14:id>
        </ext>
      </extLst>
    </cfRule>
    <cfRule type="dataBar" priority="79">
      <dataBar>
        <cfvo type="min"/>
        <cfvo type="max"/>
        <color rgb="FF63C384"/>
      </dataBar>
      <extLst>
        <ext xmlns:x14="http://schemas.microsoft.com/office/spreadsheetml/2009/9/main" uri="{B025F937-C7B1-47D3-B67F-A62EFF666E3E}">
          <x14:id>{CBC457F7-3DB8-46A0-988B-11CCF8FF31E5}</x14:id>
        </ext>
      </extLst>
    </cfRule>
    <cfRule type="dataBar" priority="80">
      <dataBar>
        <cfvo type="min"/>
        <cfvo type="max"/>
        <color rgb="FF63C384"/>
      </dataBar>
      <extLst>
        <ext xmlns:x14="http://schemas.microsoft.com/office/spreadsheetml/2009/9/main" uri="{B025F937-C7B1-47D3-B67F-A62EFF666E3E}">
          <x14:id>{589E11FE-E342-4D21-9EB3-CB0F15AE87A6}</x14:id>
        </ext>
      </extLst>
    </cfRule>
  </conditionalFormatting>
  <conditionalFormatting sqref="K5:P10">
    <cfRule type="dataBar" priority="34">
      <dataBar>
        <cfvo type="min"/>
        <cfvo type="max"/>
        <color rgb="FF63C384"/>
      </dataBar>
      <extLst>
        <ext xmlns:x14="http://schemas.microsoft.com/office/spreadsheetml/2009/9/main" uri="{B025F937-C7B1-47D3-B67F-A62EFF666E3E}">
          <x14:id>{5832A442-CC22-41FC-AD17-86122538435B}</x14:id>
        </ext>
      </extLst>
    </cfRule>
    <cfRule type="dataBar" priority="33">
      <dataBar>
        <cfvo type="min"/>
        <cfvo type="max"/>
        <color rgb="FF63C384"/>
      </dataBar>
      <extLst>
        <ext xmlns:x14="http://schemas.microsoft.com/office/spreadsheetml/2009/9/main" uri="{B025F937-C7B1-47D3-B67F-A62EFF666E3E}">
          <x14:id>{1642E512-5328-4DB9-81F4-5A67EFFA2D7A}</x14:id>
        </ext>
      </extLst>
    </cfRule>
  </conditionalFormatting>
  <conditionalFormatting sqref="K18:P24">
    <cfRule type="dataBar" priority="31">
      <dataBar>
        <cfvo type="min"/>
        <cfvo type="max"/>
        <color rgb="FF63C384"/>
      </dataBar>
      <extLst>
        <ext xmlns:x14="http://schemas.microsoft.com/office/spreadsheetml/2009/9/main" uri="{B025F937-C7B1-47D3-B67F-A62EFF666E3E}">
          <x14:id>{9095667E-69EE-4811-BEDE-AFA010708C3B}</x14:id>
        </ext>
      </extLst>
    </cfRule>
    <cfRule type="dataBar" priority="29">
      <dataBar>
        <cfvo type="min"/>
        <cfvo type="max"/>
        <color rgb="FF63C384"/>
      </dataBar>
      <extLst>
        <ext xmlns:x14="http://schemas.microsoft.com/office/spreadsheetml/2009/9/main" uri="{B025F937-C7B1-47D3-B67F-A62EFF666E3E}">
          <x14:id>{4CBCF4A4-EFBB-41F0-984E-0C4EF2D8C81C}</x14:id>
        </ext>
      </extLst>
    </cfRule>
    <cfRule type="dataBar" priority="36">
      <dataBar>
        <cfvo type="min"/>
        <cfvo type="max"/>
        <color rgb="FF63C384"/>
      </dataBar>
      <extLst>
        <ext xmlns:x14="http://schemas.microsoft.com/office/spreadsheetml/2009/9/main" uri="{B025F937-C7B1-47D3-B67F-A62EFF666E3E}">
          <x14:id>{00030478-9DDE-4C48-B970-8BFEEA7887D7}</x14:id>
        </ext>
      </extLst>
    </cfRule>
    <cfRule type="dataBar" priority="12">
      <dataBar>
        <cfvo type="min"/>
        <cfvo type="max"/>
        <color rgb="FF63C384"/>
      </dataBar>
      <extLst>
        <ext xmlns:x14="http://schemas.microsoft.com/office/spreadsheetml/2009/9/main" uri="{B025F937-C7B1-47D3-B67F-A62EFF666E3E}">
          <x14:id>{A85696C3-3FD4-4347-BBC8-6CEF041D9BC2}</x14:id>
        </ext>
      </extLst>
    </cfRule>
    <cfRule type="dataBar" priority="81">
      <dataBar>
        <cfvo type="min"/>
        <cfvo type="max"/>
        <color rgb="FF63C384"/>
      </dataBar>
      <extLst>
        <ext xmlns:x14="http://schemas.microsoft.com/office/spreadsheetml/2009/9/main" uri="{B025F937-C7B1-47D3-B67F-A62EFF666E3E}">
          <x14:id>{EC7F1560-4E75-4756-AE37-09B82982D1AB}</x14:id>
        </ext>
      </extLst>
    </cfRule>
  </conditionalFormatting>
  <conditionalFormatting sqref="L5:L12">
    <cfRule type="dataBar" priority="58">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8:L24">
    <cfRule type="dataBar" priority="17">
      <dataBar>
        <cfvo type="min"/>
        <cfvo type="max"/>
        <color rgb="FF63C384"/>
      </dataBar>
      <extLst>
        <ext xmlns:x14="http://schemas.microsoft.com/office/spreadsheetml/2009/9/main" uri="{B025F937-C7B1-47D3-B67F-A62EFF666E3E}">
          <x14:id>{4BEF7755-0998-42F9-BE2B-3DDE71DD6879}</x14:id>
        </ext>
      </extLst>
    </cfRule>
  </conditionalFormatting>
  <conditionalFormatting sqref="M11:M12">
    <cfRule type="dataBar" priority="57">
      <dataBar>
        <cfvo type="min"/>
        <cfvo type="max"/>
        <color rgb="FF63C384"/>
      </dataBar>
      <extLst>
        <ext xmlns:x14="http://schemas.microsoft.com/office/spreadsheetml/2009/9/main" uri="{B025F937-C7B1-47D3-B67F-A62EFF666E3E}">
          <x14:id>{CF921376-951B-44A1-A35C-F489AA25CABD}</x14:id>
        </ext>
      </extLst>
    </cfRule>
  </conditionalFormatting>
  <conditionalFormatting sqref="M20:M24">
    <cfRule type="dataBar" priority="16">
      <dataBar>
        <cfvo type="min"/>
        <cfvo type="max"/>
        <color rgb="FF63C384"/>
      </dataBar>
      <extLst>
        <ext xmlns:x14="http://schemas.microsoft.com/office/spreadsheetml/2009/9/main" uri="{B025F937-C7B1-47D3-B67F-A62EFF666E3E}">
          <x14:id>{56FDBD16-DDEB-4D7A-98AA-9D8D76CB1BBA}</x14:id>
        </ext>
      </extLst>
    </cfRule>
  </conditionalFormatting>
  <conditionalFormatting sqref="M5:P10">
    <cfRule type="dataBar" priority="39">
      <dataBar>
        <cfvo type="min"/>
        <cfvo type="max"/>
        <color rgb="FF63C384"/>
      </dataBar>
      <extLst>
        <ext xmlns:x14="http://schemas.microsoft.com/office/spreadsheetml/2009/9/main" uri="{B025F937-C7B1-47D3-B67F-A62EFF666E3E}">
          <x14:id>{418255D3-2B96-41A9-9582-87939D7FAE81}</x14:id>
        </ext>
      </extLst>
    </cfRule>
  </conditionalFormatting>
  <conditionalFormatting sqref="N11:N12">
    <cfRule type="dataBar" priority="56">
      <dataBar>
        <cfvo type="min"/>
        <cfvo type="max"/>
        <color rgb="FF63C384"/>
      </dataBar>
      <extLst>
        <ext xmlns:x14="http://schemas.microsoft.com/office/spreadsheetml/2009/9/main" uri="{B025F937-C7B1-47D3-B67F-A62EFF666E3E}">
          <x14:id>{13101FF6-2EA7-4030-B4D6-DA0DA1C2F6A6}</x14:id>
        </ext>
      </extLst>
    </cfRule>
  </conditionalFormatting>
  <conditionalFormatting sqref="N18:N24">
    <cfRule type="dataBar" priority="15">
      <dataBar>
        <cfvo type="min"/>
        <cfvo type="max"/>
        <color rgb="FF63C384"/>
      </dataBar>
      <extLst>
        <ext xmlns:x14="http://schemas.microsoft.com/office/spreadsheetml/2009/9/main" uri="{B025F937-C7B1-47D3-B67F-A62EFF666E3E}">
          <x14:id>{E359D2BF-B4C7-4D3A-9103-4CBEE70A31B4}</x14:id>
        </ext>
      </extLst>
    </cfRule>
  </conditionalFormatting>
  <conditionalFormatting sqref="O11:O12">
    <cfRule type="dataBar" priority="55">
      <dataBar>
        <cfvo type="min"/>
        <cfvo type="max"/>
        <color rgb="FF63C384"/>
      </dataBar>
      <extLst>
        <ext xmlns:x14="http://schemas.microsoft.com/office/spreadsheetml/2009/9/main" uri="{B025F937-C7B1-47D3-B67F-A62EFF666E3E}">
          <x14:id>{1F18C40A-A33A-4D0B-B57F-47D9D6CF0D64}</x14:id>
        </ext>
      </extLst>
    </cfRule>
  </conditionalFormatting>
  <conditionalFormatting sqref="O18:O24">
    <cfRule type="dataBar" priority="14">
      <dataBar>
        <cfvo type="min"/>
        <cfvo type="max"/>
        <color rgb="FF63C384"/>
      </dataBar>
      <extLst>
        <ext xmlns:x14="http://schemas.microsoft.com/office/spreadsheetml/2009/9/main" uri="{B025F937-C7B1-47D3-B67F-A62EFF666E3E}">
          <x14:id>{26AC0999-7FF4-4431-B91F-7A7C0E85B670}</x14:id>
        </ext>
      </extLst>
    </cfRule>
  </conditionalFormatting>
  <conditionalFormatting sqref="P11:P12">
    <cfRule type="dataBar" priority="54">
      <dataBar>
        <cfvo type="min"/>
        <cfvo type="max"/>
        <color rgb="FF63C384"/>
      </dataBar>
      <extLst>
        <ext xmlns:x14="http://schemas.microsoft.com/office/spreadsheetml/2009/9/main" uri="{B025F937-C7B1-47D3-B67F-A62EFF666E3E}">
          <x14:id>{BA11135A-0895-4A01-87D0-A486C9D5843C}</x14:id>
        </ext>
      </extLst>
    </cfRule>
  </conditionalFormatting>
  <conditionalFormatting sqref="P18:P24">
    <cfRule type="dataBar" priority="13">
      <dataBar>
        <cfvo type="min"/>
        <cfvo type="max"/>
        <color rgb="FF63C384"/>
      </dataBar>
      <extLst>
        <ext xmlns:x14="http://schemas.microsoft.com/office/spreadsheetml/2009/9/main" uri="{B025F937-C7B1-47D3-B67F-A62EFF666E3E}">
          <x14:id>{00154FAC-2C70-4EF2-A308-BA8404420986}</x14:id>
        </ext>
      </extLst>
    </cfRule>
  </conditionalFormatting>
  <hyperlinks>
    <hyperlink ref="B42:C42" r:id="rId1" display="Statista" xr:uid="{161ED918-DFA1-4ECC-AF95-AA4BEB839983}"/>
    <hyperlink ref="B43:C43" r:id="rId2" display="Globe Newswire" xr:uid="{74EE371E-F306-4EAC-9DBD-7B59D8AF760B}"/>
    <hyperlink ref="B44:C44" r:id="rId3" display="Mordor Intelligence (China)" xr:uid="{DBFC8DE1-3F7F-45E7-8CA1-358244A19055}"/>
    <hyperlink ref="C45" r:id="rId4" xr:uid="{7E099198-EE30-4371-A09E-D6714855BD25}"/>
    <hyperlink ref="B45:C45" r:id="rId5" display="Mordor Intelligence (USA)" xr:uid="{58CDE67E-D4C5-4398-8761-9F59024D83B4}"/>
    <hyperlink ref="B47:C47" r:id="rId6" display="https://www.mordorintelligence.com/industry-reports/luxury-apparels-market" xr:uid="{D5E3B407-342A-4B82-A6DF-9ABB408D0801}"/>
    <hyperlink ref="B46:C46" r:id="rId7" display="Mordor Intelligence (Apparel)" xr:uid="{0AA7D9C2-587D-4D69-9E76-A97D8DF026E1}"/>
  </hyperlinks>
  <pageMargins left="0.75" right="0.75" top="1" bottom="1" header="0" footer="0"/>
  <pageSetup orientation="landscape" r:id="rId8"/>
  <headerFooter alignWithMargins="0"/>
  <drawing r:id="rId9"/>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B5:B12</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B18:B24</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D5:D12</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D18:D24</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D5:I10</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D18:I24</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E5:E12</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E18:E24</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F5:F12</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F18:F24</xm:sqref>
        </x14:conditionalFormatting>
        <x14:conditionalFormatting xmlns:xm="http://schemas.microsoft.com/office/excel/2006/main">
          <x14:cfRule type="dataBar" id="{313AA6DF-AF7B-48A9-B4B1-35E5D82C1592}">
            <x14:dataBar minLength="0" maxLength="100" gradient="0">
              <x14:cfvo type="autoMin"/>
              <x14:cfvo type="autoMax"/>
              <x14:negativeFillColor rgb="FFFF0000"/>
              <x14:axisColor rgb="FF000000"/>
            </x14:dataBar>
          </x14:cfRule>
          <x14:cfRule type="dataBar" id="{A11C8E92-8A99-4FA6-A73C-3018F9FEF094}">
            <x14:dataBar minLength="0" maxLength="100" gradient="0">
              <x14:cfvo type="autoMin"/>
              <x14:cfvo type="autoMax"/>
              <x14:negativeFillColor rgb="FFFF0000"/>
              <x14:axisColor rgb="FF000000"/>
            </x14:dataBar>
          </x14:cfRule>
          <xm:sqref>F19</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G5:G12</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G18:G24</xm:sqref>
        </x14:conditionalFormatting>
        <x14:conditionalFormatting xmlns:xm="http://schemas.microsoft.com/office/excel/2006/main">
          <x14:cfRule type="dataBar" id="{0117FDD8-45C6-4247-B1AC-4C4B0BB55DF6}">
            <x14:dataBar minLength="0" maxLength="100" gradient="0">
              <x14:cfvo type="autoMin"/>
              <x14:cfvo type="autoMax"/>
              <x14:negativeFillColor rgb="FFFF0000"/>
              <x14:axisColor rgb="FF000000"/>
            </x14:dataBar>
          </x14:cfRule>
          <x14:cfRule type="dataBar" id="{BF89EC16-F2DA-48FD-B7FB-87772893DA88}">
            <x14:dataBar minLength="0" maxLength="100" gradient="0">
              <x14:cfvo type="autoMin"/>
              <x14:cfvo type="autoMax"/>
              <x14:negativeFillColor rgb="FFFF0000"/>
              <x14:axisColor rgb="FF000000"/>
            </x14:dataBar>
          </x14:cfRule>
          <xm:sqref>G19</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H5:H12</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H18:H24</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I5:I12</xm:sqref>
        </x14:conditionalFormatting>
        <x14:conditionalFormatting xmlns:xm="http://schemas.microsoft.com/office/excel/2006/main">
          <x14:cfRule type="dataBar" id="{A192D211-7CF8-4DE2-A7D7-7E84CEAE76AC}">
            <x14:dataBar minLength="0" maxLength="100" gradient="0">
              <x14:cfvo type="autoMin"/>
              <x14:cfvo type="autoMax"/>
              <x14:negativeFillColor rgb="FFFF0000"/>
              <x14:axisColor rgb="FF000000"/>
            </x14:dataBar>
          </x14:cfRule>
          <xm:sqref>I18:I24</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K5:K12</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K18:K24</xm:sqref>
        </x14:conditionalFormatting>
        <x14:conditionalFormatting xmlns:xm="http://schemas.microsoft.com/office/excel/2006/main">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CBC457F7-3DB8-46A0-988B-11CCF8FF31E5}">
            <x14:dataBar minLength="0" maxLength="100" gradient="0">
              <x14:cfvo type="autoMin"/>
              <x14:cfvo type="autoMax"/>
              <x14:negativeFillColor rgb="FFFF0000"/>
              <x14:axisColor rgb="FF000000"/>
            </x14:dataBar>
          </x14:cfRule>
          <x14:cfRule type="dataBar" id="{589E11FE-E342-4D21-9EB3-CB0F15AE87A6}">
            <x14:dataBar minLength="0" maxLength="100" gradient="0">
              <x14:cfvo type="autoMin"/>
              <x14:cfvo type="autoMax"/>
              <x14:negativeFillColor rgb="FFFF0000"/>
              <x14:axisColor rgb="FF000000"/>
            </x14:dataBar>
          </x14:cfRule>
          <xm:sqref>K18:O24</xm:sqref>
        </x14:conditionalFormatting>
        <x14:conditionalFormatting xmlns:xm="http://schemas.microsoft.com/office/excel/2006/main">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1642E512-5328-4DB9-81F4-5A67EFFA2D7A}">
            <x14:dataBar minLength="0" maxLength="100" gradient="0">
              <x14:cfvo type="autoMin"/>
              <x14:cfvo type="autoMax"/>
              <x14:negativeFillColor rgb="FFFF0000"/>
              <x14:axisColor rgb="FF000000"/>
            </x14:dataBar>
          </x14:cfRule>
          <xm:sqref>K5:P10</xm:sqref>
        </x14:conditionalFormatting>
        <x14:conditionalFormatting xmlns:xm="http://schemas.microsoft.com/office/excel/2006/main">
          <x14:cfRule type="dataBar" id="{9095667E-69EE-4811-BEDE-AFA010708C3B}">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85696C3-3FD4-4347-BBC8-6CEF041D9BC2}">
            <x14:dataBar minLength="0" maxLength="100" gradient="0">
              <x14:cfvo type="autoMin"/>
              <x14:cfvo type="autoMax"/>
              <x14:negativeFillColor rgb="FFFF0000"/>
              <x14:axisColor rgb="FF000000"/>
            </x14:dataBar>
          </x14:cfRule>
          <x14:cfRule type="dataBar" id="{EC7F1560-4E75-4756-AE37-09B82982D1AB}">
            <x14:dataBar minLength="0" maxLength="100" gradient="0">
              <x14:cfvo type="autoMin"/>
              <x14:cfvo type="autoMax"/>
              <x14:negativeFillColor rgb="FFFF0000"/>
              <x14:axisColor rgb="FF000000"/>
            </x14:dataBar>
          </x14:cfRule>
          <xm:sqref>K18:P24</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L5:L12</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L18:L24</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M20:M24</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M5:P10</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N11:N12</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N18:N24</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O11:O12</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O18:O24</xm:sqref>
        </x14:conditionalFormatting>
        <x14:conditionalFormatting xmlns:xm="http://schemas.microsoft.com/office/excel/2006/main">
          <x14:cfRule type="dataBar" id="{BA11135A-0895-4A01-87D0-A486C9D5843C}">
            <x14:dataBar minLength="0" maxLength="100" gradient="0">
              <x14:cfvo type="autoMin"/>
              <x14:cfvo type="autoMax"/>
              <x14:negativeFillColor rgb="FFFF0000"/>
              <x14:axisColor rgb="FF000000"/>
            </x14:dataBar>
          </x14:cfRule>
          <xm:sqref>P11:P12</xm:sqref>
        </x14:conditionalFormatting>
        <x14:conditionalFormatting xmlns:xm="http://schemas.microsoft.com/office/excel/2006/main">
          <x14:cfRule type="dataBar" id="{00154FAC-2C70-4EF2-A308-BA8404420986}">
            <x14:dataBar minLength="0" maxLength="100" gradient="0">
              <x14:cfvo type="autoMin"/>
              <x14:cfvo type="autoMax"/>
              <x14:negativeFillColor rgb="FFFF0000"/>
              <x14:axisColor rgb="FF000000"/>
            </x14:dataBar>
          </x14:cfRule>
          <xm:sqref>P18:P24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M76"/>
  <sheetViews>
    <sheetView showGridLines="0" tabSelected="1" topLeftCell="B3" zoomScaleNormal="100" workbookViewId="0">
      <selection activeCell="D6" sqref="D6:H6"/>
    </sheetView>
  </sheetViews>
  <sheetFormatPr defaultColWidth="11.42578125" defaultRowHeight="13.15"/>
  <cols>
    <col min="1" max="1" width="0.42578125" customWidth="1"/>
    <col min="2" max="2" width="31.7109375" bestFit="1" customWidth="1"/>
    <col min="3" max="4" width="32.140625" customWidth="1"/>
    <col min="5" max="5" width="33.42578125" customWidth="1"/>
    <col min="6" max="6" width="33.85546875" customWidth="1"/>
    <col min="7" max="7" width="32.140625" customWidth="1"/>
    <col min="8" max="8" width="33.140625" customWidth="1"/>
    <col min="9" max="9" width="15.42578125" customWidth="1"/>
    <col min="10" max="10" width="10.7109375" customWidth="1"/>
  </cols>
  <sheetData>
    <row r="1" spans="2:13" ht="13.9">
      <c r="B1" s="194" t="s">
        <v>163</v>
      </c>
      <c r="C1" s="195" t="s">
        <v>164</v>
      </c>
      <c r="D1" s="988" t="s">
        <v>131</v>
      </c>
      <c r="E1" s="988"/>
      <c r="F1" s="988"/>
      <c r="G1" s="988"/>
      <c r="H1" s="988"/>
    </row>
    <row r="2" spans="2:13" ht="81.75" customHeight="1">
      <c r="B2" s="196"/>
      <c r="C2" s="404" t="e" vm="2">
        <v>#VALUE!</v>
      </c>
      <c r="D2" s="983" t="s">
        <v>165</v>
      </c>
      <c r="E2" s="986"/>
      <c r="F2" s="986"/>
      <c r="G2" s="986"/>
      <c r="H2" s="987"/>
    </row>
    <row r="3" spans="2:13" ht="81.75" customHeight="1">
      <c r="B3" s="196"/>
      <c r="C3" s="405" t="e" vm="3">
        <v>#VALUE!</v>
      </c>
      <c r="D3" s="983" t="str" cm="1">
        <f t="array" aca="1" ref="D3" ca="1">_FV(C3,"Description")</f>
        <v>Kering SA is a France-based company that mainly active in fashion group on luxurious branded products. The Group manages the development of a series of renowned Houses in Fashion, Leather Goods and Jewelry: Gucci, Saint Laurent, Bottega Veneta, Balenciaga, Alexander McQueen, Brioni, Boucheron, Pomellato, DoDo, Ginori 1735, as well as Kering Eyewear and Kering Beaute. It manufactures and sell, mostly through managed retail stores, an array of products, including leather goods, apparel, accessories, footwear, jewelry among others, for man, woman, and children. The Group is actively working in globally.</v>
      </c>
      <c r="E3" s="986"/>
      <c r="F3" s="986"/>
      <c r="G3" s="986"/>
      <c r="H3" s="987"/>
    </row>
    <row r="4" spans="2:13" ht="81.75" customHeight="1">
      <c r="B4" s="196"/>
      <c r="C4" s="406" t="e" vm="5">
        <v>#VALUE!</v>
      </c>
      <c r="D4" s="983" t="s">
        <v>166</v>
      </c>
      <c r="E4" s="986"/>
      <c r="F4" s="986"/>
      <c r="G4" s="986"/>
      <c r="H4" s="987"/>
    </row>
    <row r="5" spans="2:13" ht="81.75" customHeight="1">
      <c r="B5" s="196"/>
      <c r="C5" s="407" t="e" vm="4">
        <v>#VALUE!</v>
      </c>
      <c r="D5" s="983" t="s">
        <v>167</v>
      </c>
      <c r="E5" s="986"/>
      <c r="F5" s="986"/>
      <c r="G5" s="986"/>
      <c r="H5" s="987"/>
    </row>
    <row r="6" spans="2:13" ht="81.75" customHeight="1">
      <c r="B6" s="196"/>
      <c r="C6" s="408"/>
      <c r="D6" s="983"/>
      <c r="E6" s="984"/>
      <c r="F6" s="984"/>
      <c r="G6" s="984"/>
      <c r="H6" s="985"/>
      <c r="L6" s="2"/>
    </row>
    <row r="7" spans="2:13">
      <c r="B7" s="11"/>
    </row>
    <row r="8" spans="2:13" ht="53.25" customHeight="1">
      <c r="B8" s="193" t="s">
        <v>168</v>
      </c>
      <c r="C8" s="400" t="e" vm="1">
        <f>OP!E2</f>
        <v>#VALUE!</v>
      </c>
      <c r="D8" s="748" t="e" vm="2">
        <f>C2</f>
        <v>#VALUE!</v>
      </c>
      <c r="E8" s="401" t="e" vm="3">
        <f>C3</f>
        <v>#VALUE!</v>
      </c>
      <c r="F8" s="402" t="e" vm="5">
        <f>C4</f>
        <v>#VALUE!</v>
      </c>
      <c r="G8" s="716" t="e" vm="4">
        <f>C5</f>
        <v>#VALUE!</v>
      </c>
      <c r="H8" s="189" t="s">
        <v>169</v>
      </c>
      <c r="I8" s="678" t="s">
        <v>170</v>
      </c>
    </row>
    <row r="9" spans="2:13" ht="16.5" customHeight="1">
      <c r="B9" s="187" t="s">
        <v>171</v>
      </c>
      <c r="C9" s="177"/>
      <c r="D9" s="178"/>
      <c r="E9" s="178"/>
      <c r="F9" s="178"/>
      <c r="G9" s="178"/>
      <c r="H9" s="179" t="str">
        <f t="shared" ref="H9:H22" si="0">IFERROR(AVERAGE(C9:G9),"")</f>
        <v/>
      </c>
      <c r="I9" s="655"/>
      <c r="K9" s="992" t="s">
        <v>172</v>
      </c>
      <c r="L9" s="993"/>
      <c r="M9" s="994"/>
    </row>
    <row r="10" spans="2:13" ht="13.5" customHeight="1">
      <c r="B10" s="186" t="s">
        <v>173</v>
      </c>
      <c r="C10" s="175" cm="1">
        <f t="array" aca="1" ref="C10" ca="1">_FV(C8,"Market cap",TRUE)/1000000</f>
        <v>225074</v>
      </c>
      <c r="D10" s="751">
        <v>349250</v>
      </c>
      <c r="E10" s="751">
        <v>48162</v>
      </c>
      <c r="F10" s="751">
        <v>12817</v>
      </c>
      <c r="G10" s="751">
        <v>7441</v>
      </c>
      <c r="H10" s="771">
        <f t="shared" ca="1" si="0"/>
        <v>128548.8</v>
      </c>
      <c r="I10" s="773">
        <f ca="1">SQRT((C10-H10)^2)</f>
        <v>96525.2</v>
      </c>
      <c r="K10" s="995"/>
      <c r="L10" s="990" t="s">
        <v>174</v>
      </c>
      <c r="M10" s="991"/>
    </row>
    <row r="11" spans="2:13">
      <c r="B11" s="567" t="s">
        <v>175</v>
      </c>
      <c r="C11" s="568">
        <f>C56</f>
        <v>11602</v>
      </c>
      <c r="D11" s="750">
        <f>D56</f>
        <v>79184</v>
      </c>
      <c r="E11" s="750">
        <f t="shared" ref="E11:G11" si="1">E56</f>
        <v>20351</v>
      </c>
      <c r="F11" s="750">
        <f>F56</f>
        <v>4200</v>
      </c>
      <c r="G11" s="750">
        <f t="shared" si="1"/>
        <v>3518</v>
      </c>
      <c r="H11" s="772">
        <f t="shared" si="0"/>
        <v>23771</v>
      </c>
      <c r="I11" s="774">
        <f>SQRT((C11-H11)^2)</f>
        <v>12169</v>
      </c>
      <c r="K11" s="995"/>
      <c r="L11" s="990"/>
      <c r="M11" s="991"/>
    </row>
    <row r="12" spans="2:13" ht="16.5" customHeight="1">
      <c r="B12" s="187" t="s">
        <v>176</v>
      </c>
      <c r="C12" s="192"/>
      <c r="D12" s="192"/>
      <c r="E12" s="192"/>
      <c r="F12" s="192"/>
      <c r="G12" s="192"/>
      <c r="H12" s="600" t="str">
        <f t="shared" si="0"/>
        <v/>
      </c>
      <c r="I12" s="656"/>
      <c r="K12" s="989"/>
      <c r="L12" s="990" t="s">
        <v>177</v>
      </c>
      <c r="M12" s="991"/>
    </row>
    <row r="13" spans="2:13">
      <c r="B13" s="186" t="s">
        <v>178</v>
      </c>
      <c r="C13" s="579">
        <f>C56/C55-1</f>
        <v>0.2916945001113338</v>
      </c>
      <c r="D13" s="579">
        <f t="shared" ref="D13:G13" si="2">D56/D55-1</f>
        <v>0.23310752939344392</v>
      </c>
      <c r="E13" s="579">
        <f t="shared" si="2"/>
        <v>0.15335789175403791</v>
      </c>
      <c r="F13" s="579">
        <f t="shared" si="2"/>
        <v>0.24777183600713015</v>
      </c>
      <c r="G13" s="579">
        <f t="shared" si="2"/>
        <v>5.329341317365266E-2</v>
      </c>
      <c r="H13" s="601">
        <f t="shared" si="0"/>
        <v>0.1958450340879197</v>
      </c>
      <c r="I13" s="657">
        <f t="shared" ref="I13:I18" si="3">SQRT((C13-H13)^2)</f>
        <v>9.5849466023414098E-2</v>
      </c>
      <c r="K13" s="989"/>
      <c r="L13" s="990"/>
      <c r="M13" s="991"/>
    </row>
    <row r="14" spans="2:13">
      <c r="B14" s="569" t="s">
        <v>179</v>
      </c>
      <c r="C14" s="570">
        <f>C56/C54-1</f>
        <v>0.6856022083393869</v>
      </c>
      <c r="D14" s="570">
        <f t="shared" ref="D14:G14" si="4">D56/D54-1</f>
        <v>0.47538662194894732</v>
      </c>
      <c r="E14" s="570">
        <f t="shared" si="4"/>
        <v>0.28122639133719463</v>
      </c>
      <c r="F14" s="570">
        <f t="shared" si="4"/>
        <v>0.30192188468691872</v>
      </c>
      <c r="G14" s="570">
        <f t="shared" si="4"/>
        <v>0.18451178451178452</v>
      </c>
      <c r="H14" s="602">
        <f t="shared" si="0"/>
        <v>0.38572977816484644</v>
      </c>
      <c r="I14" s="658">
        <f t="shared" si="3"/>
        <v>0.29987243017454046</v>
      </c>
      <c r="K14" s="996"/>
      <c r="L14" s="990" t="s">
        <v>180</v>
      </c>
      <c r="M14" s="991"/>
    </row>
    <row r="15" spans="2:13">
      <c r="B15" s="580" t="s">
        <v>83</v>
      </c>
      <c r="C15" s="581">
        <f>C59/C56</f>
        <v>0.40484399241510083</v>
      </c>
      <c r="D15" s="581">
        <f>D59/D56</f>
        <v>0.265217720751667</v>
      </c>
      <c r="E15" s="581">
        <f t="shared" ref="E15:G15" si="5">E59/E56</f>
        <v>0.26509753820451082</v>
      </c>
      <c r="F15" s="581">
        <f t="shared" si="5"/>
        <v>0.18476190476190477</v>
      </c>
      <c r="G15" s="581">
        <f t="shared" si="5"/>
        <v>0.21233655486071631</v>
      </c>
      <c r="H15" s="602">
        <f t="shared" si="0"/>
        <v>0.26645154219877998</v>
      </c>
      <c r="I15" s="659">
        <f t="shared" si="3"/>
        <v>0.13839245021632085</v>
      </c>
      <c r="K15" s="997"/>
      <c r="L15" s="998"/>
      <c r="M15" s="999"/>
    </row>
    <row r="16" spans="2:13">
      <c r="B16" s="569" t="s">
        <v>181</v>
      </c>
      <c r="C16" s="570">
        <f>C62/C56</f>
        <v>0.29020858472677125</v>
      </c>
      <c r="D16" s="570">
        <f t="shared" ref="D16:G16" si="6">D62/D56</f>
        <v>0.17786421499292787</v>
      </c>
      <c r="E16" s="570">
        <f t="shared" si="6"/>
        <v>0.18269372512407253</v>
      </c>
      <c r="F16" s="570">
        <f>F62/F56</f>
        <v>0.11071428571428571</v>
      </c>
      <c r="G16" s="570">
        <f t="shared" si="6"/>
        <v>0.15832859579306424</v>
      </c>
      <c r="H16" s="602">
        <f t="shared" si="0"/>
        <v>0.18396188127022431</v>
      </c>
      <c r="I16" s="658">
        <f t="shared" si="3"/>
        <v>0.10624670345654694</v>
      </c>
    </row>
    <row r="17" spans="1:9">
      <c r="B17" s="580" t="s">
        <v>182</v>
      </c>
      <c r="C17" s="581">
        <f>C62/C74</f>
        <v>0.27098591549295775</v>
      </c>
      <c r="D17" s="581">
        <f t="shared" ref="D17:G17" si="7">D62/D74</f>
        <v>0.24881633806798106</v>
      </c>
      <c r="E17" s="581">
        <f t="shared" si="7"/>
        <v>0.2515051072177501</v>
      </c>
      <c r="F17" s="581">
        <f>F62/F74</f>
        <v>0.13281919451585261</v>
      </c>
      <c r="G17" s="581">
        <f t="shared" si="7"/>
        <v>0.31828571428571428</v>
      </c>
      <c r="H17" s="602">
        <f t="shared" si="0"/>
        <v>0.24448245391605114</v>
      </c>
      <c r="I17" s="659">
        <f t="shared" si="3"/>
        <v>2.6503461576906612E-2</v>
      </c>
    </row>
    <row r="18" spans="1:9">
      <c r="B18" s="567" t="s">
        <v>183</v>
      </c>
      <c r="C18" s="571">
        <f>(C62+C61)/(C73+C74)</f>
        <v>0.27018135130797627</v>
      </c>
      <c r="D18" s="572">
        <f>(D62+D61)/(D73+D74)</f>
        <v>0.21194319407962856</v>
      </c>
      <c r="E18" s="572">
        <f t="shared" ref="E18:G18" si="8">(E62+E61)/(E73+E74)</f>
        <v>0.19779796735448105</v>
      </c>
      <c r="F18" s="572">
        <f>(F62+F61)/(F73+F74)</f>
        <v>0.11469824789097988</v>
      </c>
      <c r="G18" s="572">
        <f t="shared" si="8"/>
        <v>0.20872093023255814</v>
      </c>
      <c r="H18" s="603">
        <f t="shared" si="0"/>
        <v>0.20066833817312477</v>
      </c>
      <c r="I18" s="660">
        <f t="shared" si="3"/>
        <v>6.9513013134851503E-2</v>
      </c>
    </row>
    <row r="19" spans="1:9" ht="15.6">
      <c r="B19" s="187" t="s">
        <v>184</v>
      </c>
      <c r="C19" s="192"/>
      <c r="D19" s="192"/>
      <c r="E19" s="192"/>
      <c r="F19" s="192"/>
      <c r="G19" s="192"/>
      <c r="H19" s="604" t="str">
        <f t="shared" si="0"/>
        <v/>
      </c>
      <c r="I19" s="656"/>
    </row>
    <row r="20" spans="1:9">
      <c r="B20" s="186" t="s">
        <v>49</v>
      </c>
      <c r="C20" s="582">
        <f>C73/C70</f>
        <v>2.1192508161979495E-3</v>
      </c>
      <c r="D20" s="582">
        <f>D73/D70</f>
        <v>0.26103263372101659</v>
      </c>
      <c r="E20" s="582">
        <f>E73/E70</f>
        <v>0.32977814442709408</v>
      </c>
      <c r="F20" s="582">
        <f t="shared" ref="F20:G20" si="9">F73/F70</f>
        <v>0.36093792355651938</v>
      </c>
      <c r="G20" s="582">
        <f t="shared" si="9"/>
        <v>0.40324504891434026</v>
      </c>
      <c r="H20" s="605">
        <f t="shared" si="0"/>
        <v>0.27142260028703363</v>
      </c>
      <c r="I20" s="661">
        <f>SQRT((C20-H20)^2)</f>
        <v>0.26930334947083567</v>
      </c>
    </row>
    <row r="21" spans="1:9">
      <c r="B21" s="569" t="s">
        <v>185</v>
      </c>
      <c r="C21" s="573" t="e">
        <f>(C73-C65)/C58</f>
        <v>#VALUE!</v>
      </c>
      <c r="D21" s="574">
        <f t="shared" ref="D21:G21" si="10">(D73-D65)/D58</f>
        <v>1.0264343646740763</v>
      </c>
      <c r="E21" s="574">
        <f t="shared" si="10"/>
        <v>0.94514128187456925</v>
      </c>
      <c r="F21" s="574">
        <f t="shared" si="10"/>
        <v>1.0924895688456189</v>
      </c>
      <c r="G21" s="574">
        <f t="shared" si="10"/>
        <v>0.46924428822495606</v>
      </c>
      <c r="H21" s="605" t="str">
        <f t="shared" si="0"/>
        <v/>
      </c>
      <c r="I21" s="662" t="e">
        <f>SQRT((C21-H21)^2)</f>
        <v>#VALUE!</v>
      </c>
    </row>
    <row r="22" spans="1:9">
      <c r="B22" s="583" t="s">
        <v>186</v>
      </c>
      <c r="C22" s="597" t="e">
        <f t="shared" ref="C22:G22" si="11">-C58/C60</f>
        <v>#DIV/0!</v>
      </c>
      <c r="D22" s="597">
        <f>-D58/D60</f>
        <v>-29.990990990990991</v>
      </c>
      <c r="E22" s="597">
        <f>-E58/E60</f>
        <v>-27.903846153846153</v>
      </c>
      <c r="F22" s="597">
        <f t="shared" si="11"/>
        <v>-22.123076923076923</v>
      </c>
      <c r="G22" s="597">
        <f t="shared" si="11"/>
        <v>-43.769230769230766</v>
      </c>
      <c r="H22" s="606" t="str">
        <f t="shared" si="0"/>
        <v/>
      </c>
      <c r="I22" s="663" t="e">
        <f>SQRT((C22-H22)^2)</f>
        <v>#DIV/0!</v>
      </c>
    </row>
    <row r="23" spans="1:9" ht="15.6">
      <c r="B23" s="187" t="s">
        <v>187</v>
      </c>
      <c r="C23" s="192"/>
      <c r="D23" s="192"/>
      <c r="E23" s="192"/>
      <c r="F23" s="192"/>
      <c r="G23" s="192"/>
      <c r="H23" s="607"/>
      <c r="I23" s="656"/>
    </row>
    <row r="24" spans="1:9">
      <c r="B24" s="575" t="s">
        <v>188</v>
      </c>
      <c r="C24" s="576">
        <f>C68/C72</f>
        <v>3.937416777629827</v>
      </c>
      <c r="D24" s="576">
        <f t="shared" ref="D24:G24" si="12">D68/D72</f>
        <v>1.259867482484228</v>
      </c>
      <c r="E24" s="576">
        <f t="shared" si="12"/>
        <v>1.371032212555843</v>
      </c>
      <c r="F24" s="576">
        <f t="shared" si="12"/>
        <v>1.6275167785234899</v>
      </c>
      <c r="G24" s="576">
        <f t="shared" si="12"/>
        <v>2.2460233297985153</v>
      </c>
      <c r="H24" s="608">
        <f t="shared" ref="H24:H41" si="13">IFERROR(AVERAGE(C24:G24),"")</f>
        <v>2.0883713161983803</v>
      </c>
      <c r="I24" s="664">
        <f>SQRT((C24-H24)^2)</f>
        <v>1.8490454614314467</v>
      </c>
    </row>
    <row r="25" spans="1:9">
      <c r="B25" s="583" t="s">
        <v>189</v>
      </c>
      <c r="C25" s="584" t="e">
        <f>(C65+C66)/C72</f>
        <v>#VALUE!</v>
      </c>
      <c r="D25" s="584">
        <f t="shared" ref="D25:G25" si="14">(D65+D66)/D72</f>
        <v>0.38262054972577114</v>
      </c>
      <c r="E25" s="584">
        <f t="shared" si="14"/>
        <v>0.6484834234657888</v>
      </c>
      <c r="F25" s="584">
        <f t="shared" si="14"/>
        <v>0.9557046979865772</v>
      </c>
      <c r="G25" s="584">
        <f t="shared" si="14"/>
        <v>1.5959703075291622</v>
      </c>
      <c r="H25" s="606" t="str">
        <f t="shared" si="13"/>
        <v/>
      </c>
      <c r="I25" s="665" t="e">
        <f>SQRT((C25-H25)^2)</f>
        <v>#VALUE!</v>
      </c>
    </row>
    <row r="26" spans="1:9" ht="15.6">
      <c r="B26" s="187" t="s">
        <v>190</v>
      </c>
      <c r="C26" s="192"/>
      <c r="D26" s="192"/>
      <c r="E26" s="192"/>
      <c r="F26" s="192"/>
      <c r="G26" s="192"/>
      <c r="H26" s="607" t="str">
        <f t="shared" si="13"/>
        <v/>
      </c>
      <c r="I26" s="656"/>
    </row>
    <row r="27" spans="1:9">
      <c r="B27" s="575" t="s">
        <v>191</v>
      </c>
      <c r="C27" s="585">
        <f>C57/C67</f>
        <v>1.9050028105677346</v>
      </c>
      <c r="D27" s="576">
        <f>D57/D67</f>
        <v>1.2297849303607462</v>
      </c>
      <c r="E27" s="576">
        <f t="shared" ref="E27" si="15">E57/E67</f>
        <v>1.1540873460246361</v>
      </c>
      <c r="F27" s="576">
        <f>F57/F67</f>
        <v>1.1697368421052632</v>
      </c>
      <c r="G27" s="576">
        <f>G57/G67</f>
        <v>2.0413385826771653</v>
      </c>
      <c r="H27" s="608">
        <f t="shared" si="13"/>
        <v>1.4999901023471089</v>
      </c>
      <c r="I27" s="664">
        <f>SQRT((C27-H27)^2)</f>
        <v>0.40501270822062563</v>
      </c>
    </row>
    <row r="28" spans="1:9">
      <c r="B28" s="580" t="s">
        <v>192</v>
      </c>
      <c r="C28" s="584">
        <f>C56/C66</f>
        <v>30.29242819843342</v>
      </c>
      <c r="D28" s="584">
        <f t="shared" ref="D28:F28" si="16">D56/D66</f>
        <v>18.596524189760451</v>
      </c>
      <c r="E28" s="584">
        <f>E56/E66</f>
        <v>17.246610169491525</v>
      </c>
      <c r="F28" s="584">
        <f t="shared" si="16"/>
        <v>12.650602409638553</v>
      </c>
      <c r="G28" s="584">
        <f>G56/G66</f>
        <v>10.080229226361032</v>
      </c>
      <c r="H28" s="605">
        <f t="shared" si="13"/>
        <v>17.773278838736996</v>
      </c>
      <c r="I28" s="665">
        <f>SQRT((C28-H28)^2)</f>
        <v>12.519149359696424</v>
      </c>
    </row>
    <row r="29" spans="1:9">
      <c r="A29" s="11" t="s">
        <v>193</v>
      </c>
      <c r="B29" s="569" t="s">
        <v>194</v>
      </c>
      <c r="C29" s="577">
        <f>C57/C71</f>
        <v>5.1426403641881642</v>
      </c>
      <c r="D29" s="574">
        <f t="shared" ref="D29:G29" si="17">D57/D71</f>
        <v>2.8434228493400089</v>
      </c>
      <c r="E29" s="574">
        <f t="shared" si="17"/>
        <v>2.2770658418029166</v>
      </c>
      <c r="F29" s="574">
        <f t="shared" si="17"/>
        <v>2.2114427860696519</v>
      </c>
      <c r="G29" s="574">
        <f t="shared" si="17"/>
        <v>1.9132841328413284</v>
      </c>
      <c r="H29" s="605">
        <f t="shared" si="13"/>
        <v>2.8775711948484135</v>
      </c>
      <c r="I29" s="662">
        <f>SQRT((C29-H29)^2)</f>
        <v>2.2650691693397507</v>
      </c>
    </row>
    <row r="30" spans="1:9">
      <c r="B30" s="580" t="s">
        <v>195</v>
      </c>
      <c r="C30" s="584">
        <f>C56/C69</f>
        <v>1.6856022083393869</v>
      </c>
      <c r="D30" s="584">
        <f>D56/D69</f>
        <v>3.4345695076989808</v>
      </c>
      <c r="E30" s="584">
        <f t="shared" ref="E30:G30" si="18">E56/E69</f>
        <v>6.0067886658795748</v>
      </c>
      <c r="F30" s="584">
        <f t="shared" si="18"/>
        <v>2.6632847178186432</v>
      </c>
      <c r="G30" s="584">
        <f t="shared" si="18"/>
        <v>8.2196261682242984</v>
      </c>
      <c r="H30" s="605">
        <f t="shared" si="13"/>
        <v>4.4019742535921766</v>
      </c>
      <c r="I30" s="665">
        <f>SQRT((C30-H30)^2)</f>
        <v>2.7163720452527897</v>
      </c>
    </row>
    <row r="31" spans="1:9">
      <c r="B31" s="567" t="s">
        <v>196</v>
      </c>
      <c r="C31" s="586">
        <f>C56/C70</f>
        <v>0.66452832350077329</v>
      </c>
      <c r="D31" s="586">
        <f t="shared" ref="D31:G31" si="19">D56/D70</f>
        <v>0.5880902514742361</v>
      </c>
      <c r="E31" s="586">
        <f>E56/E70</f>
        <v>0.59959930467576084</v>
      </c>
      <c r="F31" s="586">
        <f t="shared" si="19"/>
        <v>0.56925996204933582</v>
      </c>
      <c r="G31" s="586">
        <f t="shared" si="19"/>
        <v>0.83941780004772126</v>
      </c>
      <c r="H31" s="605">
        <f t="shared" si="13"/>
        <v>0.65217912834956537</v>
      </c>
      <c r="I31" s="666">
        <f>SQRT((C31-H31)^2)</f>
        <v>1.2349195151207915E-2</v>
      </c>
    </row>
    <row r="32" spans="1:9" ht="15.6">
      <c r="B32" s="188" t="s">
        <v>197</v>
      </c>
      <c r="C32" s="192"/>
      <c r="D32" s="192"/>
      <c r="E32" s="192"/>
      <c r="F32" s="192"/>
      <c r="G32" s="192"/>
      <c r="H32" s="609" t="str">
        <f t="shared" si="13"/>
        <v/>
      </c>
      <c r="I32" s="656"/>
    </row>
    <row r="33" spans="2:10">
      <c r="B33" s="186" t="s">
        <v>198</v>
      </c>
      <c r="C33" s="595">
        <f ca="1">C10/C62</f>
        <v>66.847044847044842</v>
      </c>
      <c r="D33" s="596">
        <f>D10/D62</f>
        <v>24.797642715137744</v>
      </c>
      <c r="E33" s="596">
        <f t="shared" ref="E33:G33" si="20">E10/E62</f>
        <v>12.953738569123184</v>
      </c>
      <c r="F33" s="596">
        <f t="shared" si="20"/>
        <v>27.563440860215053</v>
      </c>
      <c r="G33" s="596">
        <f t="shared" si="20"/>
        <v>13.359066427289049</v>
      </c>
      <c r="H33" s="608">
        <f t="shared" ca="1" si="13"/>
        <v>29.10418668376197</v>
      </c>
      <c r="I33" s="667">
        <f ca="1">SQRT((C33-H33)^2)</f>
        <v>37.742858163282875</v>
      </c>
    </row>
    <row r="34" spans="2:10">
      <c r="B34" s="569" t="s">
        <v>193</v>
      </c>
      <c r="C34" s="578">
        <f ca="1">C10/C56</f>
        <v>19.399586278227893</v>
      </c>
      <c r="D34" s="578">
        <f>D10/D56</f>
        <v>4.4106132552030717</v>
      </c>
      <c r="E34" s="578">
        <f t="shared" ref="E34:G34" si="21">E10/E56</f>
        <v>2.3665667534764876</v>
      </c>
      <c r="F34" s="578">
        <f t="shared" si="21"/>
        <v>3.0516666666666667</v>
      </c>
      <c r="G34" s="578">
        <f t="shared" si="21"/>
        <v>2.1151222285389424</v>
      </c>
      <c r="H34" s="605">
        <f t="shared" ca="1" si="13"/>
        <v>6.2687110364226122</v>
      </c>
      <c r="I34" s="668">
        <f ca="1">SQRT((C34-H34)^2)</f>
        <v>13.130875241805281</v>
      </c>
    </row>
    <row r="35" spans="2:10">
      <c r="B35" s="580" t="s">
        <v>199</v>
      </c>
      <c r="C35" s="598">
        <f ca="1">C10/C74</f>
        <v>18.114607645875253</v>
      </c>
      <c r="D35" s="598">
        <f t="shared" ref="D35:G35" si="22">D10/D74</f>
        <v>6.1700586530987209</v>
      </c>
      <c r="E35" s="598">
        <f t="shared" si="22"/>
        <v>3.2579314076980315</v>
      </c>
      <c r="F35" s="598">
        <f t="shared" si="22"/>
        <v>3.660954013139103</v>
      </c>
      <c r="G35" s="598">
        <f t="shared" si="22"/>
        <v>4.2519999999999998</v>
      </c>
      <c r="H35" s="605">
        <f t="shared" ca="1" si="13"/>
        <v>7.0911103439622227</v>
      </c>
      <c r="I35" s="669">
        <f ca="1">SQRT((C35-H35)^2)</f>
        <v>11.02349730191303</v>
      </c>
    </row>
    <row r="36" spans="2:10">
      <c r="B36" s="569" t="s">
        <v>200</v>
      </c>
      <c r="C36" s="578" t="e">
        <f ca="1">(C73+C10-C65)/C56</f>
        <v>#VALUE!</v>
      </c>
      <c r="D36" s="578">
        <f>(D73+D10-D65)/D56</f>
        <v>4.7558345120226306</v>
      </c>
      <c r="E36" s="578">
        <f t="shared" ref="E36:G36" si="23">(E73+E10-E65)/E56</f>
        <v>2.7035035133408676</v>
      </c>
      <c r="F36" s="578">
        <f t="shared" si="23"/>
        <v>3.4257142857142857</v>
      </c>
      <c r="G36" s="578">
        <f t="shared" si="23"/>
        <v>2.2669130187606594</v>
      </c>
      <c r="H36" s="605" t="str">
        <f t="shared" ca="1" si="13"/>
        <v/>
      </c>
      <c r="I36" s="668" t="e">
        <f ca="1">SQRT((C36-H36)^2)</f>
        <v>#VALUE!</v>
      </c>
    </row>
    <row r="37" spans="2:10">
      <c r="B37" s="583" t="s">
        <v>201</v>
      </c>
      <c r="C37" s="594" t="e">
        <f ca="1">(C73+C10-C65)/C58</f>
        <v>#VALUE!</v>
      </c>
      <c r="D37" s="594">
        <f>(D73+D10-D65)/D58</f>
        <v>14.140357464704115</v>
      </c>
      <c r="E37" s="594">
        <f>(E73+E10-E65)/E58</f>
        <v>7.5835975189524465</v>
      </c>
      <c r="F37" s="594">
        <f t="shared" ref="F37:G37" si="24">(F73+F10-F65)/F58</f>
        <v>10.005563282336579</v>
      </c>
      <c r="G37" s="594">
        <f t="shared" si="24"/>
        <v>7.007908611599297</v>
      </c>
      <c r="H37" s="606" t="str">
        <f t="shared" ca="1" si="13"/>
        <v/>
      </c>
      <c r="I37" s="670" t="e">
        <f ca="1">SQRT((C37-H37)^2)</f>
        <v>#VALUE!</v>
      </c>
    </row>
    <row r="38" spans="2:10" ht="15.6">
      <c r="B38" s="188" t="s">
        <v>202</v>
      </c>
      <c r="C38" s="192"/>
      <c r="D38" s="192"/>
      <c r="E38" s="192"/>
      <c r="F38" s="192"/>
      <c r="G38" s="192"/>
      <c r="H38" s="610" t="str">
        <f t="shared" si="13"/>
        <v/>
      </c>
      <c r="I38" s="656"/>
    </row>
    <row r="39" spans="2:10">
      <c r="B39" s="186" t="s">
        <v>29</v>
      </c>
      <c r="C39" s="599" t="str">
        <f>OP!L12</f>
        <v>32,27%</v>
      </c>
      <c r="D39" s="599">
        <v>0.51400000000000001</v>
      </c>
      <c r="E39" s="599">
        <v>0.56899999999999995</v>
      </c>
      <c r="F39" s="599">
        <v>0.19600000000000001</v>
      </c>
      <c r="G39" s="599">
        <v>0.873</v>
      </c>
      <c r="H39" s="601">
        <f t="shared" si="13"/>
        <v>0.53800000000000003</v>
      </c>
      <c r="I39" s="671" t="e">
        <f>SQRT((C39-H39)^2)</f>
        <v>#VALUE!</v>
      </c>
    </row>
    <row r="40" spans="2:10">
      <c r="B40" s="587" t="s">
        <v>203</v>
      </c>
      <c r="C40" s="588">
        <f>OP!L14</f>
        <v>0</v>
      </c>
      <c r="D40" s="588">
        <v>1.03</v>
      </c>
      <c r="E40" s="588">
        <v>1.17</v>
      </c>
      <c r="F40" s="588">
        <v>1.26</v>
      </c>
      <c r="G40" s="588">
        <v>1.28</v>
      </c>
      <c r="H40" s="611">
        <f t="shared" si="13"/>
        <v>0.94800000000000006</v>
      </c>
      <c r="I40" s="672">
        <f>SQRT((C40-H40)^2)</f>
        <v>0.94800000000000006</v>
      </c>
    </row>
    <row r="41" spans="2:10">
      <c r="B41" s="583" t="s">
        <v>204</v>
      </c>
      <c r="C41" s="592" t="e">
        <f ca="1">OP!L24</f>
        <v>#VALUE!</v>
      </c>
      <c r="D41" s="593">
        <v>1.5699999999999999E-2</v>
      </c>
      <c r="E41" s="593">
        <v>3.5000000000000003E-2</v>
      </c>
      <c r="F41" s="593">
        <v>2.18E-2</v>
      </c>
      <c r="G41" s="593">
        <v>4.2799999999999998E-2</v>
      </c>
      <c r="H41" s="602" t="str">
        <f t="shared" ca="1" si="13"/>
        <v/>
      </c>
      <c r="I41" s="673" t="e">
        <f ca="1">SQRT((C41-H41)^2)</f>
        <v>#VALUE!</v>
      </c>
    </row>
    <row r="42" spans="2:10" ht="15.6">
      <c r="B42" s="188" t="s">
        <v>205</v>
      </c>
      <c r="C42" s="192"/>
      <c r="D42" s="192"/>
      <c r="E42" s="192"/>
      <c r="F42" s="192"/>
      <c r="G42" s="192"/>
      <c r="H42" s="612"/>
      <c r="I42" s="656"/>
    </row>
    <row r="43" spans="2:10">
      <c r="B43" s="190" t="s">
        <v>206</v>
      </c>
      <c r="C43" s="721"/>
      <c r="D43" s="721">
        <v>-2.1000000000000001E-2</v>
      </c>
      <c r="E43" s="721">
        <v>-0.26619999999999999</v>
      </c>
      <c r="F43" s="721">
        <v>-1.7000000000000001E-2</v>
      </c>
      <c r="G43" s="721">
        <v>-0.29749999999999999</v>
      </c>
      <c r="H43" s="601">
        <f t="shared" ref="H43:H50" si="25">IFERROR(AVERAGE(C43:G43),"")</f>
        <v>-0.150425</v>
      </c>
      <c r="I43" s="649">
        <f>SQRT((C43-H43)^2)</f>
        <v>0.150425</v>
      </c>
    </row>
    <row r="44" spans="2:10">
      <c r="B44" s="569" t="s">
        <v>207</v>
      </c>
      <c r="C44" s="722"/>
      <c r="D44" s="722">
        <v>0.43009999999999998</v>
      </c>
      <c r="E44" s="722">
        <v>-0.33489999999999998</v>
      </c>
      <c r="F44" s="722">
        <v>-6.2300000000000001E-2</v>
      </c>
      <c r="G44" s="722">
        <v>-0.18260000000000001</v>
      </c>
      <c r="H44" s="601">
        <f t="shared" si="25"/>
        <v>-3.7425E-2</v>
      </c>
      <c r="I44" s="674">
        <f>SQRT((C44-H44)^2)</f>
        <v>3.7425E-2</v>
      </c>
    </row>
    <row r="45" spans="2:10">
      <c r="B45" s="191" t="s">
        <v>208</v>
      </c>
      <c r="C45" s="720" t="e" cm="1" vm="6">
        <f t="array" ref="C45">_FV(C8,"Preço")</f>
        <v>#VALUE!</v>
      </c>
      <c r="D45" s="720" cm="1">
        <f t="array" aca="1" ref="D45" ca="1">_FV(D8,"Price")</f>
        <v>618.1</v>
      </c>
      <c r="E45" s="720" cm="1">
        <f t="array" aca="1" ref="E45" ca="1">_FV(E8,"Price")</f>
        <v>229.5</v>
      </c>
      <c r="F45" s="720" cm="1">
        <f t="array" aca="1" ref="F45" ca="1">_FV(F8,"Price")*0.118</f>
        <v>6.5371999999999995</v>
      </c>
      <c r="G45" s="720" cm="1">
        <f t="array" aca="1" ref="G45" ca="1">_FV(G8,"Price")*1.162</f>
        <v>883.35239999999999</v>
      </c>
      <c r="H45" s="601" t="str">
        <f t="shared" si="25"/>
        <v/>
      </c>
      <c r="I45" s="675" t="e" vm="7">
        <f>SQRT((C45-H45)^2)</f>
        <v>#VALUE!</v>
      </c>
    </row>
    <row r="46" spans="2:10">
      <c r="B46" s="569" t="s">
        <v>209</v>
      </c>
      <c r="C46" s="589"/>
      <c r="D46" s="770">
        <v>840.9</v>
      </c>
      <c r="E46" s="761">
        <v>491.8</v>
      </c>
      <c r="F46" s="761">
        <v>7.03</v>
      </c>
      <c r="G46" s="761">
        <v>2266.1799999999998</v>
      </c>
      <c r="H46" s="601">
        <f t="shared" si="25"/>
        <v>901.47749999999996</v>
      </c>
      <c r="I46" s="676">
        <f>SQRT((C46-H46)^2)</f>
        <v>901.47749999999996</v>
      </c>
    </row>
    <row r="47" spans="2:10">
      <c r="B47" s="590" t="s">
        <v>210</v>
      </c>
      <c r="C47" s="591" t="e" vm="7">
        <f>C46/C45-1</f>
        <v>#VALUE!</v>
      </c>
      <c r="D47" s="591">
        <f ca="1">D46/D45-1</f>
        <v>0.36045947257725275</v>
      </c>
      <c r="E47" s="591">
        <f t="shared" ref="E47:G47" ca="1" si="26">E46/E45-1</f>
        <v>1.1429193899782137</v>
      </c>
      <c r="F47" s="591">
        <f t="shared" ca="1" si="26"/>
        <v>7.5383956433947352E-2</v>
      </c>
      <c r="G47" s="591">
        <f t="shared" ca="1" si="26"/>
        <v>1.5654314178576976</v>
      </c>
      <c r="H47" s="613" t="str">
        <f t="shared" si="25"/>
        <v/>
      </c>
      <c r="I47" s="677" t="e" vm="7">
        <f>SQRT((C47-H47)^2)</f>
        <v>#VALUE!</v>
      </c>
    </row>
    <row r="48" spans="2:10" ht="15.6">
      <c r="B48" s="188" t="s">
        <v>211</v>
      </c>
      <c r="C48" s="188"/>
      <c r="D48" s="188"/>
      <c r="E48" s="188"/>
      <c r="F48" s="188"/>
      <c r="G48" s="188"/>
      <c r="H48" s="188" t="str">
        <f t="shared" si="25"/>
        <v/>
      </c>
      <c r="I48" s="648"/>
      <c r="J48" s="653"/>
    </row>
    <row r="49" spans="2:10">
      <c r="B49" s="190" t="s">
        <v>212</v>
      </c>
      <c r="C49" s="679">
        <f>(Inputs!B59-Inputs!E59)/Inputs!E59</f>
        <v>1.0052707235265932</v>
      </c>
      <c r="D49" s="466">
        <v>0.53110000000000002</v>
      </c>
      <c r="E49" s="466">
        <v>0.72840000000000005</v>
      </c>
      <c r="F49" s="466">
        <v>0.38750000000000001</v>
      </c>
      <c r="G49" s="466">
        <v>0.64549999999999996</v>
      </c>
      <c r="H49" s="613">
        <f t="shared" si="25"/>
        <v>0.65955414470531859</v>
      </c>
      <c r="I49" s="649">
        <f>SQRT((C49-H49)^2)</f>
        <v>0.3457165788212746</v>
      </c>
      <c r="J49" s="466"/>
    </row>
    <row r="50" spans="2:10">
      <c r="B50" s="650" t="s">
        <v>213</v>
      </c>
      <c r="C50" s="651">
        <f>C63/C11</f>
        <v>0</v>
      </c>
      <c r="D50" s="651">
        <f>D63/D11</f>
        <v>0</v>
      </c>
      <c r="E50" s="651">
        <f>E63/E11</f>
        <v>0</v>
      </c>
      <c r="F50" s="651">
        <f t="shared" ref="C50:G50" si="27">F63/F11</f>
        <v>3.2619047619047617E-2</v>
      </c>
      <c r="G50" s="651">
        <f t="shared" si="27"/>
        <v>0</v>
      </c>
      <c r="H50" s="613">
        <f t="shared" si="25"/>
        <v>6.5238095238095237E-3</v>
      </c>
      <c r="I50" s="652">
        <f>SQRT((C50-H50)^2)</f>
        <v>6.5238095238095237E-3</v>
      </c>
      <c r="J50" s="654"/>
    </row>
    <row r="52" spans="2:10" ht="15.6">
      <c r="B52" s="556" t="s">
        <v>214</v>
      </c>
      <c r="C52" s="555" t="e" vm="1">
        <f>OP!E2</f>
        <v>#VALUE!</v>
      </c>
      <c r="D52" s="748" t="e" vm="2">
        <f>D8</f>
        <v>#VALUE!</v>
      </c>
      <c r="E52" s="401" t="e" vm="3">
        <f>E8</f>
        <v>#VALUE!</v>
      </c>
      <c r="F52" s="402" t="e" vm="5">
        <f>F8</f>
        <v>#VALUE!</v>
      </c>
      <c r="G52" s="403" t="e" vm="4">
        <f>G8</f>
        <v>#VALUE!</v>
      </c>
    </row>
    <row r="53" spans="2:10">
      <c r="B53" s="182" t="s">
        <v>215</v>
      </c>
      <c r="C53" s="183"/>
      <c r="D53" s="183"/>
      <c r="E53" s="183"/>
      <c r="F53" s="183"/>
      <c r="G53" s="183"/>
    </row>
    <row r="54" spans="2:10">
      <c r="B54" s="180" t="s">
        <v>216</v>
      </c>
      <c r="C54" s="197">
        <f>'Fin. Data'!E5</f>
        <v>6883</v>
      </c>
      <c r="D54" s="746">
        <v>53670</v>
      </c>
      <c r="E54" s="746">
        <v>15884</v>
      </c>
      <c r="F54" s="746">
        <v>3226</v>
      </c>
      <c r="G54" s="746">
        <v>2970</v>
      </c>
    </row>
    <row r="55" spans="2:10">
      <c r="B55" s="180" t="s">
        <v>217</v>
      </c>
      <c r="C55" s="197">
        <f>'Fin. Data'!C5</f>
        <v>8982</v>
      </c>
      <c r="D55" s="746">
        <v>64215</v>
      </c>
      <c r="E55" s="746">
        <v>17645</v>
      </c>
      <c r="F55" s="746">
        <v>3366</v>
      </c>
      <c r="G55" s="746">
        <v>3340</v>
      </c>
    </row>
    <row r="56" spans="2:10">
      <c r="B56" s="180" t="s">
        <v>175</v>
      </c>
      <c r="C56" s="197">
        <f>'Fin. Data'!B5</f>
        <v>11602</v>
      </c>
      <c r="D56" s="746">
        <v>79184</v>
      </c>
      <c r="E56" s="746">
        <v>20351</v>
      </c>
      <c r="F56" s="746">
        <v>4200</v>
      </c>
      <c r="G56" s="746">
        <v>3518</v>
      </c>
    </row>
    <row r="57" spans="2:10">
      <c r="B57" s="180" t="s">
        <v>218</v>
      </c>
      <c r="C57" s="197">
        <f>'Fin. Data'!B5-'Fin. Data'!B7</f>
        <v>3389</v>
      </c>
      <c r="D57" s="746">
        <v>24988</v>
      </c>
      <c r="E57" s="746">
        <v>5153</v>
      </c>
      <c r="F57" s="746">
        <v>889</v>
      </c>
      <c r="G57" s="746">
        <v>1037</v>
      </c>
    </row>
    <row r="58" spans="2:10">
      <c r="B58" s="180" t="s">
        <v>219</v>
      </c>
      <c r="C58" s="197">
        <f>'Fin. Data'!B19</f>
        <v>1859</v>
      </c>
      <c r="D58" s="746">
        <v>26632</v>
      </c>
      <c r="E58" s="746">
        <v>7255</v>
      </c>
      <c r="F58" s="746">
        <v>1438</v>
      </c>
      <c r="G58" s="746">
        <v>1138</v>
      </c>
    </row>
    <row r="59" spans="2:10">
      <c r="B59" s="180" t="s">
        <v>220</v>
      </c>
      <c r="C59" s="554">
        <f>'Fin. Data'!B11</f>
        <v>4697</v>
      </c>
      <c r="D59" s="746">
        <v>21001</v>
      </c>
      <c r="E59" s="746">
        <v>5395</v>
      </c>
      <c r="F59" s="746">
        <v>776</v>
      </c>
      <c r="G59" s="746">
        <v>747</v>
      </c>
    </row>
    <row r="60" spans="2:10">
      <c r="B60" s="180" t="s">
        <v>221</v>
      </c>
      <c r="C60" s="554">
        <f>'Fin. Data'!B14</f>
        <v>0</v>
      </c>
      <c r="D60" s="746">
        <v>888</v>
      </c>
      <c r="E60" s="746">
        <v>260</v>
      </c>
      <c r="F60" s="747">
        <v>65</v>
      </c>
      <c r="G60" s="746">
        <v>26</v>
      </c>
    </row>
    <row r="61" spans="2:10">
      <c r="B61" s="180" t="s">
        <v>222</v>
      </c>
      <c r="C61" s="554">
        <f>'Fin. Data'!B21</f>
        <v>0</v>
      </c>
      <c r="D61" s="746">
        <v>5362</v>
      </c>
      <c r="E61" s="746">
        <v>1420</v>
      </c>
      <c r="F61" s="746">
        <v>242</v>
      </c>
      <c r="G61" s="746">
        <v>161</v>
      </c>
    </row>
    <row r="62" spans="2:10">
      <c r="B62" s="180" t="s">
        <v>223</v>
      </c>
      <c r="C62" s="554">
        <f>'Fin. Data'!B23</f>
        <v>3367</v>
      </c>
      <c r="D62" s="746">
        <v>14084</v>
      </c>
      <c r="E62" s="746">
        <v>3718</v>
      </c>
      <c r="F62" s="746">
        <v>465</v>
      </c>
      <c r="G62" s="746">
        <v>557</v>
      </c>
    </row>
    <row r="63" spans="2:10">
      <c r="B63" s="180" t="s">
        <v>224</v>
      </c>
      <c r="C63" s="554"/>
      <c r="D63" s="176"/>
      <c r="E63" s="176"/>
      <c r="F63" s="746">
        <v>137</v>
      </c>
      <c r="G63" s="176"/>
    </row>
    <row r="64" spans="2:10">
      <c r="B64" s="184" t="s">
        <v>225</v>
      </c>
      <c r="C64" s="185"/>
      <c r="D64" s="185"/>
      <c r="E64" s="185"/>
      <c r="F64" s="185"/>
      <c r="G64" s="185"/>
    </row>
    <row r="65" spans="2:7">
      <c r="B65" s="180" t="s">
        <v>226</v>
      </c>
      <c r="C65" s="197" t="str">
        <f>'Fin. Data'!B39</f>
        <v>--</v>
      </c>
      <c r="D65" s="746">
        <v>7811</v>
      </c>
      <c r="E65" s="746">
        <v>4336</v>
      </c>
      <c r="F65" s="746">
        <v>1092</v>
      </c>
      <c r="G65" s="746">
        <v>1156</v>
      </c>
    </row>
    <row r="66" spans="2:7">
      <c r="B66" s="180" t="s">
        <v>227</v>
      </c>
      <c r="C66" s="197">
        <f>'Fin. Data'!B40</f>
        <v>383</v>
      </c>
      <c r="D66" s="746">
        <v>4258</v>
      </c>
      <c r="E66" s="746">
        <v>1180</v>
      </c>
      <c r="F66" s="746">
        <v>332</v>
      </c>
      <c r="G66" s="746">
        <v>349</v>
      </c>
    </row>
    <row r="67" spans="2:7">
      <c r="B67" s="180" t="s">
        <v>228</v>
      </c>
      <c r="C67" s="197">
        <f>'Fin. Data'!B41</f>
        <v>1779</v>
      </c>
      <c r="D67" s="746">
        <v>20319</v>
      </c>
      <c r="E67" s="746">
        <v>4465</v>
      </c>
      <c r="F67" s="746">
        <v>760</v>
      </c>
      <c r="G67" s="746">
        <v>508</v>
      </c>
    </row>
    <row r="68" spans="2:7">
      <c r="B68" s="180" t="s">
        <v>229</v>
      </c>
      <c r="C68" s="197">
        <f>Inputs!B27</f>
        <v>11828</v>
      </c>
      <c r="D68" s="746">
        <v>39740</v>
      </c>
      <c r="E68" s="746">
        <v>11662</v>
      </c>
      <c r="F68" s="746">
        <v>2425</v>
      </c>
      <c r="G68" s="746">
        <v>2118</v>
      </c>
    </row>
    <row r="69" spans="2:7">
      <c r="B69" s="180" t="s">
        <v>230</v>
      </c>
      <c r="C69" s="197">
        <f>'Fin. Data'!B42</f>
        <v>6883</v>
      </c>
      <c r="D69" s="746">
        <v>23055</v>
      </c>
      <c r="E69" s="746">
        <v>3388</v>
      </c>
      <c r="F69" s="746">
        <v>1577</v>
      </c>
      <c r="G69" s="746">
        <v>428</v>
      </c>
    </row>
    <row r="70" spans="2:7">
      <c r="B70" s="180" t="s">
        <v>26</v>
      </c>
      <c r="C70" s="197">
        <f>'Fin. Data'!B44</f>
        <v>17459</v>
      </c>
      <c r="D70" s="746">
        <v>134646</v>
      </c>
      <c r="E70" s="746">
        <v>33941</v>
      </c>
      <c r="F70" s="746">
        <v>7378</v>
      </c>
      <c r="G70" s="746">
        <v>4191</v>
      </c>
    </row>
    <row r="71" spans="2:7">
      <c r="B71" s="180" t="s">
        <v>231</v>
      </c>
      <c r="C71" s="197">
        <f>Inputs!B43</f>
        <v>659</v>
      </c>
      <c r="D71" s="746">
        <v>8788</v>
      </c>
      <c r="E71" s="746">
        <v>2263</v>
      </c>
      <c r="F71" s="746">
        <v>402</v>
      </c>
      <c r="G71" s="746">
        <v>542</v>
      </c>
    </row>
    <row r="72" spans="2:7">
      <c r="B72" s="180" t="s">
        <v>232</v>
      </c>
      <c r="C72" s="197">
        <f>Inputs!B42</f>
        <v>3004</v>
      </c>
      <c r="D72" s="746">
        <v>31543</v>
      </c>
      <c r="E72" s="746">
        <v>8506</v>
      </c>
      <c r="F72" s="746">
        <v>1490</v>
      </c>
      <c r="G72" s="746">
        <v>943</v>
      </c>
    </row>
    <row r="73" spans="2:7">
      <c r="B73" s="180" t="s">
        <v>233</v>
      </c>
      <c r="C73" s="197">
        <f>'Fin. Data'!B58</f>
        <v>37</v>
      </c>
      <c r="D73" s="746">
        <v>35147</v>
      </c>
      <c r="E73" s="746">
        <v>11193</v>
      </c>
      <c r="F73" s="746">
        <v>2663</v>
      </c>
      <c r="G73" s="746">
        <v>1690</v>
      </c>
    </row>
    <row r="74" spans="2:7">
      <c r="B74" s="181" t="s">
        <v>234</v>
      </c>
      <c r="C74" s="198">
        <f>'Fin. Data'!B64</f>
        <v>12425</v>
      </c>
      <c r="D74" s="749">
        <v>56604</v>
      </c>
      <c r="E74" s="749">
        <v>14783</v>
      </c>
      <c r="F74" s="749">
        <v>3501</v>
      </c>
      <c r="G74" s="749">
        <v>1750</v>
      </c>
    </row>
    <row r="75" spans="2:7" ht="38.25" customHeight="1">
      <c r="F75" s="775"/>
      <c r="G75" s="776" t="s">
        <v>235</v>
      </c>
    </row>
    <row r="76" spans="2:7">
      <c r="G76" s="806" t="s">
        <v>236</v>
      </c>
    </row>
  </sheetData>
  <mergeCells count="13">
    <mergeCell ref="K12:K13"/>
    <mergeCell ref="L12:M13"/>
    <mergeCell ref="K9:M9"/>
    <mergeCell ref="K10:K11"/>
    <mergeCell ref="K14:K15"/>
    <mergeCell ref="L14:M15"/>
    <mergeCell ref="L10:M11"/>
    <mergeCell ref="D6:H6"/>
    <mergeCell ref="D4:H4"/>
    <mergeCell ref="D1:H1"/>
    <mergeCell ref="D2:H2"/>
    <mergeCell ref="D3:H3"/>
    <mergeCell ref="D5:H5"/>
  </mergeCells>
  <pageMargins left="0.7" right="0.7" top="0.75" bottom="0.75" header="0.3" footer="0.3"/>
  <pageSetup orientation="portrait" r:id="rId1"/>
  <ignoredErrors>
    <ignoredError sqref="I46" evalError="1"/>
  </ignoredError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A82E0-A099-472F-B885-77443363F881}">
  <sheetPr>
    <tabColor rgb="FF00B050"/>
  </sheetPr>
  <dimension ref="A1:AA101"/>
  <sheetViews>
    <sheetView showGridLines="0" topLeftCell="K1" zoomScale="80" zoomScaleNormal="80" workbookViewId="0">
      <selection activeCell="P4" sqref="P4"/>
    </sheetView>
  </sheetViews>
  <sheetFormatPr defaultColWidth="11.42578125" defaultRowHeight="13.15"/>
  <cols>
    <col min="1" max="1" width="1.140625" style="76" customWidth="1"/>
    <col min="2" max="2" width="59.42578125" style="76" customWidth="1"/>
    <col min="3" max="4" width="12.85546875" style="76" customWidth="1"/>
    <col min="5" max="5" width="13.28515625" style="76" customWidth="1"/>
    <col min="6" max="6" width="11" style="76" customWidth="1"/>
    <col min="7" max="7" width="10.42578125" style="76" customWidth="1"/>
    <col min="8" max="8" width="20.28515625" style="542" customWidth="1"/>
    <col min="9" max="9" width="25.140625" style="542" customWidth="1"/>
    <col min="10" max="10" width="64.140625" style="76" customWidth="1"/>
    <col min="11" max="11" width="34.7109375" style="76" bestFit="1" customWidth="1"/>
    <col min="12" max="12" width="21.28515625" style="76" customWidth="1"/>
    <col min="13" max="13" width="19.85546875" style="76" customWidth="1"/>
    <col min="14" max="14" width="20.85546875" style="76" bestFit="1" customWidth="1"/>
    <col min="15" max="15" width="19.85546875" style="76" bestFit="1" customWidth="1"/>
    <col min="16" max="16" width="19.85546875" style="76" customWidth="1"/>
    <col min="17" max="17" width="22.28515625" style="76" bestFit="1" customWidth="1"/>
    <col min="18" max="18" width="11.42578125" style="76" customWidth="1"/>
    <col min="19" max="19" width="10.42578125" style="76" customWidth="1"/>
    <col min="20" max="20" width="12.28515625" style="76" bestFit="1" customWidth="1"/>
    <col min="21" max="21" width="15.42578125" style="76" customWidth="1"/>
    <col min="22" max="22" width="18.140625" style="76" bestFit="1" customWidth="1"/>
    <col min="23" max="23" width="18.28515625" style="76" bestFit="1" customWidth="1"/>
    <col min="24" max="24" width="17.28515625" style="76" bestFit="1" customWidth="1"/>
    <col min="25" max="30" width="11.42578125" style="76"/>
    <col min="31" max="31" width="13" style="76" bestFit="1" customWidth="1"/>
    <col min="32" max="16384" width="11.42578125" style="76"/>
  </cols>
  <sheetData>
    <row r="1" spans="1:24">
      <c r="B1" s="214" t="s">
        <v>237</v>
      </c>
      <c r="C1" s="80"/>
      <c r="D1" s="80"/>
      <c r="E1" s="80"/>
      <c r="F1" s="80"/>
      <c r="G1" s="80"/>
      <c r="H1" s="536"/>
      <c r="I1" s="536"/>
      <c r="J1" s="80"/>
      <c r="T1" s="90" t="s">
        <v>238</v>
      </c>
    </row>
    <row r="2" spans="1:24" ht="13.9" thickBot="1">
      <c r="B2" s="86" t="s">
        <v>239</v>
      </c>
      <c r="C2" s="215" t="s">
        <v>240</v>
      </c>
      <c r="D2" s="80"/>
      <c r="E2" s="80"/>
      <c r="F2" s="80"/>
      <c r="G2" s="80"/>
      <c r="H2" s="536"/>
      <c r="I2" s="536"/>
      <c r="J2" s="80"/>
      <c r="T2" s="90" t="s">
        <v>241</v>
      </c>
    </row>
    <row r="3" spans="1:24" ht="21.6" thickBot="1">
      <c r="B3" s="1001" t="s">
        <v>242</v>
      </c>
      <c r="C3" s="1001"/>
      <c r="D3" s="1001"/>
      <c r="E3" s="1001"/>
      <c r="F3" s="1001"/>
      <c r="G3" s="1001"/>
      <c r="H3" s="1001"/>
      <c r="I3" s="1001"/>
      <c r="J3" s="1001"/>
      <c r="K3" s="1002" t="s">
        <v>243</v>
      </c>
      <c r="L3" s="1002"/>
      <c r="M3" s="1002"/>
      <c r="N3" s="1002"/>
      <c r="O3" s="1002"/>
      <c r="P3" s="1002"/>
      <c r="Q3" s="1002"/>
    </row>
    <row r="4" spans="1:24" ht="31.9" thickBot="1">
      <c r="B4" s="205" t="s">
        <v>244</v>
      </c>
      <c r="C4" s="237" t="s">
        <v>245</v>
      </c>
      <c r="D4" s="237" t="s">
        <v>246</v>
      </c>
      <c r="E4" s="237" t="s">
        <v>247</v>
      </c>
      <c r="F4" s="237" t="s">
        <v>248</v>
      </c>
      <c r="G4" s="237" t="s">
        <v>249</v>
      </c>
      <c r="H4" s="206" t="s">
        <v>250</v>
      </c>
      <c r="I4" s="206" t="s">
        <v>251</v>
      </c>
      <c r="J4" s="207" t="s">
        <v>252</v>
      </c>
      <c r="K4" s="205" t="s">
        <v>244</v>
      </c>
      <c r="L4" s="239" t="e" vm="1">
        <f>Peers!C8</f>
        <v>#VALUE!</v>
      </c>
      <c r="M4" s="239" t="e" vm="2">
        <f>Peers!D8</f>
        <v>#VALUE!</v>
      </c>
      <c r="N4" s="239" t="e" vm="3">
        <f>Peers!E8</f>
        <v>#VALUE!</v>
      </c>
      <c r="O4" s="239" t="e" vm="5">
        <f>Peers!F8</f>
        <v>#VALUE!</v>
      </c>
      <c r="P4" s="239" t="e" vm="4">
        <f>Peers!G8</f>
        <v>#VALUE!</v>
      </c>
      <c r="Q4" s="239" t="e">
        <f>Peers!#REF!</f>
        <v>#REF!</v>
      </c>
      <c r="R4" s="715" t="s">
        <v>169</v>
      </c>
    </row>
    <row r="5" spans="1:24" ht="14.45" thickBot="1">
      <c r="B5" s="216" t="s">
        <v>253</v>
      </c>
      <c r="C5" s="217"/>
      <c r="D5" s="218"/>
      <c r="E5" s="218"/>
      <c r="F5" s="218"/>
      <c r="G5" s="218"/>
      <c r="H5" s="537"/>
      <c r="I5" s="537"/>
      <c r="J5" s="219"/>
      <c r="K5" s="216" t="s">
        <v>254</v>
      </c>
      <c r="L5" s="218"/>
      <c r="M5" s="218"/>
      <c r="N5" s="218"/>
      <c r="O5" s="218"/>
      <c r="P5" s="219"/>
      <c r="Q5" s="219"/>
      <c r="R5" s="219"/>
    </row>
    <row r="6" spans="1:24" ht="17.45">
      <c r="A6" s="76">
        <v>1</v>
      </c>
      <c r="B6" s="210" t="s">
        <v>255</v>
      </c>
      <c r="C6" s="208" t="str">
        <f>VLOOKUP($B$2,'Sector Impact'!$K$4:$AA$16,A6+1,FALSE)</f>
        <v>Low</v>
      </c>
      <c r="D6" s="208"/>
      <c r="E6" s="208"/>
      <c r="F6" s="220"/>
      <c r="G6" s="312"/>
      <c r="H6" s="209"/>
      <c r="I6" s="209"/>
      <c r="J6" s="209" t="s">
        <v>256</v>
      </c>
      <c r="K6" s="210" t="s">
        <v>257</v>
      </c>
      <c r="L6" s="510">
        <f>L12/L$11</f>
        <v>52.508188243406309</v>
      </c>
      <c r="M6" s="510" t="e">
        <f t="shared" ref="M6:O6" si="0">M12/M$11</f>
        <v>#DIV/0!</v>
      </c>
      <c r="N6" s="510" t="e">
        <f t="shared" si="0"/>
        <v>#DIV/0!</v>
      </c>
      <c r="O6" s="510" t="e">
        <f t="shared" si="0"/>
        <v>#DIV/0!</v>
      </c>
      <c r="P6" s="510" t="e">
        <f t="shared" ref="P6:Q9" si="1">P12/P$11</f>
        <v>#DIV/0!</v>
      </c>
      <c r="Q6" s="510" t="e">
        <f t="shared" si="1"/>
        <v>#DIV/0!</v>
      </c>
      <c r="R6" s="601" t="str">
        <f t="shared" ref="R6:R9" si="2">IFERROR(AVERAGE(L6:Q6),"")</f>
        <v/>
      </c>
    </row>
    <row r="7" spans="1:24" s="80" customFormat="1" ht="17.45">
      <c r="A7" s="80">
        <v>2</v>
      </c>
      <c r="B7" s="210" t="s">
        <v>258</v>
      </c>
      <c r="C7" s="208" t="str">
        <f>VLOOKUP($B$2,'Sector Impact'!$K$4:$AA$16,A7+1,FALSE)</f>
        <v>Low</v>
      </c>
      <c r="D7" s="208"/>
      <c r="E7" s="208"/>
      <c r="F7" s="220"/>
      <c r="G7" s="312"/>
      <c r="H7" s="209"/>
      <c r="I7" s="209" t="s">
        <v>259</v>
      </c>
      <c r="J7" s="209"/>
      <c r="K7" s="210" t="s">
        <v>260</v>
      </c>
      <c r="L7" s="510">
        <f t="shared" ref="L7:O9" si="3">L13/L$11</f>
        <v>57834.856059300124</v>
      </c>
      <c r="M7" s="510" t="e">
        <f t="shared" si="3"/>
        <v>#DIV/0!</v>
      </c>
      <c r="N7" s="510" t="e">
        <f t="shared" si="3"/>
        <v>#DIV/0!</v>
      </c>
      <c r="O7" s="510" t="e">
        <f t="shared" si="3"/>
        <v>#DIV/0!</v>
      </c>
      <c r="P7" s="510" t="e">
        <f t="shared" si="1"/>
        <v>#DIV/0!</v>
      </c>
      <c r="Q7" s="510" t="e">
        <f t="shared" si="1"/>
        <v>#DIV/0!</v>
      </c>
      <c r="R7" s="602" t="str">
        <f t="shared" si="2"/>
        <v/>
      </c>
    </row>
    <row r="8" spans="1:24" ht="52.9">
      <c r="A8" s="76">
        <v>3</v>
      </c>
      <c r="B8" s="210" t="s">
        <v>261</v>
      </c>
      <c r="C8" s="208" t="str">
        <f>VLOOKUP($B$2,'Sector Impact'!$K$4:$AA$16,A8+1,FALSE)</f>
        <v>Medium</v>
      </c>
      <c r="D8" s="208" t="s">
        <v>238</v>
      </c>
      <c r="E8" s="208" t="s">
        <v>262</v>
      </c>
      <c r="F8" s="220" t="s">
        <v>238</v>
      </c>
      <c r="G8" s="735"/>
      <c r="H8" s="209"/>
      <c r="I8" s="209" t="s">
        <v>263</v>
      </c>
      <c r="J8" s="209" t="s">
        <v>264</v>
      </c>
      <c r="K8" s="210" t="s">
        <v>265</v>
      </c>
      <c r="L8" s="510">
        <f t="shared" si="3"/>
        <v>67.72418548526116</v>
      </c>
      <c r="M8" s="510" t="e">
        <f t="shared" si="3"/>
        <v>#DIV/0!</v>
      </c>
      <c r="N8" s="510" t="e">
        <f t="shared" si="3"/>
        <v>#DIV/0!</v>
      </c>
      <c r="O8" s="510" t="e">
        <f t="shared" si="3"/>
        <v>#DIV/0!</v>
      </c>
      <c r="P8" s="510" t="e">
        <f t="shared" si="1"/>
        <v>#DIV/0!</v>
      </c>
      <c r="Q8" s="510" t="e">
        <f t="shared" si="1"/>
        <v>#DIV/0!</v>
      </c>
      <c r="R8" s="602" t="str">
        <f>IFERROR(AVERAGE(L8:Q8),"")</f>
        <v/>
      </c>
    </row>
    <row r="9" spans="1:24" ht="79.150000000000006">
      <c r="A9" s="76">
        <v>4</v>
      </c>
      <c r="B9" s="210" t="s">
        <v>266</v>
      </c>
      <c r="C9" s="208" t="str">
        <f>VLOOKUP($B$2,'Sector Impact'!$K$4:$AA$16,A9+1,FALSE)</f>
        <v>Medium</v>
      </c>
      <c r="D9" s="208" t="s">
        <v>238</v>
      </c>
      <c r="E9" s="208" t="s">
        <v>267</v>
      </c>
      <c r="F9" s="220" t="s">
        <v>238</v>
      </c>
      <c r="G9" s="309"/>
      <c r="H9" s="209"/>
      <c r="I9" s="209"/>
      <c r="J9" s="211" t="s">
        <v>268</v>
      </c>
      <c r="K9" s="210" t="s">
        <v>269</v>
      </c>
      <c r="L9" s="510">
        <f t="shared" si="3"/>
        <v>1.2356490260299948</v>
      </c>
      <c r="M9" s="510" t="e">
        <f t="shared" si="3"/>
        <v>#DIV/0!</v>
      </c>
      <c r="N9" s="510" t="e">
        <f t="shared" si="3"/>
        <v>#DIV/0!</v>
      </c>
      <c r="O9" s="510" t="e">
        <f t="shared" si="3"/>
        <v>#DIV/0!</v>
      </c>
      <c r="P9" s="510" t="e">
        <f t="shared" si="1"/>
        <v>#DIV/0!</v>
      </c>
      <c r="Q9" s="510" t="e">
        <f t="shared" si="1"/>
        <v>#DIV/0!</v>
      </c>
      <c r="R9" s="602" t="str">
        <f t="shared" si="2"/>
        <v/>
      </c>
    </row>
    <row r="10" spans="1:24" ht="54.75" customHeight="1">
      <c r="A10" s="76">
        <v>5</v>
      </c>
      <c r="B10" s="210" t="s">
        <v>270</v>
      </c>
      <c r="C10" s="208" t="str">
        <f>VLOOKUP($B$2,'Sector Impact'!$K$4:$AA$16,A10+1,FALSE)</f>
        <v>Low</v>
      </c>
      <c r="D10" s="208"/>
      <c r="E10" s="208"/>
      <c r="F10" s="220"/>
      <c r="G10" s="309"/>
      <c r="H10" s="209"/>
      <c r="I10" s="209"/>
      <c r="J10" s="211" t="s">
        <v>271</v>
      </c>
      <c r="K10" s="216" t="s">
        <v>272</v>
      </c>
      <c r="L10" s="218"/>
      <c r="M10" s="218"/>
      <c r="N10" s="218"/>
      <c r="O10" s="218"/>
      <c r="P10" s="218"/>
      <c r="Q10" s="219"/>
      <c r="S10"/>
      <c r="V10" s="80"/>
      <c r="W10" s="80"/>
      <c r="X10" s="80"/>
    </row>
    <row r="11" spans="1:24" ht="13.9">
      <c r="B11" s="216" t="s">
        <v>273</v>
      </c>
      <c r="C11" s="213"/>
      <c r="D11" s="213"/>
      <c r="E11" s="222"/>
      <c r="F11" s="222"/>
      <c r="G11" s="223"/>
      <c r="H11" s="538"/>
      <c r="I11" s="538"/>
      <c r="J11" s="224"/>
      <c r="K11" s="210" t="s">
        <v>274</v>
      </c>
      <c r="L11" s="511">
        <f>'Fin. Data'!B5</f>
        <v>11602</v>
      </c>
      <c r="M11" s="511"/>
      <c r="N11" s="511"/>
      <c r="O11" s="511"/>
      <c r="P11" s="511"/>
      <c r="Q11" s="511"/>
      <c r="S11"/>
    </row>
    <row r="12" spans="1:24">
      <c r="A12" s="76">
        <v>6</v>
      </c>
      <c r="B12" s="210" t="s">
        <v>275</v>
      </c>
      <c r="C12" s="208" t="s">
        <v>276</v>
      </c>
      <c r="D12" s="208"/>
      <c r="E12" s="208"/>
      <c r="F12" s="220"/>
      <c r="G12" s="314"/>
      <c r="H12" s="209"/>
      <c r="I12" s="209"/>
      <c r="J12" s="234" t="s">
        <v>277</v>
      </c>
      <c r="K12" s="210" t="s">
        <v>278</v>
      </c>
      <c r="L12" s="734">
        <v>609200</v>
      </c>
      <c r="M12" s="238"/>
      <c r="N12" s="238"/>
      <c r="O12" s="238"/>
      <c r="P12" s="238"/>
      <c r="Q12" s="238"/>
      <c r="S12"/>
    </row>
    <row r="13" spans="1:24">
      <c r="A13" s="76">
        <v>7</v>
      </c>
      <c r="B13" s="210" t="s">
        <v>279</v>
      </c>
      <c r="C13" s="208" t="str">
        <f>VLOOKUP($B$2,'Sector Impact'!$K$4:$AA$16,A13+1,FALSE)</f>
        <v>Medium</v>
      </c>
      <c r="D13" s="208"/>
      <c r="E13" s="208"/>
      <c r="F13" s="226"/>
      <c r="G13" s="315"/>
      <c r="H13" s="209"/>
      <c r="I13" s="209"/>
      <c r="J13" s="227"/>
      <c r="K13" s="210" t="s">
        <v>280</v>
      </c>
      <c r="L13" s="734">
        <v>671000000</v>
      </c>
      <c r="M13" s="238"/>
      <c r="N13" s="238"/>
      <c r="O13" s="238"/>
      <c r="P13" s="238"/>
      <c r="Q13" s="238"/>
      <c r="S13"/>
    </row>
    <row r="14" spans="1:24">
      <c r="A14" s="76">
        <v>8</v>
      </c>
      <c r="B14" s="228" t="s">
        <v>281</v>
      </c>
      <c r="C14" s="208" t="str">
        <f>VLOOKUP($B$2,'Sector Impact'!$K$4:$AA$16,A14+1,FALSE)</f>
        <v>Low</v>
      </c>
      <c r="D14" s="208"/>
      <c r="E14" s="208"/>
      <c r="F14" s="220"/>
      <c r="G14" s="557"/>
      <c r="H14" s="209"/>
      <c r="I14" s="209"/>
      <c r="J14" s="227"/>
      <c r="K14" s="210" t="s">
        <v>282</v>
      </c>
      <c r="L14" s="734">
        <v>785736</v>
      </c>
      <c r="M14" s="238"/>
      <c r="N14" s="238"/>
      <c r="O14" s="238"/>
      <c r="P14" s="238"/>
      <c r="Q14" s="238"/>
      <c r="S14"/>
    </row>
    <row r="15" spans="1:24">
      <c r="A15" s="76">
        <v>9</v>
      </c>
      <c r="B15" s="228" t="s">
        <v>283</v>
      </c>
      <c r="C15" s="208" t="str">
        <f>VLOOKUP($B$2,'Sector Impact'!$K$4:$AA$16,A15+1,FALSE)</f>
        <v>Low</v>
      </c>
      <c r="D15" s="208"/>
      <c r="E15" s="208"/>
      <c r="F15" s="220" t="s">
        <v>238</v>
      </c>
      <c r="G15" s="221"/>
      <c r="H15" s="736" t="s">
        <v>277</v>
      </c>
      <c r="I15" s="539"/>
      <c r="J15" s="227" t="s">
        <v>284</v>
      </c>
      <c r="K15" s="210" t="s">
        <v>285</v>
      </c>
      <c r="L15" s="734">
        <f>11143+3193</f>
        <v>14336</v>
      </c>
      <c r="M15" s="238"/>
      <c r="N15" s="238"/>
      <c r="O15" s="238"/>
      <c r="P15" s="238"/>
      <c r="Q15" s="238"/>
      <c r="S15"/>
    </row>
    <row r="16" spans="1:24" ht="42" customHeight="1">
      <c r="A16" s="76">
        <v>10</v>
      </c>
      <c r="B16" s="210" t="s">
        <v>286</v>
      </c>
      <c r="C16" s="208" t="str">
        <f>VLOOKUP($B$2,'Sector Impact'!$K$4:$AA$16,A16+1,FALSE)</f>
        <v>Medium</v>
      </c>
      <c r="D16" s="208"/>
      <c r="E16" s="208"/>
      <c r="F16" s="220"/>
      <c r="G16" s="558"/>
      <c r="H16" s="209"/>
      <c r="I16" s="540"/>
      <c r="J16" s="227" t="s">
        <v>287</v>
      </c>
      <c r="K16" s="216" t="s">
        <v>288</v>
      </c>
      <c r="L16" s="218"/>
      <c r="M16" s="218"/>
      <c r="N16" s="218"/>
      <c r="O16" s="218"/>
      <c r="P16" s="219"/>
      <c r="Q16" s="219"/>
      <c r="S16"/>
    </row>
    <row r="17" spans="1:19">
      <c r="A17" s="76">
        <v>11</v>
      </c>
      <c r="B17" s="210" t="s">
        <v>289</v>
      </c>
      <c r="C17" s="208" t="str">
        <f>VLOOKUP($B$2,'Sector Impact'!$K$4:$AA$16,A17+1,FALSE)</f>
        <v>Medium</v>
      </c>
      <c r="D17" s="229"/>
      <c r="E17" s="229"/>
      <c r="F17" s="229"/>
      <c r="G17" s="309"/>
      <c r="H17" s="209"/>
      <c r="I17" s="540"/>
      <c r="J17" s="227"/>
      <c r="K17" s="210" t="s">
        <v>290</v>
      </c>
      <c r="L17" s="737" t="s">
        <v>291</v>
      </c>
      <c r="M17" s="737"/>
      <c r="N17" s="737"/>
      <c r="O17" s="737"/>
      <c r="P17" s="737"/>
      <c r="Q17" s="737"/>
      <c r="S17"/>
    </row>
    <row r="18" spans="1:19">
      <c r="A18" s="76">
        <v>12</v>
      </c>
      <c r="B18" s="210" t="s">
        <v>292</v>
      </c>
      <c r="C18" s="208" t="str">
        <f>VLOOKUP($B$2,'Sector Impact'!$K$4:$AA$16,A18+1,FALSE)</f>
        <v>Medium</v>
      </c>
      <c r="D18" s="208"/>
      <c r="E18" s="208"/>
      <c r="F18" s="220"/>
      <c r="G18" s="221"/>
      <c r="H18" s="539"/>
      <c r="I18" s="539"/>
      <c r="J18" s="230"/>
      <c r="K18" s="210" t="s">
        <v>293</v>
      </c>
      <c r="L18" s="737"/>
      <c r="M18" s="737"/>
      <c r="N18" s="737"/>
      <c r="O18" s="737"/>
      <c r="P18" s="737"/>
      <c r="Q18" s="737"/>
    </row>
    <row r="19" spans="1:19">
      <c r="A19" s="76">
        <v>13</v>
      </c>
      <c r="B19" s="210" t="s">
        <v>294</v>
      </c>
      <c r="C19" s="208" t="str">
        <f>VLOOKUP($B$2,'Sector Impact'!$K$4:$AA$16,A19+1,FALSE)</f>
        <v>High</v>
      </c>
      <c r="D19" s="208"/>
      <c r="E19" s="208"/>
      <c r="F19" s="220"/>
      <c r="G19" s="313"/>
      <c r="H19" s="209"/>
      <c r="I19" s="540"/>
      <c r="J19" s="227"/>
      <c r="K19" s="210" t="s">
        <v>295</v>
      </c>
      <c r="L19" s="738"/>
      <c r="M19" s="738"/>
      <c r="N19" s="738"/>
      <c r="O19" s="738"/>
      <c r="P19" s="738"/>
      <c r="Q19" s="738"/>
    </row>
    <row r="20" spans="1:19">
      <c r="A20" s="76">
        <v>14</v>
      </c>
      <c r="B20" s="210" t="s">
        <v>296</v>
      </c>
      <c r="C20" s="208" t="str">
        <f>VLOOKUP($B$2,'Sector Impact'!$K$4:$AA$16,A20+1,FALSE)</f>
        <v>Low</v>
      </c>
      <c r="D20" s="208"/>
      <c r="E20" s="208"/>
      <c r="F20" s="220"/>
      <c r="G20" s="221"/>
      <c r="H20" s="539"/>
      <c r="I20" s="539"/>
      <c r="J20" s="227"/>
      <c r="K20" s="210" t="s">
        <v>297</v>
      </c>
      <c r="L20" s="737"/>
      <c r="M20" s="737"/>
      <c r="N20" s="737"/>
      <c r="O20" s="737"/>
      <c r="P20" s="737"/>
      <c r="Q20" s="737"/>
    </row>
    <row r="21" spans="1:19">
      <c r="A21" s="76">
        <v>15</v>
      </c>
      <c r="B21" s="210" t="s">
        <v>298</v>
      </c>
      <c r="C21" s="208" t="str">
        <f>VLOOKUP($B$2,'Sector Impact'!$K$4:$AA$16,A21+1,FALSE)</f>
        <v>High</v>
      </c>
      <c r="D21" s="208"/>
      <c r="E21" s="208"/>
      <c r="F21" s="220"/>
      <c r="G21" s="309"/>
      <c r="H21" s="209"/>
      <c r="I21" s="540"/>
      <c r="J21" s="227"/>
    </row>
    <row r="22" spans="1:19" ht="13.9" thickBot="1">
      <c r="A22" s="76">
        <v>16</v>
      </c>
      <c r="B22" s="210" t="s">
        <v>299</v>
      </c>
      <c r="C22" s="212" t="str">
        <f>VLOOKUP($B$2,'Sector Impact'!$K$4:$AA$16,A22+1,FALSE)</f>
        <v>Low</v>
      </c>
      <c r="D22" s="208" t="s">
        <v>238</v>
      </c>
      <c r="E22" s="208"/>
      <c r="F22" s="220"/>
      <c r="G22" s="221"/>
      <c r="H22" s="539"/>
      <c r="I22" s="539"/>
      <c r="J22" s="211"/>
    </row>
    <row r="23" spans="1:19" ht="14.45" thickBot="1">
      <c r="B23" s="216" t="s">
        <v>300</v>
      </c>
      <c r="C23" s="231"/>
      <c r="D23" s="213"/>
      <c r="E23" s="222"/>
      <c r="F23" s="222"/>
      <c r="G23" s="223"/>
      <c r="H23" s="538"/>
      <c r="I23" s="538"/>
      <c r="J23" s="224"/>
      <c r="K23" s="1004" t="s">
        <v>301</v>
      </c>
      <c r="L23" s="1005"/>
      <c r="M23" s="1006"/>
    </row>
    <row r="24" spans="1:19">
      <c r="A24" s="76">
        <v>17</v>
      </c>
      <c r="B24" s="210" t="s">
        <v>302</v>
      </c>
      <c r="C24" s="232"/>
      <c r="D24" s="233"/>
      <c r="E24" s="226"/>
      <c r="F24" s="226"/>
      <c r="G24" s="313"/>
      <c r="H24" s="209"/>
      <c r="I24" s="540"/>
      <c r="J24" s="234" t="s">
        <v>303</v>
      </c>
      <c r="K24" s="260" t="s">
        <v>304</v>
      </c>
      <c r="L24" s="77" t="s">
        <v>305</v>
      </c>
      <c r="M24" s="78" t="s">
        <v>306</v>
      </c>
      <c r="O24" s="680" t="s">
        <v>172</v>
      </c>
    </row>
    <row r="25" spans="1:19" ht="15.75" customHeight="1" thickBot="1">
      <c r="A25" s="76">
        <v>18</v>
      </c>
      <c r="B25" s="210" t="s">
        <v>307</v>
      </c>
      <c r="C25" s="232"/>
      <c r="D25" s="233"/>
      <c r="E25" s="226"/>
      <c r="F25" s="226"/>
      <c r="G25" s="309"/>
      <c r="H25" s="209"/>
      <c r="I25" s="540"/>
      <c r="J25" s="227"/>
      <c r="K25" s="199" t="s">
        <v>276</v>
      </c>
      <c r="L25" s="200" t="s">
        <v>308</v>
      </c>
      <c r="M25" s="1007" t="s">
        <v>309</v>
      </c>
      <c r="O25" s="681"/>
    </row>
    <row r="26" spans="1:19" ht="15.75" customHeight="1">
      <c r="A26" s="76">
        <v>19</v>
      </c>
      <c r="B26" s="210" t="s">
        <v>310</v>
      </c>
      <c r="C26" s="232"/>
      <c r="D26" s="233"/>
      <c r="E26" s="226"/>
      <c r="F26" s="226"/>
      <c r="G26" s="309"/>
      <c r="H26" s="209"/>
      <c r="I26" s="540"/>
      <c r="J26" s="234"/>
      <c r="K26" s="199" t="s">
        <v>267</v>
      </c>
      <c r="L26" s="200" t="s">
        <v>262</v>
      </c>
      <c r="M26" s="1008"/>
      <c r="O26" s="682"/>
    </row>
    <row r="27" spans="1:19">
      <c r="A27" s="76">
        <v>20</v>
      </c>
      <c r="B27" s="210" t="s">
        <v>311</v>
      </c>
      <c r="C27" s="232"/>
      <c r="D27" s="233"/>
      <c r="E27" s="226"/>
      <c r="F27" s="226"/>
      <c r="G27" s="309"/>
      <c r="H27" s="209"/>
      <c r="I27" s="540"/>
      <c r="J27" s="234"/>
      <c r="K27" s="201" t="s">
        <v>312</v>
      </c>
      <c r="L27" s="202" t="s">
        <v>267</v>
      </c>
      <c r="M27" s="1008"/>
      <c r="O27" s="683"/>
    </row>
    <row r="28" spans="1:19">
      <c r="A28" s="76">
        <v>21</v>
      </c>
      <c r="B28" s="210" t="s">
        <v>313</v>
      </c>
      <c r="C28" s="232"/>
      <c r="D28" s="233"/>
      <c r="E28" s="226"/>
      <c r="F28" s="226"/>
      <c r="G28" s="313"/>
      <c r="H28" s="209"/>
      <c r="I28" s="540"/>
      <c r="J28" s="234"/>
      <c r="K28" s="203" t="s">
        <v>314</v>
      </c>
      <c r="L28" s="204" t="s">
        <v>315</v>
      </c>
      <c r="M28" s="1009"/>
    </row>
    <row r="29" spans="1:19" ht="13.9" thickBot="1">
      <c r="A29" s="76">
        <v>22</v>
      </c>
      <c r="B29" s="210" t="s">
        <v>316</v>
      </c>
      <c r="C29" s="232"/>
      <c r="D29" s="233"/>
      <c r="E29" s="226"/>
      <c r="F29" s="226"/>
      <c r="G29" s="313"/>
      <c r="H29" s="209"/>
      <c r="I29" s="540"/>
      <c r="J29" s="227"/>
    </row>
    <row r="30" spans="1:19" ht="26.1" customHeight="1" thickBot="1">
      <c r="A30" s="76">
        <v>23</v>
      </c>
      <c r="B30" s="210" t="s">
        <v>317</v>
      </c>
      <c r="C30" s="232"/>
      <c r="D30" s="233"/>
      <c r="E30" s="226"/>
      <c r="F30" s="226"/>
      <c r="G30" s="313"/>
      <c r="H30" s="209"/>
      <c r="I30" s="540"/>
      <c r="J30" s="234"/>
    </row>
    <row r="31" spans="1:19" ht="29.25" customHeight="1" thickBot="1">
      <c r="A31" s="76">
        <v>24</v>
      </c>
      <c r="B31" s="235" t="s">
        <v>318</v>
      </c>
      <c r="C31" s="232"/>
      <c r="D31" s="233"/>
      <c r="E31" s="226"/>
      <c r="F31" s="226"/>
      <c r="G31" s="313"/>
      <c r="H31" s="209"/>
      <c r="I31" s="540"/>
      <c r="J31" s="225"/>
      <c r="L31" s="646"/>
    </row>
    <row r="32" spans="1:19" ht="13.5" customHeight="1" thickBot="1">
      <c r="A32" s="76">
        <v>25</v>
      </c>
      <c r="B32" s="210" t="s">
        <v>319</v>
      </c>
      <c r="C32" s="232"/>
      <c r="D32" s="226"/>
      <c r="E32" s="226"/>
      <c r="F32" s="226"/>
      <c r="G32" s="309"/>
      <c r="H32" s="209"/>
      <c r="I32" s="540"/>
      <c r="J32" s="227"/>
      <c r="L32" s="647"/>
    </row>
    <row r="33" spans="1:27" ht="13.5" customHeight="1" thickBot="1">
      <c r="A33" s="76">
        <v>26</v>
      </c>
      <c r="B33" s="210" t="s">
        <v>320</v>
      </c>
      <c r="C33" s="232"/>
      <c r="D33" s="226"/>
      <c r="E33" s="226"/>
      <c r="F33" s="226"/>
      <c r="G33" s="313"/>
      <c r="H33" s="209"/>
      <c r="I33" s="540"/>
      <c r="J33" s="227"/>
      <c r="L33" s="310"/>
      <c r="N33" s="310"/>
    </row>
    <row r="34" spans="1:27" ht="13.5" customHeight="1" thickBot="1">
      <c r="A34" s="76">
        <v>27</v>
      </c>
      <c r="B34" s="210" t="s">
        <v>321</v>
      </c>
      <c r="C34" s="232"/>
      <c r="D34" s="236"/>
      <c r="E34" s="226"/>
      <c r="F34" s="226"/>
      <c r="G34" s="313"/>
      <c r="H34" s="209"/>
      <c r="I34" s="540"/>
      <c r="J34" s="227"/>
      <c r="L34" s="311"/>
      <c r="N34" s="311"/>
    </row>
    <row r="35" spans="1:27">
      <c r="B35" s="83"/>
      <c r="C35" s="83"/>
      <c r="D35" s="83"/>
      <c r="E35" s="83"/>
      <c r="F35" s="83"/>
      <c r="G35" s="83"/>
      <c r="H35" s="541"/>
      <c r="I35" s="541"/>
      <c r="J35" s="83"/>
      <c r="T35" s="84"/>
    </row>
    <row r="36" spans="1:27" ht="17.45">
      <c r="B36" s="85"/>
      <c r="T36" s="84"/>
    </row>
    <row r="37" spans="1:27">
      <c r="K37"/>
      <c r="T37" s="84"/>
    </row>
    <row r="38" spans="1:27">
      <c r="C38"/>
      <c r="D38"/>
      <c r="E38"/>
      <c r="F38"/>
      <c r="G38"/>
      <c r="H38" s="543"/>
      <c r="I38" s="543"/>
      <c r="J38"/>
      <c r="K38"/>
      <c r="L38"/>
      <c r="M38"/>
      <c r="N38"/>
      <c r="O38"/>
      <c r="P38"/>
      <c r="Q38"/>
      <c r="R38"/>
      <c r="S38"/>
      <c r="T38"/>
      <c r="U38"/>
      <c r="V38"/>
      <c r="W38"/>
      <c r="X38"/>
      <c r="Y38"/>
      <c r="Z38"/>
      <c r="AA38"/>
    </row>
    <row r="39" spans="1:27">
      <c r="C39"/>
      <c r="D39"/>
      <c r="E39"/>
      <c r="F39"/>
      <c r="G39"/>
      <c r="H39" s="543"/>
      <c r="I39" s="543"/>
      <c r="J39"/>
      <c r="M39"/>
      <c r="N39"/>
      <c r="O39"/>
      <c r="P39"/>
      <c r="Q39"/>
      <c r="R39"/>
      <c r="S39"/>
      <c r="T39"/>
      <c r="U39"/>
      <c r="V39"/>
      <c r="W39"/>
      <c r="X39"/>
      <c r="Y39"/>
      <c r="Z39"/>
      <c r="AA39"/>
    </row>
    <row r="54" spans="14:19">
      <c r="N54" s="1003"/>
      <c r="O54" s="1003"/>
      <c r="P54" s="1003"/>
      <c r="Q54" s="1003"/>
      <c r="R54" s="1003"/>
      <c r="S54" s="1003"/>
    </row>
    <row r="55" spans="14:19">
      <c r="O55" s="545"/>
      <c r="P55" s="545"/>
      <c r="Q55" s="545"/>
      <c r="R55" s="545"/>
      <c r="S55" s="545"/>
    </row>
    <row r="56" spans="14:19">
      <c r="N56" s="546"/>
      <c r="O56" s="546"/>
      <c r="P56" s="546"/>
      <c r="Q56" s="546"/>
      <c r="R56" s="546"/>
      <c r="S56" s="546"/>
    </row>
    <row r="57" spans="14:19">
      <c r="N57" s="546"/>
      <c r="O57" s="546"/>
      <c r="P57" s="546"/>
      <c r="Q57" s="546"/>
      <c r="R57" s="546"/>
      <c r="S57" s="546"/>
    </row>
    <row r="58" spans="14:19">
      <c r="N58" s="546"/>
      <c r="O58" s="546"/>
      <c r="P58" s="546"/>
      <c r="Q58" s="546"/>
      <c r="R58" s="546"/>
      <c r="S58" s="546"/>
    </row>
    <row r="59" spans="14:19">
      <c r="N59" s="546"/>
      <c r="O59" s="546"/>
      <c r="P59" s="546"/>
      <c r="Q59" s="546"/>
      <c r="R59" s="546"/>
      <c r="S59" s="546"/>
    </row>
    <row r="60" spans="14:19">
      <c r="N60" s="546"/>
      <c r="O60" s="546"/>
      <c r="P60" s="546"/>
      <c r="Q60" s="546"/>
      <c r="R60" s="546"/>
      <c r="S60" s="546"/>
    </row>
    <row r="61" spans="14:19">
      <c r="N61" s="546"/>
      <c r="O61" s="546"/>
      <c r="P61" s="546"/>
      <c r="Q61" s="546"/>
      <c r="R61" s="546"/>
      <c r="S61" s="546"/>
    </row>
    <row r="62" spans="14:19">
      <c r="N62" s="546"/>
      <c r="O62" s="546"/>
      <c r="P62" s="546"/>
      <c r="Q62" s="546"/>
      <c r="R62" s="546"/>
      <c r="S62" s="546"/>
    </row>
    <row r="63" spans="14:19">
      <c r="N63" s="546"/>
      <c r="O63" s="546"/>
      <c r="P63" s="546"/>
      <c r="Q63" s="546"/>
      <c r="R63" s="546"/>
      <c r="S63" s="546"/>
    </row>
    <row r="64" spans="14:19">
      <c r="N64" s="546"/>
      <c r="O64" s="546"/>
      <c r="P64" s="546"/>
      <c r="Q64" s="546"/>
      <c r="R64" s="546"/>
      <c r="S64" s="546"/>
    </row>
    <row r="65" spans="14:19">
      <c r="N65" s="546"/>
      <c r="O65" s="546"/>
      <c r="P65" s="546"/>
      <c r="Q65" s="546"/>
      <c r="R65" s="546"/>
      <c r="S65" s="546"/>
    </row>
    <row r="66" spans="14:19">
      <c r="N66" s="1000"/>
      <c r="O66" s="1000"/>
      <c r="P66" s="1000"/>
      <c r="Q66" s="1000"/>
      <c r="R66" s="1000"/>
      <c r="S66" s="1000"/>
    </row>
    <row r="67" spans="14:19">
      <c r="N67" s="546"/>
      <c r="O67" s="546"/>
      <c r="P67" s="546"/>
      <c r="Q67" s="546"/>
      <c r="R67" s="546"/>
      <c r="S67" s="546"/>
    </row>
    <row r="68" spans="14:19">
      <c r="N68" s="546"/>
      <c r="O68" s="546"/>
      <c r="P68" s="546"/>
      <c r="Q68" s="546"/>
      <c r="R68" s="546"/>
      <c r="S68" s="546"/>
    </row>
    <row r="69" spans="14:19">
      <c r="N69" s="546"/>
      <c r="O69" s="546"/>
      <c r="P69" s="546"/>
      <c r="Q69" s="546"/>
      <c r="R69" s="546"/>
      <c r="S69" s="546"/>
    </row>
    <row r="70" spans="14:19">
      <c r="N70" s="546"/>
      <c r="O70" s="546"/>
      <c r="P70" s="546"/>
      <c r="Q70" s="546"/>
      <c r="R70" s="546"/>
      <c r="S70" s="546"/>
    </row>
    <row r="71" spans="14:19">
      <c r="N71" s="546"/>
      <c r="O71" s="546"/>
      <c r="P71" s="546"/>
      <c r="Q71" s="546"/>
      <c r="R71" s="546"/>
      <c r="S71" s="546"/>
    </row>
    <row r="72" spans="14:19">
      <c r="N72" s="546"/>
      <c r="O72" s="546"/>
      <c r="P72" s="546"/>
      <c r="Q72" s="546"/>
      <c r="R72" s="546"/>
      <c r="S72" s="546"/>
    </row>
    <row r="73" spans="14:19">
      <c r="N73" s="546"/>
      <c r="O73" s="546"/>
      <c r="P73" s="546"/>
      <c r="Q73" s="546"/>
      <c r="R73" s="546"/>
      <c r="S73" s="546"/>
    </row>
    <row r="74" spans="14:19">
      <c r="N74" s="547"/>
      <c r="O74" s="546"/>
      <c r="P74" s="546"/>
      <c r="Q74" s="546"/>
      <c r="R74" s="546"/>
      <c r="S74" s="546"/>
    </row>
    <row r="75" spans="14:19">
      <c r="N75" s="547"/>
      <c r="O75" s="546"/>
      <c r="P75" s="546"/>
      <c r="Q75" s="546"/>
      <c r="R75" s="546"/>
      <c r="S75" s="546"/>
    </row>
    <row r="76" spans="14:19">
      <c r="N76" s="547"/>
      <c r="O76" s="546"/>
      <c r="P76" s="546"/>
      <c r="Q76" s="546"/>
      <c r="R76" s="546"/>
      <c r="S76" s="546"/>
    </row>
    <row r="77" spans="14:19">
      <c r="N77" s="546"/>
      <c r="O77" s="546"/>
      <c r="P77" s="546"/>
      <c r="Q77" s="546"/>
      <c r="R77" s="546"/>
      <c r="S77" s="546"/>
    </row>
    <row r="78" spans="14:19">
      <c r="N78" s="1000"/>
      <c r="O78" s="1000"/>
      <c r="P78" s="1000"/>
      <c r="Q78" s="1000"/>
      <c r="R78" s="1000"/>
      <c r="S78" s="1000"/>
    </row>
    <row r="79" spans="14:19">
      <c r="N79" s="546"/>
      <c r="O79" s="546"/>
      <c r="P79" s="546"/>
      <c r="Q79" s="546"/>
      <c r="R79" s="546"/>
      <c r="S79" s="546"/>
    </row>
    <row r="80" spans="14:19">
      <c r="N80" s="546"/>
      <c r="O80" s="546"/>
      <c r="P80" s="546"/>
      <c r="Q80" s="546"/>
      <c r="R80" s="546"/>
      <c r="S80" s="546"/>
    </row>
    <row r="81" spans="14:19">
      <c r="N81" s="546"/>
      <c r="O81" s="546"/>
      <c r="P81" s="546"/>
      <c r="Q81" s="546"/>
      <c r="R81" s="546"/>
      <c r="S81" s="546"/>
    </row>
    <row r="82" spans="14:19">
      <c r="N82" s="546"/>
      <c r="O82" s="546"/>
      <c r="P82" s="546"/>
      <c r="Q82" s="546"/>
      <c r="R82" s="546"/>
      <c r="S82" s="546"/>
    </row>
    <row r="83" spans="14:19">
      <c r="N83" s="546"/>
      <c r="O83" s="546"/>
      <c r="P83" s="546"/>
      <c r="Q83" s="546"/>
      <c r="R83" s="546"/>
      <c r="S83" s="546"/>
    </row>
    <row r="84" spans="14:19">
      <c r="N84" s="546"/>
      <c r="O84" s="546"/>
      <c r="P84" s="546"/>
      <c r="Q84" s="546"/>
      <c r="R84" s="546"/>
      <c r="S84" s="546"/>
    </row>
    <row r="85" spans="14:19">
      <c r="N85" s="546"/>
      <c r="O85" s="546"/>
      <c r="P85" s="546"/>
      <c r="Q85" s="546"/>
      <c r="R85" s="546"/>
      <c r="S85" s="546"/>
    </row>
    <row r="86" spans="14:19">
      <c r="N86" s="547"/>
      <c r="O86" s="546"/>
      <c r="P86" s="546"/>
      <c r="Q86" s="546"/>
      <c r="R86" s="546"/>
      <c r="S86" s="546"/>
    </row>
    <row r="87" spans="14:19">
      <c r="N87" s="547"/>
      <c r="O87" s="546"/>
      <c r="P87" s="546"/>
      <c r="Q87" s="546"/>
      <c r="R87" s="546"/>
      <c r="S87" s="546"/>
    </row>
    <row r="88" spans="14:19">
      <c r="N88" s="547"/>
      <c r="O88" s="546"/>
      <c r="P88" s="546"/>
      <c r="Q88" s="546"/>
      <c r="R88" s="546"/>
      <c r="S88" s="546"/>
    </row>
    <row r="89" spans="14:19">
      <c r="N89" s="546"/>
      <c r="O89" s="546"/>
      <c r="P89" s="546"/>
      <c r="Q89" s="546"/>
      <c r="R89" s="546"/>
      <c r="S89" s="546"/>
    </row>
    <row r="90" spans="14:19">
      <c r="N90" s="1000"/>
      <c r="O90" s="1000"/>
      <c r="P90" s="1000"/>
      <c r="Q90" s="1000"/>
      <c r="R90" s="1000"/>
      <c r="S90" s="1000"/>
    </row>
    <row r="91" spans="14:19">
      <c r="N91" s="546"/>
      <c r="O91" s="546"/>
      <c r="P91" s="546"/>
      <c r="Q91" s="546"/>
      <c r="R91" s="546"/>
      <c r="S91" s="546"/>
    </row>
    <row r="92" spans="14:19">
      <c r="N92" s="547"/>
      <c r="O92" s="546"/>
      <c r="P92" s="546"/>
      <c r="Q92" s="546"/>
      <c r="R92" s="546"/>
      <c r="S92" s="546"/>
    </row>
    <row r="93" spans="14:19">
      <c r="N93" s="547"/>
      <c r="O93" s="546"/>
      <c r="P93" s="546"/>
      <c r="Q93" s="546"/>
      <c r="R93" s="546"/>
      <c r="S93" s="546"/>
    </row>
    <row r="94" spans="14:19">
      <c r="N94" s="547"/>
      <c r="O94" s="546"/>
      <c r="P94" s="546"/>
      <c r="Q94" s="546"/>
      <c r="R94" s="546"/>
      <c r="S94" s="546"/>
    </row>
    <row r="95" spans="14:19">
      <c r="N95" s="547"/>
      <c r="O95" s="546"/>
      <c r="P95" s="546"/>
      <c r="Q95" s="546"/>
      <c r="R95" s="546"/>
      <c r="S95" s="546"/>
    </row>
    <row r="96" spans="14:19">
      <c r="N96" s="547"/>
      <c r="O96" s="546"/>
      <c r="P96" s="546"/>
      <c r="Q96" s="546"/>
      <c r="R96" s="546"/>
      <c r="S96" s="546"/>
    </row>
    <row r="97" spans="7:19">
      <c r="N97" s="547"/>
      <c r="O97" s="546"/>
      <c r="P97" s="546"/>
      <c r="Q97" s="546"/>
      <c r="R97" s="546"/>
      <c r="S97" s="546"/>
    </row>
    <row r="98" spans="7:19">
      <c r="N98" s="547"/>
      <c r="O98" s="546"/>
      <c r="P98" s="546"/>
      <c r="Q98" s="546"/>
      <c r="R98" s="546"/>
      <c r="S98" s="546"/>
    </row>
    <row r="99" spans="7:19">
      <c r="N99" s="547"/>
      <c r="O99" s="546"/>
      <c r="P99" s="546"/>
      <c r="Q99" s="546"/>
      <c r="R99" s="546"/>
      <c r="S99" s="546"/>
    </row>
    <row r="100" spans="7:19">
      <c r="G100" s="76">
        <v>24.1</v>
      </c>
      <c r="N100" s="547"/>
      <c r="O100" s="546"/>
      <c r="P100" s="546"/>
      <c r="Q100" s="546"/>
      <c r="R100" s="546"/>
      <c r="S100" s="546"/>
    </row>
    <row r="101" spans="7:19">
      <c r="G101" s="76">
        <v>196006</v>
      </c>
    </row>
  </sheetData>
  <mergeCells count="8">
    <mergeCell ref="N90:S90"/>
    <mergeCell ref="B3:J3"/>
    <mergeCell ref="K3:Q3"/>
    <mergeCell ref="N54:S54"/>
    <mergeCell ref="N66:S66"/>
    <mergeCell ref="N78:S78"/>
    <mergeCell ref="K23:M23"/>
    <mergeCell ref="M25:M28"/>
  </mergeCells>
  <conditionalFormatting sqref="C10:G10">
    <cfRule type="expression" dxfId="30" priority="19">
      <formula>$C$10="Low"</formula>
    </cfRule>
  </conditionalFormatting>
  <conditionalFormatting sqref="D6:F6 H6:J6">
    <cfRule type="expression" dxfId="29" priority="36">
      <formula>$C$6="Low"</formula>
    </cfRule>
  </conditionalFormatting>
  <conditionalFormatting sqref="D7:G7 J7">
    <cfRule type="expression" dxfId="28" priority="35">
      <formula>$C$7="Low"</formula>
    </cfRule>
  </conditionalFormatting>
  <conditionalFormatting sqref="D8:G8 I8:J8">
    <cfRule type="expression" dxfId="27" priority="34">
      <formula>$C$8="Low"</formula>
    </cfRule>
  </conditionalFormatting>
  <conditionalFormatting sqref="D9:G9 J9:J10">
    <cfRule type="expression" dxfId="26" priority="33">
      <formula>$C$9="Low"</formula>
    </cfRule>
  </conditionalFormatting>
  <conditionalFormatting sqref="D12:G12">
    <cfRule type="expression" dxfId="25" priority="31">
      <formula>$C$12="Low"</formula>
    </cfRule>
  </conditionalFormatting>
  <conditionalFormatting sqref="D13:G13 J13">
    <cfRule type="expression" dxfId="24" priority="30">
      <formula>$C$13="Low"</formula>
    </cfRule>
  </conditionalFormatting>
  <conditionalFormatting sqref="D14:G14 J14">
    <cfRule type="expression" dxfId="23" priority="29">
      <formula>$C$14="Low"</formula>
    </cfRule>
  </conditionalFormatting>
  <conditionalFormatting sqref="D15:G15 I15">
    <cfRule type="expression" dxfId="22" priority="28">
      <formula>$C$15="Low"</formula>
    </cfRule>
  </conditionalFormatting>
  <conditionalFormatting sqref="D17:G17 J17">
    <cfRule type="expression" dxfId="21" priority="26">
      <formula>$C$17="Low"</formula>
    </cfRule>
  </conditionalFormatting>
  <conditionalFormatting sqref="D19:G19 J20">
    <cfRule type="expression" dxfId="20" priority="24">
      <formula>$C$19="Low"</formula>
    </cfRule>
  </conditionalFormatting>
  <conditionalFormatting sqref="D21:G21 J21">
    <cfRule type="expression" dxfId="19" priority="22">
      <formula>$C$21="Low"</formula>
    </cfRule>
  </conditionalFormatting>
  <conditionalFormatting sqref="D18:J18">
    <cfRule type="expression" dxfId="18" priority="25">
      <formula>$C$18="Low"</formula>
    </cfRule>
  </conditionalFormatting>
  <conditionalFormatting sqref="D20:J20">
    <cfRule type="expression" dxfId="17" priority="23">
      <formula>$C$20="Low"</formula>
    </cfRule>
  </conditionalFormatting>
  <conditionalFormatting sqref="D22:J22">
    <cfRule type="expression" dxfId="16" priority="21">
      <formula>$C$22="Low"</formula>
    </cfRule>
  </conditionalFormatting>
  <conditionalFormatting sqref="G6">
    <cfRule type="expression" dxfId="15" priority="17">
      <formula>$C$7="Low"</formula>
    </cfRule>
  </conditionalFormatting>
  <conditionalFormatting sqref="H15">
    <cfRule type="expression" dxfId="14" priority="1">
      <formula>$C$12="Low"</formula>
    </cfRule>
  </conditionalFormatting>
  <conditionalFormatting sqref="H16:H17">
    <cfRule type="expression" dxfId="13" priority="6">
      <formula>$C$6="Low"</formula>
    </cfRule>
  </conditionalFormatting>
  <conditionalFormatting sqref="H19">
    <cfRule type="expression" dxfId="12" priority="5">
      <formula>$C$6="Low"</formula>
    </cfRule>
  </conditionalFormatting>
  <conditionalFormatting sqref="H21">
    <cfRule type="expression" dxfId="11" priority="4">
      <formula>$C$6="Low"</formula>
    </cfRule>
  </conditionalFormatting>
  <conditionalFormatting sqref="H24:H34">
    <cfRule type="expression" dxfId="10" priority="3">
      <formula>$C$6="Low"</formula>
    </cfRule>
  </conditionalFormatting>
  <conditionalFormatting sqref="H7:I7 H8 H9:I10">
    <cfRule type="expression" dxfId="9" priority="14">
      <formula>$C$6="Low"</formula>
    </cfRule>
  </conditionalFormatting>
  <conditionalFormatting sqref="H12:I14">
    <cfRule type="expression" dxfId="8" priority="7">
      <formula>$C$6="Low"</formula>
    </cfRule>
  </conditionalFormatting>
  <conditionalFormatting sqref="I17">
    <cfRule type="expression" dxfId="7" priority="11">
      <formula>$C$16="Low"</formula>
    </cfRule>
  </conditionalFormatting>
  <conditionalFormatting sqref="I19">
    <cfRule type="expression" dxfId="6" priority="10">
      <formula>$C$16="Low"</formula>
    </cfRule>
  </conditionalFormatting>
  <conditionalFormatting sqref="I21">
    <cfRule type="expression" dxfId="5" priority="9">
      <formula>$C$16="Low"</formula>
    </cfRule>
  </conditionalFormatting>
  <conditionalFormatting sqref="I24:I34">
    <cfRule type="expression" dxfId="4" priority="8">
      <formula>$C$16="Low"</formula>
    </cfRule>
  </conditionalFormatting>
  <conditionalFormatting sqref="J15 D16:G16 I16:J16">
    <cfRule type="expression" dxfId="3" priority="27">
      <formula>$C$16="Low"</formula>
    </cfRule>
  </conditionalFormatting>
  <conditionalFormatting sqref="J19">
    <cfRule type="expression" dxfId="2" priority="2">
      <formula>$C$17="Low"</formula>
    </cfRule>
  </conditionalFormatting>
  <dataValidations count="3">
    <dataValidation type="list" allowBlank="1" showInputMessage="1" showErrorMessage="1" sqref="D6:D22 D32:D34 F24:F34 F6:F10 F12:F22 C11" xr:uid="{3F3EAFB5-AA53-4ACB-815F-B2974A5D886C}">
      <formula1>$T$1:$T$2</formula1>
    </dataValidation>
    <dataValidation type="list" showInputMessage="1" showErrorMessage="1" sqref="B2" xr:uid="{A02853CE-D21D-44BD-9939-055BC887EFBD}">
      <formula1>Sectors</formula1>
    </dataValidation>
    <dataValidation type="list" allowBlank="1" showInputMessage="1" showErrorMessage="1" sqref="E6:E10 E24:E34 E12:E22" xr:uid="{21B53BAA-5CFE-4F77-8669-06D93A31F2C2}">
      <formula1>$L$25:$L$28</formula1>
    </dataValidation>
  </dataValidations>
  <pageMargins left="0.7" right="0.7" top="0.75" bottom="0.75" header="0.3" footer="0.3"/>
  <pageSetup paperSize="9" orientation="portrait" horizontalDpi="4294967293" verticalDpi="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tabColor rgb="FF0070C0"/>
  </sheetPr>
  <dimension ref="A1:AN88"/>
  <sheetViews>
    <sheetView showGridLines="0" topLeftCell="A57" zoomScaleNormal="85" workbookViewId="0">
      <selection activeCell="D73" sqref="D73"/>
    </sheetView>
  </sheetViews>
  <sheetFormatPr defaultColWidth="11.42578125" defaultRowHeight="13.1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2.42578125" style="2" customWidth="1"/>
    <col min="9" max="11" width="11.140625" style="2" customWidth="1"/>
    <col min="12" max="12" width="19" style="2" customWidth="1"/>
    <col min="13" max="14" width="24.28515625" style="2" bestFit="1" customWidth="1"/>
    <col min="15" max="15" width="23.140625" style="2" bestFit="1" customWidth="1"/>
    <col min="16" max="25" width="24.28515625" style="2" bestFit="1" customWidth="1"/>
    <col min="26" max="28" width="23.140625" style="2" bestFit="1" customWidth="1"/>
    <col min="29" max="30" width="24.28515625" style="2" bestFit="1" customWidth="1"/>
    <col min="31" max="32" width="23.140625" style="2" bestFit="1" customWidth="1"/>
    <col min="33" max="33" width="14.42578125" customWidth="1"/>
  </cols>
  <sheetData>
    <row r="1" spans="1:40" ht="21" customHeight="1">
      <c r="A1" s="1015" t="s">
        <v>322</v>
      </c>
      <c r="B1" s="1015"/>
      <c r="C1" s="1015"/>
      <c r="D1" s="1015"/>
      <c r="E1" s="1015"/>
      <c r="F1" s="1015"/>
      <c r="G1" s="1015"/>
      <c r="H1" s="1015"/>
      <c r="I1" s="1015"/>
      <c r="J1" s="1015"/>
      <c r="K1" s="1015"/>
      <c r="L1" s="1015"/>
      <c r="M1" s="1015"/>
      <c r="N1" s="1015"/>
      <c r="O1" s="1015"/>
      <c r="P1" s="1015"/>
      <c r="Q1" s="1015"/>
      <c r="R1" s="1015"/>
      <c r="S1" s="1015"/>
      <c r="T1" s="1015"/>
      <c r="U1" s="1015"/>
      <c r="V1" s="1015"/>
      <c r="W1" s="1015"/>
      <c r="X1" s="1015"/>
      <c r="Y1" s="1015"/>
      <c r="Z1" s="1015"/>
      <c r="AA1" s="1015"/>
      <c r="AB1" s="1015"/>
      <c r="AC1" s="1015"/>
      <c r="AD1" s="1015"/>
      <c r="AE1" s="1015"/>
      <c r="AF1" s="1015"/>
      <c r="AG1" s="11"/>
      <c r="AH1" s="11"/>
      <c r="AI1" s="11"/>
      <c r="AJ1" s="11"/>
      <c r="AK1" s="11"/>
      <c r="AL1" s="11"/>
      <c r="AM1" s="11"/>
      <c r="AN1" s="11"/>
    </row>
    <row r="2" spans="1:40" ht="3.75" customHeight="1" thickBot="1">
      <c r="A2" s="1016"/>
      <c r="B2" s="1016"/>
      <c r="C2" s="1016"/>
      <c r="D2" s="1016"/>
      <c r="E2" s="1016"/>
      <c r="F2" s="1016"/>
      <c r="G2" s="1016"/>
      <c r="H2" s="1016"/>
      <c r="I2" s="1016"/>
      <c r="J2" s="1016"/>
      <c r="K2" s="1016"/>
      <c r="L2" s="1016"/>
      <c r="M2" s="1016"/>
      <c r="N2" s="1016"/>
      <c r="O2" s="1016"/>
      <c r="P2" s="1016"/>
      <c r="Q2" s="1016"/>
      <c r="R2" s="1016"/>
      <c r="S2" s="1016"/>
      <c r="T2" s="1016"/>
      <c r="U2" s="1016"/>
      <c r="V2" s="1016"/>
      <c r="W2" s="1016"/>
      <c r="X2" s="1016"/>
      <c r="Y2" s="1016"/>
      <c r="Z2" s="1016"/>
      <c r="AA2" s="1016"/>
      <c r="AB2" s="1016"/>
      <c r="AC2" s="1016"/>
      <c r="AD2" s="1016"/>
      <c r="AE2" s="1016"/>
      <c r="AF2" s="1016"/>
      <c r="AG2" s="548"/>
      <c r="AH2" s="11"/>
      <c r="AI2" s="11"/>
      <c r="AJ2" s="11"/>
      <c r="AK2" s="11"/>
      <c r="AL2" s="11"/>
      <c r="AM2" s="11"/>
      <c r="AN2" s="11"/>
    </row>
    <row r="3" spans="1:40" ht="18.600000000000001" thickBot="1">
      <c r="A3" s="240"/>
      <c r="B3" s="240"/>
      <c r="C3" s="240"/>
      <c r="D3" s="240"/>
      <c r="E3" s="240"/>
      <c r="F3" s="240"/>
      <c r="G3" s="1023" t="s">
        <v>323</v>
      </c>
      <c r="H3" s="1024"/>
      <c r="I3" s="1024"/>
      <c r="J3" s="1024"/>
      <c r="K3" s="1025" t="s">
        <v>324</v>
      </c>
      <c r="L3" s="1026"/>
      <c r="M3" s="1026"/>
      <c r="N3" s="1026"/>
      <c r="O3" s="1026"/>
      <c r="P3" s="1026"/>
      <c r="Q3" s="1026"/>
      <c r="R3" s="1026"/>
      <c r="S3" s="1026"/>
      <c r="T3" s="1026"/>
      <c r="U3" s="1026"/>
      <c r="V3" s="1026"/>
      <c r="W3" s="1026"/>
      <c r="X3" s="1026"/>
      <c r="Y3" s="1026"/>
      <c r="Z3" s="1026"/>
      <c r="AA3" s="1026"/>
      <c r="AB3" s="1026"/>
      <c r="AC3" s="1026"/>
      <c r="AD3" s="1026"/>
      <c r="AE3" s="1026"/>
      <c r="AF3" s="1027"/>
      <c r="AG3" s="548"/>
      <c r="AH3" s="11"/>
      <c r="AI3" s="11"/>
      <c r="AJ3" s="11"/>
      <c r="AK3" s="11"/>
      <c r="AL3" s="11"/>
      <c r="AM3" s="11"/>
      <c r="AN3" s="11"/>
    </row>
    <row r="4" spans="1:40" ht="15" thickBot="1">
      <c r="A4" s="264" t="s">
        <v>325</v>
      </c>
      <c r="B4" s="267" t="s">
        <v>326</v>
      </c>
      <c r="C4" s="268" t="s">
        <v>327</v>
      </c>
      <c r="D4" s="277" t="s">
        <v>328</v>
      </c>
      <c r="E4" s="277" t="s">
        <v>329</v>
      </c>
      <c r="F4" s="278" t="s">
        <v>330</v>
      </c>
      <c r="G4" s="277">
        <v>2023</v>
      </c>
      <c r="H4" s="277">
        <f>G4+1</f>
        <v>2024</v>
      </c>
      <c r="I4" s="277">
        <f t="shared" ref="I4:AF4" si="0">H4+1</f>
        <v>2025</v>
      </c>
      <c r="J4" s="278">
        <f t="shared" si="0"/>
        <v>2026</v>
      </c>
      <c r="K4" s="279">
        <f t="shared" si="0"/>
        <v>2027</v>
      </c>
      <c r="L4" s="279">
        <f t="shared" si="0"/>
        <v>2028</v>
      </c>
      <c r="M4" s="279">
        <f t="shared" si="0"/>
        <v>2029</v>
      </c>
      <c r="N4" s="279">
        <f t="shared" si="0"/>
        <v>2030</v>
      </c>
      <c r="O4" s="279">
        <f t="shared" si="0"/>
        <v>2031</v>
      </c>
      <c r="P4" s="279">
        <f t="shared" si="0"/>
        <v>2032</v>
      </c>
      <c r="Q4" s="279">
        <f t="shared" si="0"/>
        <v>2033</v>
      </c>
      <c r="R4" s="279">
        <f t="shared" si="0"/>
        <v>2034</v>
      </c>
      <c r="S4" s="279">
        <f t="shared" si="0"/>
        <v>2035</v>
      </c>
      <c r="T4" s="279">
        <f t="shared" si="0"/>
        <v>2036</v>
      </c>
      <c r="U4" s="279">
        <f t="shared" si="0"/>
        <v>2037</v>
      </c>
      <c r="V4" s="279">
        <f t="shared" si="0"/>
        <v>2038</v>
      </c>
      <c r="W4" s="279">
        <f t="shared" si="0"/>
        <v>2039</v>
      </c>
      <c r="X4" s="279">
        <f t="shared" si="0"/>
        <v>2040</v>
      </c>
      <c r="Y4" s="279">
        <f t="shared" si="0"/>
        <v>2041</v>
      </c>
      <c r="Z4" s="279">
        <f t="shared" si="0"/>
        <v>2042</v>
      </c>
      <c r="AA4" s="279">
        <f t="shared" si="0"/>
        <v>2043</v>
      </c>
      <c r="AB4" s="279">
        <f t="shared" si="0"/>
        <v>2044</v>
      </c>
      <c r="AC4" s="279">
        <f t="shared" si="0"/>
        <v>2045</v>
      </c>
      <c r="AD4" s="279">
        <f t="shared" si="0"/>
        <v>2046</v>
      </c>
      <c r="AE4" s="279">
        <f t="shared" si="0"/>
        <v>2047</v>
      </c>
      <c r="AF4" s="280">
        <f t="shared" si="0"/>
        <v>2048</v>
      </c>
      <c r="AG4" s="548"/>
      <c r="AH4" s="11"/>
      <c r="AI4" s="11"/>
      <c r="AJ4" s="11"/>
      <c r="AK4" s="11"/>
      <c r="AL4" s="11"/>
      <c r="AM4" s="11"/>
      <c r="AN4" s="11"/>
    </row>
    <row r="5" spans="1:40">
      <c r="A5" s="1020" t="s">
        <v>331</v>
      </c>
      <c r="B5" s="269">
        <v>1</v>
      </c>
      <c r="C5" s="275" t="s">
        <v>332</v>
      </c>
      <c r="D5" s="285">
        <f>'Fin. Data'!D6</f>
        <v>-7.1771030074095576E-2</v>
      </c>
      <c r="E5" s="288">
        <f t="shared" ref="E5:AF5" si="1">+E6/D6-1</f>
        <v>0.40585381123806541</v>
      </c>
      <c r="F5" s="335">
        <f t="shared" si="1"/>
        <v>0.2916945001113338</v>
      </c>
      <c r="G5" s="351">
        <f>+G6/F6-1</f>
        <v>-1</v>
      </c>
      <c r="H5" s="352" t="e">
        <f>+H6/G6-1</f>
        <v>#DIV/0!</v>
      </c>
      <c r="I5" s="352" t="e">
        <f>+I6/H6-1</f>
        <v>#DIV/0!</v>
      </c>
      <c r="J5" s="353" t="e">
        <f>+J6/I6-1</f>
        <v>#DIV/0!</v>
      </c>
      <c r="K5" s="351" t="e">
        <f t="shared" si="1"/>
        <v>#DIV/0!</v>
      </c>
      <c r="L5" s="352" t="e">
        <f t="shared" si="1"/>
        <v>#DIV/0!</v>
      </c>
      <c r="M5" s="352" t="e">
        <f t="shared" si="1"/>
        <v>#DIV/0!</v>
      </c>
      <c r="N5" s="352" t="e">
        <f t="shared" si="1"/>
        <v>#DIV/0!</v>
      </c>
      <c r="O5" s="352" t="e">
        <f t="shared" si="1"/>
        <v>#DIV/0!</v>
      </c>
      <c r="P5" s="352" t="e">
        <f t="shared" si="1"/>
        <v>#DIV/0!</v>
      </c>
      <c r="Q5" s="352" t="e">
        <f t="shared" si="1"/>
        <v>#DIV/0!</v>
      </c>
      <c r="R5" s="352" t="e">
        <f t="shared" si="1"/>
        <v>#DIV/0!</v>
      </c>
      <c r="S5" s="352" t="e">
        <f t="shared" si="1"/>
        <v>#DIV/0!</v>
      </c>
      <c r="T5" s="352" t="e">
        <f t="shared" si="1"/>
        <v>#DIV/0!</v>
      </c>
      <c r="U5" s="352" t="e">
        <f t="shared" si="1"/>
        <v>#DIV/0!</v>
      </c>
      <c r="V5" s="352" t="e">
        <f t="shared" si="1"/>
        <v>#DIV/0!</v>
      </c>
      <c r="W5" s="352" t="e">
        <f t="shared" si="1"/>
        <v>#DIV/0!</v>
      </c>
      <c r="X5" s="352" t="e">
        <f t="shared" si="1"/>
        <v>#DIV/0!</v>
      </c>
      <c r="Y5" s="352" t="e">
        <f t="shared" si="1"/>
        <v>#DIV/0!</v>
      </c>
      <c r="Z5" s="352" t="e">
        <f t="shared" si="1"/>
        <v>#DIV/0!</v>
      </c>
      <c r="AA5" s="352" t="e">
        <f t="shared" si="1"/>
        <v>#DIV/0!</v>
      </c>
      <c r="AB5" s="352" t="e">
        <f t="shared" si="1"/>
        <v>#DIV/0!</v>
      </c>
      <c r="AC5" s="352" t="e">
        <f t="shared" si="1"/>
        <v>#DIV/0!</v>
      </c>
      <c r="AD5" s="352" t="e">
        <f t="shared" si="1"/>
        <v>#DIV/0!</v>
      </c>
      <c r="AE5" s="352" t="e">
        <f t="shared" si="1"/>
        <v>#DIV/0!</v>
      </c>
      <c r="AF5" s="353" t="e">
        <f t="shared" si="1"/>
        <v>#DIV/0!</v>
      </c>
      <c r="AG5" s="419"/>
      <c r="AH5" s="11"/>
      <c r="AI5" s="11"/>
      <c r="AJ5" s="11"/>
      <c r="AK5" s="11"/>
      <c r="AL5" s="11"/>
      <c r="AM5" s="11"/>
      <c r="AN5" s="11"/>
    </row>
    <row r="6" spans="1:40" ht="14.45">
      <c r="A6" s="1020"/>
      <c r="B6" s="269">
        <v>2</v>
      </c>
      <c r="C6" s="263" t="s">
        <v>333</v>
      </c>
      <c r="D6" s="733">
        <f>Inputs!D6</f>
        <v>6389</v>
      </c>
      <c r="E6" s="719">
        <f>Inputs!C6</f>
        <v>8982</v>
      </c>
      <c r="F6" s="336">
        <f>Inputs!B6</f>
        <v>11602</v>
      </c>
      <c r="G6" s="344"/>
      <c r="H6" s="342"/>
      <c r="I6" s="342"/>
      <c r="J6" s="345"/>
      <c r="K6" s="344"/>
      <c r="L6" s="342"/>
      <c r="M6" s="342"/>
      <c r="N6" s="342"/>
      <c r="O6" s="342"/>
      <c r="P6" s="342"/>
      <c r="Q6" s="342"/>
      <c r="R6" s="342"/>
      <c r="S6" s="342"/>
      <c r="T6" s="342"/>
      <c r="U6" s="342"/>
      <c r="V6" s="342"/>
      <c r="W6" s="342"/>
      <c r="X6" s="342"/>
      <c r="Y6" s="342"/>
      <c r="Z6" s="342"/>
      <c r="AA6" s="342"/>
      <c r="AB6" s="342"/>
      <c r="AC6" s="342"/>
      <c r="AD6" s="342"/>
      <c r="AE6" s="342"/>
      <c r="AF6" s="345"/>
      <c r="AG6" s="549"/>
      <c r="AH6" s="11"/>
      <c r="AI6" s="11"/>
      <c r="AJ6" s="11"/>
      <c r="AK6" s="11"/>
      <c r="AL6" s="11"/>
      <c r="AM6" s="11"/>
      <c r="AN6" s="11"/>
    </row>
    <row r="7" spans="1:40">
      <c r="A7" s="1020"/>
      <c r="B7" s="269">
        <v>3</v>
      </c>
      <c r="C7" s="91" t="s">
        <v>334</v>
      </c>
      <c r="D7" s="331">
        <f>D8/D6</f>
        <v>0.32446392236656751</v>
      </c>
      <c r="E7" s="328">
        <f t="shared" ref="E7:F7" si="2">E8/E6</f>
        <v>0.39300823869962148</v>
      </c>
      <c r="F7" s="337">
        <f t="shared" si="2"/>
        <v>0.40484399241510083</v>
      </c>
      <c r="G7" s="354"/>
      <c r="H7" s="355"/>
      <c r="I7" s="355"/>
      <c r="J7" s="356"/>
      <c r="K7" s="354"/>
      <c r="L7" s="355"/>
      <c r="M7" s="355"/>
      <c r="N7" s="355"/>
      <c r="O7" s="355"/>
      <c r="P7" s="355"/>
      <c r="Q7" s="355"/>
      <c r="R7" s="355"/>
      <c r="S7" s="355"/>
      <c r="T7" s="355"/>
      <c r="U7" s="355"/>
      <c r="V7" s="355"/>
      <c r="W7" s="355"/>
      <c r="X7" s="355"/>
      <c r="Y7" s="355"/>
      <c r="Z7" s="355"/>
      <c r="AA7" s="355"/>
      <c r="AB7" s="355"/>
      <c r="AC7" s="355"/>
      <c r="AD7" s="355"/>
      <c r="AE7" s="355"/>
      <c r="AF7" s="356"/>
      <c r="AG7" s="419"/>
      <c r="AH7" s="11"/>
      <c r="AI7" s="11"/>
      <c r="AJ7" s="11"/>
      <c r="AK7" s="11"/>
      <c r="AL7" s="11"/>
      <c r="AM7" s="11"/>
      <c r="AN7" s="11"/>
    </row>
    <row r="8" spans="1:40" ht="14.45">
      <c r="A8" s="1020"/>
      <c r="B8" s="269">
        <v>4</v>
      </c>
      <c r="C8" s="249" t="s">
        <v>335</v>
      </c>
      <c r="D8" s="332">
        <f>'Fin. Data'!D11</f>
        <v>2073</v>
      </c>
      <c r="E8" s="329">
        <f>'Fin. Data'!C11</f>
        <v>3530</v>
      </c>
      <c r="F8" s="338">
        <f>'Fin. Data'!B11</f>
        <v>4697</v>
      </c>
      <c r="G8" s="344">
        <f>G7*G6</f>
        <v>0</v>
      </c>
      <c r="H8" s="342">
        <f t="shared" ref="H8:AF8" si="3">H7*H6</f>
        <v>0</v>
      </c>
      <c r="I8" s="342">
        <f t="shared" si="3"/>
        <v>0</v>
      </c>
      <c r="J8" s="345">
        <f t="shared" si="3"/>
        <v>0</v>
      </c>
      <c r="K8" s="344">
        <f t="shared" si="3"/>
        <v>0</v>
      </c>
      <c r="L8" s="342">
        <f t="shared" si="3"/>
        <v>0</v>
      </c>
      <c r="M8" s="342">
        <f t="shared" si="3"/>
        <v>0</v>
      </c>
      <c r="N8" s="342">
        <f t="shared" si="3"/>
        <v>0</v>
      </c>
      <c r="O8" s="342">
        <f t="shared" si="3"/>
        <v>0</v>
      </c>
      <c r="P8" s="342">
        <f t="shared" si="3"/>
        <v>0</v>
      </c>
      <c r="Q8" s="342">
        <f t="shared" si="3"/>
        <v>0</v>
      </c>
      <c r="R8" s="342">
        <f t="shared" si="3"/>
        <v>0</v>
      </c>
      <c r="S8" s="342">
        <f t="shared" si="3"/>
        <v>0</v>
      </c>
      <c r="T8" s="342">
        <f t="shared" si="3"/>
        <v>0</v>
      </c>
      <c r="U8" s="342">
        <f t="shared" si="3"/>
        <v>0</v>
      </c>
      <c r="V8" s="342">
        <f t="shared" si="3"/>
        <v>0</v>
      </c>
      <c r="W8" s="342">
        <f t="shared" si="3"/>
        <v>0</v>
      </c>
      <c r="X8" s="342">
        <f t="shared" si="3"/>
        <v>0</v>
      </c>
      <c r="Y8" s="342">
        <f t="shared" si="3"/>
        <v>0</v>
      </c>
      <c r="Z8" s="342">
        <f t="shared" si="3"/>
        <v>0</v>
      </c>
      <c r="AA8" s="342">
        <f t="shared" si="3"/>
        <v>0</v>
      </c>
      <c r="AB8" s="342">
        <f t="shared" si="3"/>
        <v>0</v>
      </c>
      <c r="AC8" s="342">
        <f t="shared" si="3"/>
        <v>0</v>
      </c>
      <c r="AD8" s="342">
        <f t="shared" si="3"/>
        <v>0</v>
      </c>
      <c r="AE8" s="342">
        <f t="shared" si="3"/>
        <v>0</v>
      </c>
      <c r="AF8" s="345">
        <f t="shared" si="3"/>
        <v>0</v>
      </c>
      <c r="AG8" s="533"/>
      <c r="AH8" s="7"/>
      <c r="AI8" s="7"/>
      <c r="AJ8" s="7"/>
      <c r="AK8" s="11"/>
      <c r="AL8" s="11"/>
      <c r="AM8" s="11"/>
      <c r="AN8" s="11"/>
    </row>
    <row r="9" spans="1:40" ht="14.45">
      <c r="A9" s="1020"/>
      <c r="B9" s="269" t="s">
        <v>336</v>
      </c>
      <c r="C9" s="263" t="s">
        <v>337</v>
      </c>
      <c r="D9" s="519"/>
      <c r="E9" s="520"/>
      <c r="F9" s="521"/>
      <c r="G9" s="522">
        <f>$D$53*DCF!F40</f>
        <v>0</v>
      </c>
      <c r="H9" s="523">
        <f>$D$53*DCF!G40</f>
        <v>0</v>
      </c>
      <c r="I9" s="523">
        <f>$D$53*DCF!H40</f>
        <v>0</v>
      </c>
      <c r="J9" s="524">
        <f>$D$53*DCF!I40</f>
        <v>0</v>
      </c>
      <c r="K9" s="525">
        <f>$E$53*DCF!J40</f>
        <v>0</v>
      </c>
      <c r="L9" s="526">
        <f>$E$53*DCF!K40</f>
        <v>0</v>
      </c>
      <c r="M9" s="526">
        <f>$E$53*DCF!L40</f>
        <v>0</v>
      </c>
      <c r="N9" s="526">
        <f>$E$53*DCF!M40</f>
        <v>0</v>
      </c>
      <c r="O9" s="526">
        <f>$E$53*DCF!N40</f>
        <v>0</v>
      </c>
      <c r="P9" s="526">
        <f>$E$53*DCF!O40</f>
        <v>0</v>
      </c>
      <c r="Q9" s="526">
        <f>$E$53*DCF!P40</f>
        <v>0</v>
      </c>
      <c r="R9" s="526">
        <f>$E$53*DCF!Q40</f>
        <v>0</v>
      </c>
      <c r="S9" s="526">
        <f>$E$53*DCF!R40</f>
        <v>0</v>
      </c>
      <c r="T9" s="526">
        <f>$E$53*DCF!S40</f>
        <v>0</v>
      </c>
      <c r="U9" s="526">
        <f>$E$53*DCF!T40</f>
        <v>0</v>
      </c>
      <c r="V9" s="526">
        <f>$E$53*DCF!U40</f>
        <v>0</v>
      </c>
      <c r="W9" s="526">
        <f>$E$53*DCF!V40</f>
        <v>0</v>
      </c>
      <c r="X9" s="526">
        <f>$E$53*DCF!W40</f>
        <v>0</v>
      </c>
      <c r="Y9" s="526">
        <f>$E$53*DCF!X40</f>
        <v>0</v>
      </c>
      <c r="Z9" s="526">
        <f>$E$53*DCF!Y40</f>
        <v>0</v>
      </c>
      <c r="AA9" s="526">
        <f>$E$53*DCF!Z40</f>
        <v>0</v>
      </c>
      <c r="AB9" s="526">
        <f>$E$53*DCF!AA40</f>
        <v>0</v>
      </c>
      <c r="AC9" s="526">
        <f>$E$53*DCF!AB40</f>
        <v>0</v>
      </c>
      <c r="AD9" s="526">
        <f>$E$53*DCF!AC40</f>
        <v>0</v>
      </c>
      <c r="AE9" s="526">
        <f>$E$53*DCF!AD40</f>
        <v>0</v>
      </c>
      <c r="AF9" s="527">
        <f>$E$53*DCF!AE40</f>
        <v>0</v>
      </c>
      <c r="AG9" s="534">
        <f>SUM(D9:AF9)</f>
        <v>0</v>
      </c>
      <c r="AH9" s="7"/>
      <c r="AI9" s="7"/>
      <c r="AJ9" s="7"/>
      <c r="AK9" s="11"/>
      <c r="AL9" s="11"/>
      <c r="AM9" s="11"/>
      <c r="AN9" s="11"/>
    </row>
    <row r="10" spans="1:40" ht="14.45">
      <c r="A10" s="1020"/>
      <c r="B10" s="269" t="s">
        <v>338</v>
      </c>
      <c r="C10" s="263" t="s">
        <v>339</v>
      </c>
      <c r="D10" s="519"/>
      <c r="E10" s="520"/>
      <c r="F10" s="521"/>
      <c r="G10" s="522">
        <f t="shared" ref="G10:J10" si="4">F38*$D$54</f>
        <v>0</v>
      </c>
      <c r="H10" s="528">
        <f t="shared" si="4"/>
        <v>0</v>
      </c>
      <c r="I10" s="528">
        <f t="shared" si="4"/>
        <v>0</v>
      </c>
      <c r="J10" s="529">
        <f t="shared" si="4"/>
        <v>0</v>
      </c>
      <c r="K10" s="525">
        <f t="shared" ref="K10:AF10" si="5">J38*$E$54</f>
        <v>0</v>
      </c>
      <c r="L10" s="526">
        <f t="shared" si="5"/>
        <v>0</v>
      </c>
      <c r="M10" s="526">
        <f t="shared" si="5"/>
        <v>0</v>
      </c>
      <c r="N10" s="526">
        <f t="shared" si="5"/>
        <v>0</v>
      </c>
      <c r="O10" s="526">
        <f t="shared" si="5"/>
        <v>0</v>
      </c>
      <c r="P10" s="526">
        <f t="shared" si="5"/>
        <v>0</v>
      </c>
      <c r="Q10" s="526">
        <f t="shared" si="5"/>
        <v>0</v>
      </c>
      <c r="R10" s="526">
        <f t="shared" si="5"/>
        <v>0</v>
      </c>
      <c r="S10" s="526">
        <f t="shared" si="5"/>
        <v>0</v>
      </c>
      <c r="T10" s="526">
        <f t="shared" si="5"/>
        <v>0</v>
      </c>
      <c r="U10" s="526">
        <f t="shared" si="5"/>
        <v>0</v>
      </c>
      <c r="V10" s="526">
        <f t="shared" si="5"/>
        <v>0</v>
      </c>
      <c r="W10" s="526">
        <f t="shared" si="5"/>
        <v>0</v>
      </c>
      <c r="X10" s="526">
        <f t="shared" si="5"/>
        <v>0</v>
      </c>
      <c r="Y10" s="526">
        <f t="shared" si="5"/>
        <v>0</v>
      </c>
      <c r="Z10" s="526">
        <f t="shared" si="5"/>
        <v>0</v>
      </c>
      <c r="AA10" s="526">
        <f t="shared" si="5"/>
        <v>0</v>
      </c>
      <c r="AB10" s="526">
        <f t="shared" si="5"/>
        <v>0</v>
      </c>
      <c r="AC10" s="526">
        <f t="shared" si="5"/>
        <v>0</v>
      </c>
      <c r="AD10" s="526">
        <f t="shared" si="5"/>
        <v>0</v>
      </c>
      <c r="AE10" s="526">
        <f t="shared" si="5"/>
        <v>0</v>
      </c>
      <c r="AF10" s="527">
        <f t="shared" si="5"/>
        <v>0</v>
      </c>
      <c r="AG10" s="533"/>
      <c r="AH10" s="7"/>
      <c r="AI10" s="7"/>
      <c r="AJ10" s="7"/>
      <c r="AK10" s="11"/>
      <c r="AL10" s="11"/>
      <c r="AM10" s="11"/>
      <c r="AN10" s="11"/>
    </row>
    <row r="11" spans="1:40" ht="14.45">
      <c r="A11" s="1020"/>
      <c r="B11" s="269" t="s">
        <v>340</v>
      </c>
      <c r="C11" s="263" t="s">
        <v>341</v>
      </c>
      <c r="D11" s="519">
        <f>D20</f>
        <v>0</v>
      </c>
      <c r="E11" s="520">
        <f>E20</f>
        <v>0</v>
      </c>
      <c r="F11" s="521">
        <f>F20</f>
        <v>0</v>
      </c>
      <c r="G11" s="522">
        <f>G6*$D$55</f>
        <v>0</v>
      </c>
      <c r="H11" s="528">
        <f t="shared" ref="H11:AF11" si="6">H6*$D$55</f>
        <v>0</v>
      </c>
      <c r="I11" s="528">
        <f t="shared" si="6"/>
        <v>0</v>
      </c>
      <c r="J11" s="529">
        <f t="shared" si="6"/>
        <v>0</v>
      </c>
      <c r="K11" s="522">
        <f t="shared" si="6"/>
        <v>0</v>
      </c>
      <c r="L11" s="528">
        <f t="shared" si="6"/>
        <v>0</v>
      </c>
      <c r="M11" s="528">
        <f t="shared" si="6"/>
        <v>0</v>
      </c>
      <c r="N11" s="528">
        <f t="shared" si="6"/>
        <v>0</v>
      </c>
      <c r="O11" s="528">
        <f t="shared" si="6"/>
        <v>0</v>
      </c>
      <c r="P11" s="528">
        <f t="shared" si="6"/>
        <v>0</v>
      </c>
      <c r="Q11" s="528">
        <f t="shared" si="6"/>
        <v>0</v>
      </c>
      <c r="R11" s="528">
        <f t="shared" si="6"/>
        <v>0</v>
      </c>
      <c r="S11" s="528">
        <f t="shared" si="6"/>
        <v>0</v>
      </c>
      <c r="T11" s="528">
        <f t="shared" si="6"/>
        <v>0</v>
      </c>
      <c r="U11" s="528">
        <f t="shared" si="6"/>
        <v>0</v>
      </c>
      <c r="V11" s="528">
        <f t="shared" si="6"/>
        <v>0</v>
      </c>
      <c r="W11" s="528">
        <f t="shared" si="6"/>
        <v>0</v>
      </c>
      <c r="X11" s="528">
        <f t="shared" si="6"/>
        <v>0</v>
      </c>
      <c r="Y11" s="528">
        <f t="shared" si="6"/>
        <v>0</v>
      </c>
      <c r="Z11" s="528">
        <f t="shared" si="6"/>
        <v>0</v>
      </c>
      <c r="AA11" s="528">
        <f t="shared" si="6"/>
        <v>0</v>
      </c>
      <c r="AB11" s="528">
        <f t="shared" si="6"/>
        <v>0</v>
      </c>
      <c r="AC11" s="528">
        <f t="shared" si="6"/>
        <v>0</v>
      </c>
      <c r="AD11" s="528">
        <f t="shared" si="6"/>
        <v>0</v>
      </c>
      <c r="AE11" s="528">
        <f t="shared" si="6"/>
        <v>0</v>
      </c>
      <c r="AF11" s="529">
        <f t="shared" si="6"/>
        <v>0</v>
      </c>
      <c r="AG11" s="533"/>
      <c r="AH11" s="7"/>
      <c r="AI11" s="7"/>
      <c r="AJ11" s="7"/>
      <c r="AK11" s="11"/>
      <c r="AL11" s="11"/>
      <c r="AM11" s="11"/>
      <c r="AN11" s="11"/>
    </row>
    <row r="12" spans="1:40" ht="14.45">
      <c r="A12" s="1020"/>
      <c r="B12" s="269">
        <v>6</v>
      </c>
      <c r="C12" s="249" t="s">
        <v>219</v>
      </c>
      <c r="D12" s="332">
        <f>D8-D9-D10</f>
        <v>2073</v>
      </c>
      <c r="E12" s="297">
        <f t="shared" ref="E12:AF12" si="7">E8-E9-E10</f>
        <v>3530</v>
      </c>
      <c r="F12" s="339">
        <f t="shared" si="7"/>
        <v>4697</v>
      </c>
      <c r="G12" s="357">
        <f>G8-G9-G10</f>
        <v>0</v>
      </c>
      <c r="H12" s="358">
        <f t="shared" si="7"/>
        <v>0</v>
      </c>
      <c r="I12" s="358">
        <f t="shared" si="7"/>
        <v>0</v>
      </c>
      <c r="J12" s="359">
        <f t="shared" si="7"/>
        <v>0</v>
      </c>
      <c r="K12" s="357">
        <f t="shared" si="7"/>
        <v>0</v>
      </c>
      <c r="L12" s="358">
        <f t="shared" si="7"/>
        <v>0</v>
      </c>
      <c r="M12" s="358">
        <f t="shared" si="7"/>
        <v>0</v>
      </c>
      <c r="N12" s="358">
        <f t="shared" si="7"/>
        <v>0</v>
      </c>
      <c r="O12" s="358">
        <f t="shared" si="7"/>
        <v>0</v>
      </c>
      <c r="P12" s="358">
        <f t="shared" si="7"/>
        <v>0</v>
      </c>
      <c r="Q12" s="358">
        <f t="shared" si="7"/>
        <v>0</v>
      </c>
      <c r="R12" s="358">
        <f t="shared" si="7"/>
        <v>0</v>
      </c>
      <c r="S12" s="358">
        <f t="shared" si="7"/>
        <v>0</v>
      </c>
      <c r="T12" s="358">
        <f t="shared" si="7"/>
        <v>0</v>
      </c>
      <c r="U12" s="358">
        <f t="shared" si="7"/>
        <v>0</v>
      </c>
      <c r="V12" s="358">
        <f t="shared" si="7"/>
        <v>0</v>
      </c>
      <c r="W12" s="358">
        <f t="shared" si="7"/>
        <v>0</v>
      </c>
      <c r="X12" s="358">
        <f t="shared" si="7"/>
        <v>0</v>
      </c>
      <c r="Y12" s="358">
        <f t="shared" si="7"/>
        <v>0</v>
      </c>
      <c r="Z12" s="358">
        <f t="shared" si="7"/>
        <v>0</v>
      </c>
      <c r="AA12" s="358">
        <f t="shared" si="7"/>
        <v>0</v>
      </c>
      <c r="AB12" s="358">
        <f t="shared" si="7"/>
        <v>0</v>
      </c>
      <c r="AC12" s="358">
        <f t="shared" si="7"/>
        <v>0</v>
      </c>
      <c r="AD12" s="358">
        <f t="shared" si="7"/>
        <v>0</v>
      </c>
      <c r="AE12" s="358">
        <f t="shared" si="7"/>
        <v>0</v>
      </c>
      <c r="AF12" s="359">
        <f t="shared" si="7"/>
        <v>0</v>
      </c>
      <c r="AG12" s="321"/>
      <c r="AH12" s="7"/>
      <c r="AI12" s="7"/>
      <c r="AJ12" s="7"/>
      <c r="AK12" s="11"/>
      <c r="AL12" s="11"/>
      <c r="AM12" s="11"/>
      <c r="AN12" s="11"/>
    </row>
    <row r="13" spans="1:40" ht="14.45">
      <c r="A13" s="1020"/>
      <c r="B13" s="269">
        <v>7</v>
      </c>
      <c r="C13" s="263" t="s">
        <v>342</v>
      </c>
      <c r="D13" s="516">
        <f>'Fin. Data'!D14</f>
        <v>0</v>
      </c>
      <c r="E13" s="517">
        <f>'Fin. Data'!C14</f>
        <v>0</v>
      </c>
      <c r="F13" s="518">
        <f>'Fin. Data'!B14</f>
        <v>0</v>
      </c>
      <c r="G13" s="525">
        <f t="shared" ref="G13:J13" si="8">F43*$D$58-F44*$D$57</f>
        <v>0</v>
      </c>
      <c r="H13" s="526">
        <f t="shared" si="8"/>
        <v>0</v>
      </c>
      <c r="I13" s="526" t="e">
        <f t="shared" si="8"/>
        <v>#DIV/0!</v>
      </c>
      <c r="J13" s="527" t="e">
        <f t="shared" si="8"/>
        <v>#DIV/0!</v>
      </c>
      <c r="K13" s="525" t="e">
        <f>J43*$E$58-J44*$E$57</f>
        <v>#DIV/0!</v>
      </c>
      <c r="L13" s="526" t="e">
        <f t="shared" ref="L13:AF13" si="9">K43*$E$58-K44*$E$57</f>
        <v>#DIV/0!</v>
      </c>
      <c r="M13" s="526" t="e">
        <f t="shared" si="9"/>
        <v>#DIV/0!</v>
      </c>
      <c r="N13" s="526" t="e">
        <f t="shared" si="9"/>
        <v>#DIV/0!</v>
      </c>
      <c r="O13" s="526" t="e">
        <f t="shared" si="9"/>
        <v>#DIV/0!</v>
      </c>
      <c r="P13" s="526" t="e">
        <f t="shared" si="9"/>
        <v>#DIV/0!</v>
      </c>
      <c r="Q13" s="526" t="e">
        <f t="shared" si="9"/>
        <v>#DIV/0!</v>
      </c>
      <c r="R13" s="526" t="e">
        <f t="shared" si="9"/>
        <v>#DIV/0!</v>
      </c>
      <c r="S13" s="526" t="e">
        <f t="shared" si="9"/>
        <v>#DIV/0!</v>
      </c>
      <c r="T13" s="526" t="e">
        <f t="shared" si="9"/>
        <v>#DIV/0!</v>
      </c>
      <c r="U13" s="526" t="e">
        <f t="shared" si="9"/>
        <v>#DIV/0!</v>
      </c>
      <c r="V13" s="526" t="e">
        <f t="shared" si="9"/>
        <v>#DIV/0!</v>
      </c>
      <c r="W13" s="526" t="e">
        <f t="shared" si="9"/>
        <v>#DIV/0!</v>
      </c>
      <c r="X13" s="526" t="e">
        <f t="shared" si="9"/>
        <v>#DIV/0!</v>
      </c>
      <c r="Y13" s="526" t="e">
        <f t="shared" si="9"/>
        <v>#DIV/0!</v>
      </c>
      <c r="Z13" s="526" t="e">
        <f t="shared" si="9"/>
        <v>#DIV/0!</v>
      </c>
      <c r="AA13" s="526" t="e">
        <f t="shared" si="9"/>
        <v>#DIV/0!</v>
      </c>
      <c r="AB13" s="526" t="e">
        <f t="shared" si="9"/>
        <v>#DIV/0!</v>
      </c>
      <c r="AC13" s="526" t="e">
        <f t="shared" si="9"/>
        <v>#DIV/0!</v>
      </c>
      <c r="AD13" s="526" t="e">
        <f t="shared" si="9"/>
        <v>#DIV/0!</v>
      </c>
      <c r="AE13" s="526" t="e">
        <f t="shared" si="9"/>
        <v>#DIV/0!</v>
      </c>
      <c r="AF13" s="527" t="e">
        <f t="shared" si="9"/>
        <v>#DIV/0!</v>
      </c>
      <c r="AG13" s="533"/>
      <c r="AH13" s="7"/>
      <c r="AI13" s="7"/>
      <c r="AJ13" s="7"/>
      <c r="AK13" s="11"/>
      <c r="AL13" s="11"/>
      <c r="AM13" s="11"/>
      <c r="AN13" s="11"/>
    </row>
    <row r="14" spans="1:40" ht="14.45">
      <c r="A14" s="1020"/>
      <c r="B14" s="269">
        <v>8</v>
      </c>
      <c r="C14" s="263" t="s">
        <v>343</v>
      </c>
      <c r="D14" s="333">
        <f>'Fin. Data'!D15</f>
        <v>2013</v>
      </c>
      <c r="E14" s="330">
        <f>'Fin. Data'!C15</f>
        <v>2580</v>
      </c>
      <c r="F14" s="340">
        <f>'Fin. Data'!B15</f>
        <v>3389</v>
      </c>
      <c r="G14" s="344">
        <f>AVERAGE(D14:F14)*(1+G5)</f>
        <v>0</v>
      </c>
      <c r="H14" s="342" t="e">
        <f t="shared" ref="H14:AF14" si="10">AVERAGE(E14:G14)*(1+H5)</f>
        <v>#DIV/0!</v>
      </c>
      <c r="I14" s="342" t="e">
        <f t="shared" si="10"/>
        <v>#DIV/0!</v>
      </c>
      <c r="J14" s="345" t="e">
        <f t="shared" si="10"/>
        <v>#DIV/0!</v>
      </c>
      <c r="K14" s="344" t="e">
        <f t="shared" si="10"/>
        <v>#DIV/0!</v>
      </c>
      <c r="L14" s="342" t="e">
        <f t="shared" si="10"/>
        <v>#DIV/0!</v>
      </c>
      <c r="M14" s="342" t="e">
        <f t="shared" si="10"/>
        <v>#DIV/0!</v>
      </c>
      <c r="N14" s="342" t="e">
        <f t="shared" si="10"/>
        <v>#DIV/0!</v>
      </c>
      <c r="O14" s="342" t="e">
        <f t="shared" si="10"/>
        <v>#DIV/0!</v>
      </c>
      <c r="P14" s="342" t="e">
        <f t="shared" si="10"/>
        <v>#DIV/0!</v>
      </c>
      <c r="Q14" s="342" t="e">
        <f t="shared" si="10"/>
        <v>#DIV/0!</v>
      </c>
      <c r="R14" s="342" t="e">
        <f t="shared" si="10"/>
        <v>#DIV/0!</v>
      </c>
      <c r="S14" s="342" t="e">
        <f t="shared" si="10"/>
        <v>#DIV/0!</v>
      </c>
      <c r="T14" s="342" t="e">
        <f t="shared" si="10"/>
        <v>#DIV/0!</v>
      </c>
      <c r="U14" s="342" t="e">
        <f t="shared" si="10"/>
        <v>#DIV/0!</v>
      </c>
      <c r="V14" s="342" t="e">
        <f t="shared" si="10"/>
        <v>#DIV/0!</v>
      </c>
      <c r="W14" s="342" t="e">
        <f t="shared" si="10"/>
        <v>#DIV/0!</v>
      </c>
      <c r="X14" s="342" t="e">
        <f t="shared" si="10"/>
        <v>#DIV/0!</v>
      </c>
      <c r="Y14" s="342" t="e">
        <f t="shared" si="10"/>
        <v>#DIV/0!</v>
      </c>
      <c r="Z14" s="342" t="e">
        <f t="shared" si="10"/>
        <v>#DIV/0!</v>
      </c>
      <c r="AA14" s="342" t="e">
        <f t="shared" si="10"/>
        <v>#DIV/0!</v>
      </c>
      <c r="AB14" s="342" t="e">
        <f t="shared" si="10"/>
        <v>#DIV/0!</v>
      </c>
      <c r="AC14" s="342" t="e">
        <f t="shared" si="10"/>
        <v>#DIV/0!</v>
      </c>
      <c r="AD14" s="342" t="e">
        <f t="shared" si="10"/>
        <v>#DIV/0!</v>
      </c>
      <c r="AE14" s="342" t="e">
        <f t="shared" si="10"/>
        <v>#DIV/0!</v>
      </c>
      <c r="AF14" s="345" t="e">
        <f t="shared" si="10"/>
        <v>#DIV/0!</v>
      </c>
      <c r="AG14" s="533"/>
      <c r="AH14" s="7"/>
      <c r="AI14" s="7"/>
      <c r="AJ14" s="7"/>
      <c r="AK14" s="11"/>
      <c r="AL14" s="11"/>
      <c r="AM14" s="11"/>
      <c r="AN14" s="11"/>
    </row>
    <row r="15" spans="1:40" ht="14.45">
      <c r="A15" s="1020"/>
      <c r="B15" s="269">
        <v>9</v>
      </c>
      <c r="C15" s="249" t="s">
        <v>344</v>
      </c>
      <c r="D15" s="296">
        <f t="shared" ref="D15:AF15" si="11">D8+D13+D14</f>
        <v>4086</v>
      </c>
      <c r="E15" s="297">
        <f t="shared" si="11"/>
        <v>6110</v>
      </c>
      <c r="F15" s="339">
        <f t="shared" si="11"/>
        <v>8086</v>
      </c>
      <c r="G15" s="357">
        <f t="shared" si="11"/>
        <v>0</v>
      </c>
      <c r="H15" s="358" t="e">
        <f t="shared" si="11"/>
        <v>#DIV/0!</v>
      </c>
      <c r="I15" s="358" t="e">
        <f t="shared" si="11"/>
        <v>#DIV/0!</v>
      </c>
      <c r="J15" s="359" t="e">
        <f t="shared" si="11"/>
        <v>#DIV/0!</v>
      </c>
      <c r="K15" s="357" t="e">
        <f t="shared" si="11"/>
        <v>#DIV/0!</v>
      </c>
      <c r="L15" s="358" t="e">
        <f t="shared" si="11"/>
        <v>#DIV/0!</v>
      </c>
      <c r="M15" s="358" t="e">
        <f t="shared" si="11"/>
        <v>#DIV/0!</v>
      </c>
      <c r="N15" s="358" t="e">
        <f t="shared" si="11"/>
        <v>#DIV/0!</v>
      </c>
      <c r="O15" s="358" t="e">
        <f t="shared" si="11"/>
        <v>#DIV/0!</v>
      </c>
      <c r="P15" s="358" t="e">
        <f t="shared" si="11"/>
        <v>#DIV/0!</v>
      </c>
      <c r="Q15" s="358" t="e">
        <f t="shared" si="11"/>
        <v>#DIV/0!</v>
      </c>
      <c r="R15" s="358" t="e">
        <f t="shared" si="11"/>
        <v>#DIV/0!</v>
      </c>
      <c r="S15" s="358" t="e">
        <f t="shared" si="11"/>
        <v>#DIV/0!</v>
      </c>
      <c r="T15" s="358" t="e">
        <f t="shared" si="11"/>
        <v>#DIV/0!</v>
      </c>
      <c r="U15" s="358" t="e">
        <f t="shared" si="11"/>
        <v>#DIV/0!</v>
      </c>
      <c r="V15" s="358" t="e">
        <f t="shared" si="11"/>
        <v>#DIV/0!</v>
      </c>
      <c r="W15" s="358" t="e">
        <f t="shared" si="11"/>
        <v>#DIV/0!</v>
      </c>
      <c r="X15" s="358" t="e">
        <f t="shared" si="11"/>
        <v>#DIV/0!</v>
      </c>
      <c r="Y15" s="358" t="e">
        <f t="shared" si="11"/>
        <v>#DIV/0!</v>
      </c>
      <c r="Z15" s="358" t="e">
        <f t="shared" si="11"/>
        <v>#DIV/0!</v>
      </c>
      <c r="AA15" s="358" t="e">
        <f t="shared" si="11"/>
        <v>#DIV/0!</v>
      </c>
      <c r="AB15" s="358" t="e">
        <f t="shared" si="11"/>
        <v>#DIV/0!</v>
      </c>
      <c r="AC15" s="358" t="e">
        <f t="shared" si="11"/>
        <v>#DIV/0!</v>
      </c>
      <c r="AD15" s="358" t="e">
        <f t="shared" si="11"/>
        <v>#DIV/0!</v>
      </c>
      <c r="AE15" s="358" t="e">
        <f t="shared" si="11"/>
        <v>#DIV/0!</v>
      </c>
      <c r="AF15" s="359" t="e">
        <f t="shared" si="11"/>
        <v>#DIV/0!</v>
      </c>
      <c r="AG15" s="533"/>
      <c r="AH15" s="7"/>
      <c r="AI15" s="7"/>
      <c r="AJ15" s="7"/>
      <c r="AK15" s="11"/>
      <c r="AL15" s="11"/>
      <c r="AM15" s="11"/>
      <c r="AN15" s="11"/>
    </row>
    <row r="16" spans="1:40" ht="14.45">
      <c r="A16" s="1020"/>
      <c r="B16" s="269">
        <v>10</v>
      </c>
      <c r="C16" s="263" t="s">
        <v>345</v>
      </c>
      <c r="D16" s="513">
        <f>'Fin. Data'!D21</f>
        <v>0</v>
      </c>
      <c r="E16" s="514">
        <f>'Fin. Data'!C21</f>
        <v>0</v>
      </c>
      <c r="F16" s="515">
        <f>'Fin. Data'!B21</f>
        <v>0</v>
      </c>
      <c r="G16" s="488">
        <f>-(1*24%)*G15</f>
        <v>0</v>
      </c>
      <c r="H16" s="441" t="e">
        <f t="shared" ref="H16:J16" si="12">-(1*$D$56)*H15</f>
        <v>#DIV/0!</v>
      </c>
      <c r="I16" s="441" t="e">
        <f t="shared" si="12"/>
        <v>#DIV/0!</v>
      </c>
      <c r="J16" s="442" t="e">
        <f t="shared" si="12"/>
        <v>#DIV/0!</v>
      </c>
      <c r="K16" s="440" t="e">
        <f>-(1*$E$56)*K15</f>
        <v>#DIV/0!</v>
      </c>
      <c r="L16" s="441" t="e">
        <f t="shared" ref="L16:AF16" si="13">-(1*$E$56)*L15</f>
        <v>#DIV/0!</v>
      </c>
      <c r="M16" s="441" t="e">
        <f t="shared" si="13"/>
        <v>#DIV/0!</v>
      </c>
      <c r="N16" s="441" t="e">
        <f t="shared" si="13"/>
        <v>#DIV/0!</v>
      </c>
      <c r="O16" s="441" t="e">
        <f t="shared" si="13"/>
        <v>#DIV/0!</v>
      </c>
      <c r="P16" s="441" t="e">
        <f t="shared" si="13"/>
        <v>#DIV/0!</v>
      </c>
      <c r="Q16" s="441" t="e">
        <f t="shared" si="13"/>
        <v>#DIV/0!</v>
      </c>
      <c r="R16" s="441" t="e">
        <f t="shared" si="13"/>
        <v>#DIV/0!</v>
      </c>
      <c r="S16" s="441" t="e">
        <f t="shared" si="13"/>
        <v>#DIV/0!</v>
      </c>
      <c r="T16" s="441" t="e">
        <f t="shared" si="13"/>
        <v>#DIV/0!</v>
      </c>
      <c r="U16" s="441" t="e">
        <f t="shared" si="13"/>
        <v>#DIV/0!</v>
      </c>
      <c r="V16" s="441" t="e">
        <f t="shared" si="13"/>
        <v>#DIV/0!</v>
      </c>
      <c r="W16" s="441" t="e">
        <f t="shared" si="13"/>
        <v>#DIV/0!</v>
      </c>
      <c r="X16" s="441" t="e">
        <f t="shared" si="13"/>
        <v>#DIV/0!</v>
      </c>
      <c r="Y16" s="441" t="e">
        <f t="shared" si="13"/>
        <v>#DIV/0!</v>
      </c>
      <c r="Z16" s="441" t="e">
        <f t="shared" si="13"/>
        <v>#DIV/0!</v>
      </c>
      <c r="AA16" s="441" t="e">
        <f t="shared" si="13"/>
        <v>#DIV/0!</v>
      </c>
      <c r="AB16" s="441" t="e">
        <f t="shared" si="13"/>
        <v>#DIV/0!</v>
      </c>
      <c r="AC16" s="441" t="e">
        <f t="shared" si="13"/>
        <v>#DIV/0!</v>
      </c>
      <c r="AD16" s="441" t="e">
        <f t="shared" si="13"/>
        <v>#DIV/0!</v>
      </c>
      <c r="AE16" s="441" t="e">
        <f t="shared" si="13"/>
        <v>#DIV/0!</v>
      </c>
      <c r="AF16" s="442" t="e">
        <f t="shared" si="13"/>
        <v>#DIV/0!</v>
      </c>
      <c r="AG16" s="533"/>
      <c r="AH16" s="7"/>
      <c r="AI16" s="7"/>
      <c r="AJ16" s="7"/>
      <c r="AK16" s="11"/>
      <c r="AL16" s="11"/>
      <c r="AM16" s="11"/>
      <c r="AN16" s="11"/>
    </row>
    <row r="17" spans="1:40" ht="15" thickBot="1">
      <c r="A17" s="1020"/>
      <c r="B17" s="270">
        <v>11</v>
      </c>
      <c r="C17" s="276" t="s">
        <v>346</v>
      </c>
      <c r="D17" s="334">
        <f>'Fin. Data'!D23</f>
        <v>1385</v>
      </c>
      <c r="E17" s="717">
        <f>'Fin. Data'!C23</f>
        <v>2446</v>
      </c>
      <c r="F17" s="341">
        <f>'Fin. Data'!B23</f>
        <v>3367</v>
      </c>
      <c r="G17" s="348">
        <f t="shared" ref="G17:AF17" si="14">G16+G15</f>
        <v>0</v>
      </c>
      <c r="H17" s="349" t="e">
        <f t="shared" si="14"/>
        <v>#DIV/0!</v>
      </c>
      <c r="I17" s="349" t="e">
        <f t="shared" si="14"/>
        <v>#DIV/0!</v>
      </c>
      <c r="J17" s="350" t="e">
        <f t="shared" si="14"/>
        <v>#DIV/0!</v>
      </c>
      <c r="K17" s="348" t="e">
        <f t="shared" si="14"/>
        <v>#DIV/0!</v>
      </c>
      <c r="L17" s="349" t="e">
        <f t="shared" si="14"/>
        <v>#DIV/0!</v>
      </c>
      <c r="M17" s="349" t="e">
        <f t="shared" si="14"/>
        <v>#DIV/0!</v>
      </c>
      <c r="N17" s="349" t="e">
        <f t="shared" si="14"/>
        <v>#DIV/0!</v>
      </c>
      <c r="O17" s="349" t="e">
        <f t="shared" si="14"/>
        <v>#DIV/0!</v>
      </c>
      <c r="P17" s="349" t="e">
        <f t="shared" si="14"/>
        <v>#DIV/0!</v>
      </c>
      <c r="Q17" s="349" t="e">
        <f t="shared" si="14"/>
        <v>#DIV/0!</v>
      </c>
      <c r="R17" s="349" t="e">
        <f t="shared" si="14"/>
        <v>#DIV/0!</v>
      </c>
      <c r="S17" s="349" t="e">
        <f t="shared" si="14"/>
        <v>#DIV/0!</v>
      </c>
      <c r="T17" s="349" t="e">
        <f t="shared" si="14"/>
        <v>#DIV/0!</v>
      </c>
      <c r="U17" s="349" t="e">
        <f t="shared" si="14"/>
        <v>#DIV/0!</v>
      </c>
      <c r="V17" s="349" t="e">
        <f t="shared" si="14"/>
        <v>#DIV/0!</v>
      </c>
      <c r="W17" s="349" t="e">
        <f t="shared" si="14"/>
        <v>#DIV/0!</v>
      </c>
      <c r="X17" s="349" t="e">
        <f t="shared" si="14"/>
        <v>#DIV/0!</v>
      </c>
      <c r="Y17" s="349" t="e">
        <f t="shared" si="14"/>
        <v>#DIV/0!</v>
      </c>
      <c r="Z17" s="349" t="e">
        <f t="shared" si="14"/>
        <v>#DIV/0!</v>
      </c>
      <c r="AA17" s="349" t="e">
        <f t="shared" si="14"/>
        <v>#DIV/0!</v>
      </c>
      <c r="AB17" s="349" t="e">
        <f t="shared" si="14"/>
        <v>#DIV/0!</v>
      </c>
      <c r="AC17" s="349" t="e">
        <f t="shared" si="14"/>
        <v>#DIV/0!</v>
      </c>
      <c r="AD17" s="349" t="e">
        <f t="shared" si="14"/>
        <v>#DIV/0!</v>
      </c>
      <c r="AE17" s="349" t="e">
        <f t="shared" si="14"/>
        <v>#DIV/0!</v>
      </c>
      <c r="AF17" s="350" t="e">
        <f t="shared" si="14"/>
        <v>#DIV/0!</v>
      </c>
      <c r="AG17" s="533"/>
      <c r="AH17" s="7"/>
      <c r="AI17" s="7"/>
      <c r="AJ17" s="7"/>
      <c r="AK17" s="11"/>
      <c r="AL17" s="11"/>
      <c r="AM17" s="11"/>
      <c r="AN17" s="11"/>
    </row>
    <row r="18" spans="1:40" ht="15" thickBot="1">
      <c r="A18" s="253"/>
      <c r="B18" s="265"/>
      <c r="C18" s="266" t="s">
        <v>347</v>
      </c>
      <c r="D18" s="274" t="s">
        <v>347</v>
      </c>
      <c r="E18" s="274" t="s">
        <v>347</v>
      </c>
      <c r="F18" s="274" t="s">
        <v>347</v>
      </c>
      <c r="G18" s="271" t="s">
        <v>347</v>
      </c>
      <c r="H18" s="271" t="s">
        <v>347</v>
      </c>
      <c r="I18" s="271" t="s">
        <v>347</v>
      </c>
      <c r="J18" s="271" t="s">
        <v>347</v>
      </c>
      <c r="K18" s="271" t="s">
        <v>347</v>
      </c>
      <c r="L18" s="271" t="s">
        <v>347</v>
      </c>
      <c r="M18" s="271" t="s">
        <v>347</v>
      </c>
      <c r="N18" s="271" t="s">
        <v>347</v>
      </c>
      <c r="O18" s="271" t="s">
        <v>347</v>
      </c>
      <c r="P18" s="271" t="s">
        <v>347</v>
      </c>
      <c r="Q18" s="271" t="s">
        <v>347</v>
      </c>
      <c r="R18" s="271" t="s">
        <v>347</v>
      </c>
      <c r="S18" s="271" t="s">
        <v>347</v>
      </c>
      <c r="T18" s="271" t="s">
        <v>347</v>
      </c>
      <c r="U18" s="271" t="s">
        <v>347</v>
      </c>
      <c r="V18" s="271" t="s">
        <v>347</v>
      </c>
      <c r="W18" s="271" t="s">
        <v>347</v>
      </c>
      <c r="X18" s="271" t="s">
        <v>347</v>
      </c>
      <c r="Y18" s="271" t="s">
        <v>347</v>
      </c>
      <c r="Z18" s="271" t="s">
        <v>347</v>
      </c>
      <c r="AA18" s="271" t="s">
        <v>347</v>
      </c>
      <c r="AB18" s="271" t="s">
        <v>347</v>
      </c>
      <c r="AC18" s="271" t="s">
        <v>347</v>
      </c>
      <c r="AD18" s="271" t="s">
        <v>347</v>
      </c>
      <c r="AE18" s="271" t="s">
        <v>347</v>
      </c>
      <c r="AF18" s="281" t="s">
        <v>347</v>
      </c>
      <c r="AG18" s="533"/>
      <c r="AH18" s="7"/>
      <c r="AI18" s="7"/>
      <c r="AJ18" s="7"/>
      <c r="AK18" s="11"/>
      <c r="AL18" s="11"/>
      <c r="AM18" s="11"/>
      <c r="AN18" s="11"/>
    </row>
    <row r="19" spans="1:40" ht="14.45">
      <c r="A19" s="1021" t="s">
        <v>348</v>
      </c>
      <c r="B19" s="242">
        <v>12</v>
      </c>
      <c r="C19" s="455" t="s">
        <v>349</v>
      </c>
      <c r="D19" s="439"/>
      <c r="E19" s="289"/>
      <c r="F19" s="622"/>
      <c r="G19" s="509">
        <f>G17-G10-G9-G11</f>
        <v>0</v>
      </c>
      <c r="H19" s="530" t="e">
        <f t="shared" ref="H19:AF19" si="15">H17-H10-H9-H11</f>
        <v>#DIV/0!</v>
      </c>
      <c r="I19" s="530" t="e">
        <f t="shared" si="15"/>
        <v>#DIV/0!</v>
      </c>
      <c r="J19" s="531" t="e">
        <f t="shared" si="15"/>
        <v>#DIV/0!</v>
      </c>
      <c r="K19" s="509" t="e">
        <f t="shared" si="15"/>
        <v>#DIV/0!</v>
      </c>
      <c r="L19" s="530" t="e">
        <f t="shared" si="15"/>
        <v>#DIV/0!</v>
      </c>
      <c r="M19" s="530" t="e">
        <f t="shared" si="15"/>
        <v>#DIV/0!</v>
      </c>
      <c r="N19" s="530" t="e">
        <f t="shared" si="15"/>
        <v>#DIV/0!</v>
      </c>
      <c r="O19" s="530" t="e">
        <f t="shared" si="15"/>
        <v>#DIV/0!</v>
      </c>
      <c r="P19" s="530" t="e">
        <f t="shared" si="15"/>
        <v>#DIV/0!</v>
      </c>
      <c r="Q19" s="530" t="e">
        <f t="shared" si="15"/>
        <v>#DIV/0!</v>
      </c>
      <c r="R19" s="530" t="e">
        <f t="shared" si="15"/>
        <v>#DIV/0!</v>
      </c>
      <c r="S19" s="530" t="e">
        <f t="shared" si="15"/>
        <v>#DIV/0!</v>
      </c>
      <c r="T19" s="530" t="e">
        <f t="shared" si="15"/>
        <v>#DIV/0!</v>
      </c>
      <c r="U19" s="530" t="e">
        <f t="shared" si="15"/>
        <v>#DIV/0!</v>
      </c>
      <c r="V19" s="530" t="e">
        <f t="shared" si="15"/>
        <v>#DIV/0!</v>
      </c>
      <c r="W19" s="530" t="e">
        <f t="shared" si="15"/>
        <v>#DIV/0!</v>
      </c>
      <c r="X19" s="530" t="e">
        <f t="shared" si="15"/>
        <v>#DIV/0!</v>
      </c>
      <c r="Y19" s="530" t="e">
        <f t="shared" si="15"/>
        <v>#DIV/0!</v>
      </c>
      <c r="Z19" s="530" t="e">
        <f t="shared" si="15"/>
        <v>#DIV/0!</v>
      </c>
      <c r="AA19" s="530" t="e">
        <f t="shared" si="15"/>
        <v>#DIV/0!</v>
      </c>
      <c r="AB19" s="530" t="e">
        <f t="shared" si="15"/>
        <v>#DIV/0!</v>
      </c>
      <c r="AC19" s="530" t="e">
        <f t="shared" si="15"/>
        <v>#DIV/0!</v>
      </c>
      <c r="AD19" s="530" t="e">
        <f t="shared" si="15"/>
        <v>#DIV/0!</v>
      </c>
      <c r="AE19" s="530" t="e">
        <f t="shared" si="15"/>
        <v>#DIV/0!</v>
      </c>
      <c r="AF19" s="532" t="e">
        <f t="shared" si="15"/>
        <v>#DIV/0!</v>
      </c>
      <c r="AG19" s="533"/>
      <c r="AH19" s="7"/>
      <c r="AI19" s="7"/>
      <c r="AJ19" s="7"/>
      <c r="AK19" s="11"/>
      <c r="AL19" s="11"/>
      <c r="AM19" s="11"/>
      <c r="AN19" s="11"/>
    </row>
    <row r="20" spans="1:40" ht="14.45">
      <c r="A20" s="1022"/>
      <c r="B20" s="242">
        <v>13</v>
      </c>
      <c r="C20" s="263" t="s">
        <v>350</v>
      </c>
      <c r="D20" s="290"/>
      <c r="E20" s="291"/>
      <c r="F20" s="623"/>
      <c r="G20" s="509">
        <f>G11</f>
        <v>0</v>
      </c>
      <c r="H20" s="530">
        <f t="shared" ref="H20:AF20" si="16">H11</f>
        <v>0</v>
      </c>
      <c r="I20" s="530">
        <f t="shared" si="16"/>
        <v>0</v>
      </c>
      <c r="J20" s="531">
        <f t="shared" si="16"/>
        <v>0</v>
      </c>
      <c r="K20" s="509">
        <f t="shared" si="16"/>
        <v>0</v>
      </c>
      <c r="L20" s="530">
        <f t="shared" si="16"/>
        <v>0</v>
      </c>
      <c r="M20" s="530">
        <f t="shared" si="16"/>
        <v>0</v>
      </c>
      <c r="N20" s="530">
        <f t="shared" si="16"/>
        <v>0</v>
      </c>
      <c r="O20" s="530">
        <f t="shared" si="16"/>
        <v>0</v>
      </c>
      <c r="P20" s="530">
        <f t="shared" si="16"/>
        <v>0</v>
      </c>
      <c r="Q20" s="530">
        <f t="shared" si="16"/>
        <v>0</v>
      </c>
      <c r="R20" s="530">
        <f t="shared" si="16"/>
        <v>0</v>
      </c>
      <c r="S20" s="530">
        <f t="shared" si="16"/>
        <v>0</v>
      </c>
      <c r="T20" s="530">
        <f t="shared" si="16"/>
        <v>0</v>
      </c>
      <c r="U20" s="530">
        <f t="shared" si="16"/>
        <v>0</v>
      </c>
      <c r="V20" s="530">
        <f t="shared" si="16"/>
        <v>0</v>
      </c>
      <c r="W20" s="530">
        <f t="shared" si="16"/>
        <v>0</v>
      </c>
      <c r="X20" s="530">
        <f t="shared" si="16"/>
        <v>0</v>
      </c>
      <c r="Y20" s="530">
        <f t="shared" si="16"/>
        <v>0</v>
      </c>
      <c r="Z20" s="530">
        <f t="shared" si="16"/>
        <v>0</v>
      </c>
      <c r="AA20" s="530">
        <f t="shared" si="16"/>
        <v>0</v>
      </c>
      <c r="AB20" s="530">
        <f t="shared" si="16"/>
        <v>0</v>
      </c>
      <c r="AC20" s="530">
        <f t="shared" si="16"/>
        <v>0</v>
      </c>
      <c r="AD20" s="530">
        <f t="shared" si="16"/>
        <v>0</v>
      </c>
      <c r="AE20" s="530">
        <f t="shared" si="16"/>
        <v>0</v>
      </c>
      <c r="AF20" s="532">
        <f t="shared" si="16"/>
        <v>0</v>
      </c>
      <c r="AG20" s="533"/>
      <c r="AH20" s="7"/>
      <c r="AI20" s="7"/>
      <c r="AJ20" s="7"/>
      <c r="AK20" s="11"/>
      <c r="AL20" s="11"/>
      <c r="AM20" s="11"/>
      <c r="AN20" s="11"/>
    </row>
    <row r="21" spans="1:40" ht="14.45">
      <c r="A21" s="1022"/>
      <c r="B21" s="242">
        <v>14</v>
      </c>
      <c r="C21" s="263" t="s">
        <v>351</v>
      </c>
      <c r="D21" s="295">
        <f>Inputs!D62</f>
        <v>0</v>
      </c>
      <c r="E21" s="294">
        <f>Inputs!C62</f>
        <v>0</v>
      </c>
      <c r="F21" s="624">
        <f>Inputs!B62</f>
        <v>0</v>
      </c>
      <c r="G21" s="384">
        <f t="shared" ref="G21:J21" si="17">$D$60*(G6-F6)</f>
        <v>0</v>
      </c>
      <c r="H21" s="475">
        <f t="shared" si="17"/>
        <v>0</v>
      </c>
      <c r="I21" s="475">
        <f t="shared" si="17"/>
        <v>0</v>
      </c>
      <c r="J21" s="476">
        <f t="shared" si="17"/>
        <v>0</v>
      </c>
      <c r="K21" s="346">
        <f t="shared" ref="K21:AF21" si="18">$E$60*(K6-J6)</f>
        <v>0</v>
      </c>
      <c r="L21" s="343">
        <f t="shared" si="18"/>
        <v>0</v>
      </c>
      <c r="M21" s="343">
        <f t="shared" si="18"/>
        <v>0</v>
      </c>
      <c r="N21" s="343">
        <f t="shared" si="18"/>
        <v>0</v>
      </c>
      <c r="O21" s="343">
        <f t="shared" si="18"/>
        <v>0</v>
      </c>
      <c r="P21" s="343">
        <f t="shared" si="18"/>
        <v>0</v>
      </c>
      <c r="Q21" s="343">
        <f t="shared" si="18"/>
        <v>0</v>
      </c>
      <c r="R21" s="343">
        <f t="shared" si="18"/>
        <v>0</v>
      </c>
      <c r="S21" s="343">
        <f t="shared" si="18"/>
        <v>0</v>
      </c>
      <c r="T21" s="343">
        <f t="shared" si="18"/>
        <v>0</v>
      </c>
      <c r="U21" s="343">
        <f t="shared" si="18"/>
        <v>0</v>
      </c>
      <c r="V21" s="343">
        <f t="shared" si="18"/>
        <v>0</v>
      </c>
      <c r="W21" s="343">
        <f t="shared" si="18"/>
        <v>0</v>
      </c>
      <c r="X21" s="343">
        <f t="shared" si="18"/>
        <v>0</v>
      </c>
      <c r="Y21" s="343">
        <f t="shared" si="18"/>
        <v>0</v>
      </c>
      <c r="Z21" s="343">
        <f t="shared" si="18"/>
        <v>0</v>
      </c>
      <c r="AA21" s="343">
        <f t="shared" si="18"/>
        <v>0</v>
      </c>
      <c r="AB21" s="343">
        <f t="shared" si="18"/>
        <v>0</v>
      </c>
      <c r="AC21" s="343">
        <f t="shared" si="18"/>
        <v>0</v>
      </c>
      <c r="AD21" s="343">
        <f t="shared" si="18"/>
        <v>0</v>
      </c>
      <c r="AE21" s="343">
        <f t="shared" si="18"/>
        <v>0</v>
      </c>
      <c r="AF21" s="347">
        <f t="shared" si="18"/>
        <v>0</v>
      </c>
      <c r="AG21" s="533"/>
      <c r="AH21" s="7"/>
      <c r="AI21" s="7"/>
      <c r="AJ21" s="7"/>
      <c r="AK21" s="11"/>
      <c r="AL21" s="11"/>
      <c r="AM21" s="11"/>
      <c r="AN21" s="11"/>
    </row>
    <row r="22" spans="1:40" ht="14.45">
      <c r="A22" s="1022"/>
      <c r="B22" s="242">
        <v>15</v>
      </c>
      <c r="C22" s="272" t="s">
        <v>352</v>
      </c>
      <c r="D22" s="292">
        <f t="shared" ref="D22:AF22" si="19">D19+D20+D21</f>
        <v>0</v>
      </c>
      <c r="E22" s="293">
        <f t="shared" si="19"/>
        <v>0</v>
      </c>
      <c r="F22" s="625">
        <f t="shared" si="19"/>
        <v>0</v>
      </c>
      <c r="G22" s="471">
        <f>G19+G20+G21</f>
        <v>0</v>
      </c>
      <c r="H22" s="472" t="e">
        <f t="shared" si="19"/>
        <v>#DIV/0!</v>
      </c>
      <c r="I22" s="472" t="e">
        <f t="shared" si="19"/>
        <v>#DIV/0!</v>
      </c>
      <c r="J22" s="473" t="e">
        <f t="shared" si="19"/>
        <v>#DIV/0!</v>
      </c>
      <c r="K22" s="471" t="e">
        <f t="shared" si="19"/>
        <v>#DIV/0!</v>
      </c>
      <c r="L22" s="472" t="e">
        <f t="shared" si="19"/>
        <v>#DIV/0!</v>
      </c>
      <c r="M22" s="472" t="e">
        <f t="shared" si="19"/>
        <v>#DIV/0!</v>
      </c>
      <c r="N22" s="472" t="e">
        <f t="shared" si="19"/>
        <v>#DIV/0!</v>
      </c>
      <c r="O22" s="472" t="e">
        <f t="shared" si="19"/>
        <v>#DIV/0!</v>
      </c>
      <c r="P22" s="472" t="e">
        <f t="shared" si="19"/>
        <v>#DIV/0!</v>
      </c>
      <c r="Q22" s="472" t="e">
        <f t="shared" si="19"/>
        <v>#DIV/0!</v>
      </c>
      <c r="R22" s="472" t="e">
        <f t="shared" si="19"/>
        <v>#DIV/0!</v>
      </c>
      <c r="S22" s="472" t="e">
        <f t="shared" si="19"/>
        <v>#DIV/0!</v>
      </c>
      <c r="T22" s="472" t="e">
        <f t="shared" si="19"/>
        <v>#DIV/0!</v>
      </c>
      <c r="U22" s="472" t="e">
        <f t="shared" si="19"/>
        <v>#DIV/0!</v>
      </c>
      <c r="V22" s="472" t="e">
        <f t="shared" si="19"/>
        <v>#DIV/0!</v>
      </c>
      <c r="W22" s="472" t="e">
        <f t="shared" si="19"/>
        <v>#DIV/0!</v>
      </c>
      <c r="X22" s="472" t="e">
        <f t="shared" si="19"/>
        <v>#DIV/0!</v>
      </c>
      <c r="Y22" s="472" t="e">
        <f t="shared" si="19"/>
        <v>#DIV/0!</v>
      </c>
      <c r="Z22" s="472" t="e">
        <f t="shared" si="19"/>
        <v>#DIV/0!</v>
      </c>
      <c r="AA22" s="472" t="e">
        <f t="shared" si="19"/>
        <v>#DIV/0!</v>
      </c>
      <c r="AB22" s="472" t="e">
        <f t="shared" si="19"/>
        <v>#DIV/0!</v>
      </c>
      <c r="AC22" s="472" t="e">
        <f t="shared" si="19"/>
        <v>#DIV/0!</v>
      </c>
      <c r="AD22" s="472" t="e">
        <f t="shared" si="19"/>
        <v>#DIV/0!</v>
      </c>
      <c r="AE22" s="472" t="e">
        <f t="shared" si="19"/>
        <v>#DIV/0!</v>
      </c>
      <c r="AF22" s="474" t="e">
        <f t="shared" si="19"/>
        <v>#DIV/0!</v>
      </c>
      <c r="AG22" s="533"/>
      <c r="AH22" s="7"/>
      <c r="AI22" s="7"/>
      <c r="AJ22" s="7"/>
      <c r="AK22" s="11"/>
      <c r="AL22" s="11"/>
      <c r="AM22" s="11"/>
      <c r="AN22" s="11"/>
    </row>
    <row r="23" spans="1:40" ht="14.45">
      <c r="A23" s="1022"/>
      <c r="B23" s="242">
        <v>16</v>
      </c>
      <c r="C23" s="263" t="s">
        <v>353</v>
      </c>
      <c r="D23" s="318">
        <f>'Fin. Data'!D32</f>
        <v>-448</v>
      </c>
      <c r="E23" s="317">
        <f>'Fin. Data'!C32</f>
        <v>-532</v>
      </c>
      <c r="F23" s="626">
        <f>'Fin. Data'!B32</f>
        <v>-518</v>
      </c>
      <c r="G23" s="346">
        <f>G6*$D$62</f>
        <v>0</v>
      </c>
      <c r="H23" s="343">
        <f t="shared" ref="H23:J23" si="20">H6*$D$62</f>
        <v>0</v>
      </c>
      <c r="I23" s="343">
        <f t="shared" si="20"/>
        <v>0</v>
      </c>
      <c r="J23" s="453">
        <f t="shared" si="20"/>
        <v>0</v>
      </c>
      <c r="K23" s="346">
        <f t="shared" ref="K23:AF23" si="21">K6*$E$62</f>
        <v>0</v>
      </c>
      <c r="L23" s="343">
        <f t="shared" si="21"/>
        <v>0</v>
      </c>
      <c r="M23" s="343">
        <f t="shared" si="21"/>
        <v>0</v>
      </c>
      <c r="N23" s="343">
        <f t="shared" si="21"/>
        <v>0</v>
      </c>
      <c r="O23" s="343">
        <f t="shared" si="21"/>
        <v>0</v>
      </c>
      <c r="P23" s="343">
        <f t="shared" si="21"/>
        <v>0</v>
      </c>
      <c r="Q23" s="343">
        <f t="shared" si="21"/>
        <v>0</v>
      </c>
      <c r="R23" s="343">
        <f t="shared" si="21"/>
        <v>0</v>
      </c>
      <c r="S23" s="343">
        <f t="shared" si="21"/>
        <v>0</v>
      </c>
      <c r="T23" s="343">
        <f t="shared" si="21"/>
        <v>0</v>
      </c>
      <c r="U23" s="343">
        <f t="shared" si="21"/>
        <v>0</v>
      </c>
      <c r="V23" s="343">
        <f t="shared" si="21"/>
        <v>0</v>
      </c>
      <c r="W23" s="343">
        <f t="shared" si="21"/>
        <v>0</v>
      </c>
      <c r="X23" s="343">
        <f t="shared" si="21"/>
        <v>0</v>
      </c>
      <c r="Y23" s="343">
        <f t="shared" si="21"/>
        <v>0</v>
      </c>
      <c r="Z23" s="343">
        <f t="shared" si="21"/>
        <v>0</v>
      </c>
      <c r="AA23" s="343">
        <f t="shared" si="21"/>
        <v>0</v>
      </c>
      <c r="AB23" s="343">
        <f t="shared" si="21"/>
        <v>0</v>
      </c>
      <c r="AC23" s="343">
        <f t="shared" si="21"/>
        <v>0</v>
      </c>
      <c r="AD23" s="343">
        <f t="shared" si="21"/>
        <v>0</v>
      </c>
      <c r="AE23" s="343">
        <f t="shared" si="21"/>
        <v>0</v>
      </c>
      <c r="AF23" s="347">
        <f t="shared" si="21"/>
        <v>0</v>
      </c>
      <c r="AG23" s="534">
        <f>SUM(D23:AF23)</f>
        <v>-1498</v>
      </c>
      <c r="AH23" s="7"/>
      <c r="AI23" s="7"/>
      <c r="AJ23" s="7"/>
      <c r="AK23" s="11"/>
      <c r="AL23" s="11"/>
      <c r="AM23" s="11"/>
      <c r="AN23" s="11"/>
    </row>
    <row r="24" spans="1:40" ht="14.45">
      <c r="A24" s="1022"/>
      <c r="B24" s="242">
        <v>17</v>
      </c>
      <c r="C24" s="263" t="s">
        <v>354</v>
      </c>
      <c r="D24" s="295">
        <f>Inputs!D66</f>
        <v>-108</v>
      </c>
      <c r="E24" s="294">
        <f>'Fin. Data'!C33</f>
        <v>-198</v>
      </c>
      <c r="F24" s="624">
        <f>'Fin. Data'!B33</f>
        <v>-166</v>
      </c>
      <c r="G24" s="346">
        <f>G6*$D$63</f>
        <v>0</v>
      </c>
      <c r="H24" s="343">
        <f t="shared" ref="H24:J24" si="22">H6*$D$63</f>
        <v>0</v>
      </c>
      <c r="I24" s="343">
        <f t="shared" si="22"/>
        <v>0</v>
      </c>
      <c r="J24" s="453">
        <f t="shared" si="22"/>
        <v>0</v>
      </c>
      <c r="K24" s="346">
        <f t="shared" ref="K24:AF24" si="23">K6*$E$63</f>
        <v>0</v>
      </c>
      <c r="L24" s="343">
        <f t="shared" si="23"/>
        <v>0</v>
      </c>
      <c r="M24" s="343">
        <f t="shared" si="23"/>
        <v>0</v>
      </c>
      <c r="N24" s="343">
        <f t="shared" si="23"/>
        <v>0</v>
      </c>
      <c r="O24" s="343">
        <f t="shared" si="23"/>
        <v>0</v>
      </c>
      <c r="P24" s="343">
        <f t="shared" si="23"/>
        <v>0</v>
      </c>
      <c r="Q24" s="343">
        <f t="shared" si="23"/>
        <v>0</v>
      </c>
      <c r="R24" s="343">
        <f t="shared" si="23"/>
        <v>0</v>
      </c>
      <c r="S24" s="343">
        <f t="shared" si="23"/>
        <v>0</v>
      </c>
      <c r="T24" s="343">
        <f t="shared" si="23"/>
        <v>0</v>
      </c>
      <c r="U24" s="343">
        <f t="shared" si="23"/>
        <v>0</v>
      </c>
      <c r="V24" s="343">
        <f t="shared" si="23"/>
        <v>0</v>
      </c>
      <c r="W24" s="343">
        <f t="shared" si="23"/>
        <v>0</v>
      </c>
      <c r="X24" s="343">
        <f t="shared" si="23"/>
        <v>0</v>
      </c>
      <c r="Y24" s="343">
        <f t="shared" si="23"/>
        <v>0</v>
      </c>
      <c r="Z24" s="343">
        <f t="shared" si="23"/>
        <v>0</v>
      </c>
      <c r="AA24" s="343">
        <f t="shared" si="23"/>
        <v>0</v>
      </c>
      <c r="AB24" s="343">
        <f t="shared" si="23"/>
        <v>0</v>
      </c>
      <c r="AC24" s="343">
        <f t="shared" si="23"/>
        <v>0</v>
      </c>
      <c r="AD24" s="343">
        <f t="shared" si="23"/>
        <v>0</v>
      </c>
      <c r="AE24" s="343">
        <f t="shared" si="23"/>
        <v>0</v>
      </c>
      <c r="AF24" s="347">
        <f t="shared" si="23"/>
        <v>0</v>
      </c>
      <c r="AG24" s="533"/>
      <c r="AH24" s="535">
        <f>AG9-AG23</f>
        <v>1498</v>
      </c>
      <c r="AI24" s="7"/>
      <c r="AJ24" s="7"/>
      <c r="AK24" s="11"/>
      <c r="AL24" s="11"/>
      <c r="AM24" s="11"/>
      <c r="AN24" s="11"/>
    </row>
    <row r="25" spans="1:40" ht="14.45">
      <c r="A25" s="1022"/>
      <c r="B25" s="242">
        <v>18</v>
      </c>
      <c r="C25" s="263" t="s">
        <v>355</v>
      </c>
      <c r="D25" s="295">
        <f>Inputs!D67</f>
        <v>124</v>
      </c>
      <c r="E25" s="294">
        <f>Inputs!C67</f>
        <v>61</v>
      </c>
      <c r="F25" s="624">
        <f>Inputs!B67</f>
        <v>105</v>
      </c>
      <c r="G25" s="346">
        <f>(1+G5)*AVERAGE(D25:F25)</f>
        <v>0</v>
      </c>
      <c r="H25" s="343" t="e">
        <f t="shared" ref="H25:AF25" si="24">(1+H5)*AVERAGE(E25:G25)</f>
        <v>#DIV/0!</v>
      </c>
      <c r="I25" s="343" t="e">
        <f t="shared" si="24"/>
        <v>#DIV/0!</v>
      </c>
      <c r="J25" s="453" t="e">
        <f t="shared" si="24"/>
        <v>#DIV/0!</v>
      </c>
      <c r="K25" s="346" t="e">
        <f t="shared" si="24"/>
        <v>#DIV/0!</v>
      </c>
      <c r="L25" s="343" t="e">
        <f t="shared" si="24"/>
        <v>#DIV/0!</v>
      </c>
      <c r="M25" s="343" t="e">
        <f t="shared" si="24"/>
        <v>#DIV/0!</v>
      </c>
      <c r="N25" s="343" t="e">
        <f t="shared" si="24"/>
        <v>#DIV/0!</v>
      </c>
      <c r="O25" s="343" t="e">
        <f t="shared" si="24"/>
        <v>#DIV/0!</v>
      </c>
      <c r="P25" s="343" t="e">
        <f t="shared" si="24"/>
        <v>#DIV/0!</v>
      </c>
      <c r="Q25" s="343" t="e">
        <f t="shared" si="24"/>
        <v>#DIV/0!</v>
      </c>
      <c r="R25" s="343" t="e">
        <f t="shared" si="24"/>
        <v>#DIV/0!</v>
      </c>
      <c r="S25" s="343" t="e">
        <f t="shared" si="24"/>
        <v>#DIV/0!</v>
      </c>
      <c r="T25" s="343" t="e">
        <f t="shared" si="24"/>
        <v>#DIV/0!</v>
      </c>
      <c r="U25" s="343" t="e">
        <f t="shared" si="24"/>
        <v>#DIV/0!</v>
      </c>
      <c r="V25" s="343" t="e">
        <f t="shared" si="24"/>
        <v>#DIV/0!</v>
      </c>
      <c r="W25" s="343" t="e">
        <f t="shared" si="24"/>
        <v>#DIV/0!</v>
      </c>
      <c r="X25" s="343" t="e">
        <f t="shared" si="24"/>
        <v>#DIV/0!</v>
      </c>
      <c r="Y25" s="343" t="e">
        <f t="shared" si="24"/>
        <v>#DIV/0!</v>
      </c>
      <c r="Z25" s="343" t="e">
        <f t="shared" si="24"/>
        <v>#DIV/0!</v>
      </c>
      <c r="AA25" s="343" t="e">
        <f t="shared" si="24"/>
        <v>#DIV/0!</v>
      </c>
      <c r="AB25" s="343" t="e">
        <f t="shared" si="24"/>
        <v>#DIV/0!</v>
      </c>
      <c r="AC25" s="343" t="e">
        <f t="shared" si="24"/>
        <v>#DIV/0!</v>
      </c>
      <c r="AD25" s="343" t="e">
        <f t="shared" si="24"/>
        <v>#DIV/0!</v>
      </c>
      <c r="AE25" s="343" t="e">
        <f t="shared" si="24"/>
        <v>#DIV/0!</v>
      </c>
      <c r="AF25" s="347" t="e">
        <f t="shared" si="24"/>
        <v>#DIV/0!</v>
      </c>
      <c r="AG25" s="321"/>
      <c r="AH25" s="7"/>
      <c r="AI25" s="7"/>
      <c r="AJ25" s="7"/>
      <c r="AK25" s="11"/>
      <c r="AL25" s="11"/>
      <c r="AM25" s="11"/>
      <c r="AN25" s="11"/>
    </row>
    <row r="26" spans="1:40" ht="14.45">
      <c r="A26" s="1022"/>
      <c r="B26" s="242">
        <v>19</v>
      </c>
      <c r="C26" s="272" t="s">
        <v>356</v>
      </c>
      <c r="D26" s="292">
        <f t="shared" ref="D26:AF26" si="25">D23+D24+D25</f>
        <v>-432</v>
      </c>
      <c r="E26" s="293">
        <f t="shared" si="25"/>
        <v>-669</v>
      </c>
      <c r="F26" s="625">
        <f t="shared" si="25"/>
        <v>-579</v>
      </c>
      <c r="G26" s="361">
        <f>G23+G24+G25</f>
        <v>0</v>
      </c>
      <c r="H26" s="360" t="e">
        <f t="shared" si="25"/>
        <v>#DIV/0!</v>
      </c>
      <c r="I26" s="360" t="e">
        <f t="shared" si="25"/>
        <v>#DIV/0!</v>
      </c>
      <c r="J26" s="452" t="e">
        <f t="shared" si="25"/>
        <v>#DIV/0!</v>
      </c>
      <c r="K26" s="361" t="e">
        <f t="shared" si="25"/>
        <v>#DIV/0!</v>
      </c>
      <c r="L26" s="360" t="e">
        <f t="shared" si="25"/>
        <v>#DIV/0!</v>
      </c>
      <c r="M26" s="360" t="e">
        <f t="shared" si="25"/>
        <v>#DIV/0!</v>
      </c>
      <c r="N26" s="360" t="e">
        <f t="shared" si="25"/>
        <v>#DIV/0!</v>
      </c>
      <c r="O26" s="360" t="e">
        <f t="shared" si="25"/>
        <v>#DIV/0!</v>
      </c>
      <c r="P26" s="360" t="e">
        <f t="shared" si="25"/>
        <v>#DIV/0!</v>
      </c>
      <c r="Q26" s="360" t="e">
        <f t="shared" si="25"/>
        <v>#DIV/0!</v>
      </c>
      <c r="R26" s="360" t="e">
        <f t="shared" si="25"/>
        <v>#DIV/0!</v>
      </c>
      <c r="S26" s="360" t="e">
        <f t="shared" si="25"/>
        <v>#DIV/0!</v>
      </c>
      <c r="T26" s="360" t="e">
        <f t="shared" si="25"/>
        <v>#DIV/0!</v>
      </c>
      <c r="U26" s="360" t="e">
        <f t="shared" si="25"/>
        <v>#DIV/0!</v>
      </c>
      <c r="V26" s="360" t="e">
        <f t="shared" si="25"/>
        <v>#DIV/0!</v>
      </c>
      <c r="W26" s="360" t="e">
        <f t="shared" si="25"/>
        <v>#DIV/0!</v>
      </c>
      <c r="X26" s="360" t="e">
        <f t="shared" si="25"/>
        <v>#DIV/0!</v>
      </c>
      <c r="Y26" s="360" t="e">
        <f t="shared" si="25"/>
        <v>#DIV/0!</v>
      </c>
      <c r="Z26" s="360" t="e">
        <f t="shared" si="25"/>
        <v>#DIV/0!</v>
      </c>
      <c r="AA26" s="360" t="e">
        <f t="shared" si="25"/>
        <v>#DIV/0!</v>
      </c>
      <c r="AB26" s="360" t="e">
        <f t="shared" si="25"/>
        <v>#DIV/0!</v>
      </c>
      <c r="AC26" s="360" t="e">
        <f t="shared" si="25"/>
        <v>#DIV/0!</v>
      </c>
      <c r="AD26" s="360" t="e">
        <f t="shared" si="25"/>
        <v>#DIV/0!</v>
      </c>
      <c r="AE26" s="360" t="e">
        <f t="shared" si="25"/>
        <v>#DIV/0!</v>
      </c>
      <c r="AF26" s="316" t="e">
        <f t="shared" si="25"/>
        <v>#DIV/0!</v>
      </c>
      <c r="AG26" s="533"/>
      <c r="AH26" s="7"/>
      <c r="AI26" s="7"/>
      <c r="AJ26" s="7"/>
      <c r="AK26" s="11"/>
      <c r="AL26" s="11"/>
      <c r="AM26" s="11"/>
      <c r="AN26" s="11"/>
    </row>
    <row r="27" spans="1:40" ht="14.45">
      <c r="A27" s="1022"/>
      <c r="B27" s="242">
        <v>20</v>
      </c>
      <c r="C27" s="263" t="s">
        <v>357</v>
      </c>
      <c r="D27" s="295">
        <f>Inputs!D71+Inputs!D72</f>
        <v>0</v>
      </c>
      <c r="E27" s="294">
        <f>Inputs!C71+Inputs!C72</f>
        <v>0</v>
      </c>
      <c r="F27" s="626">
        <f>Inputs!B71+Inputs!B72</f>
        <v>0</v>
      </c>
      <c r="G27" s="362">
        <v>0</v>
      </c>
      <c r="H27" s="298">
        <v>0</v>
      </c>
      <c r="I27" s="298">
        <v>0</v>
      </c>
      <c r="J27" s="454">
        <v>0</v>
      </c>
      <c r="K27" s="362">
        <v>0</v>
      </c>
      <c r="L27" s="298">
        <v>0</v>
      </c>
      <c r="M27" s="298">
        <v>0</v>
      </c>
      <c r="N27" s="298">
        <v>0</v>
      </c>
      <c r="O27" s="298">
        <v>0</v>
      </c>
      <c r="P27" s="298">
        <v>0</v>
      </c>
      <c r="Q27" s="298">
        <v>0</v>
      </c>
      <c r="R27" s="298">
        <v>0</v>
      </c>
      <c r="S27" s="298">
        <v>0</v>
      </c>
      <c r="T27" s="298">
        <v>0</v>
      </c>
      <c r="U27" s="298">
        <v>0</v>
      </c>
      <c r="V27" s="298">
        <v>0</v>
      </c>
      <c r="W27" s="298">
        <v>0</v>
      </c>
      <c r="X27" s="298">
        <v>0</v>
      </c>
      <c r="Y27" s="298">
        <v>0</v>
      </c>
      <c r="Z27" s="298">
        <v>0</v>
      </c>
      <c r="AA27" s="298">
        <v>0</v>
      </c>
      <c r="AB27" s="298">
        <v>0</v>
      </c>
      <c r="AC27" s="298">
        <v>0</v>
      </c>
      <c r="AD27" s="298">
        <v>0</v>
      </c>
      <c r="AE27" s="298">
        <v>0</v>
      </c>
      <c r="AF27" s="299">
        <v>0</v>
      </c>
      <c r="AG27" s="533"/>
      <c r="AH27" s="7"/>
      <c r="AI27" s="7"/>
      <c r="AJ27" s="7"/>
      <c r="AK27" s="11"/>
      <c r="AL27" s="11"/>
      <c r="AM27" s="11"/>
      <c r="AN27" s="11"/>
    </row>
    <row r="28" spans="1:40" ht="14.45">
      <c r="A28" s="1022"/>
      <c r="B28" s="242">
        <v>21</v>
      </c>
      <c r="C28" s="263" t="s">
        <v>358</v>
      </c>
      <c r="D28" s="318">
        <f>+SUM(Inputs!D69:D70)</f>
        <v>0</v>
      </c>
      <c r="E28" s="294">
        <f>+SUM(Inputs!C69:C70)</f>
        <v>0</v>
      </c>
      <c r="F28" s="624">
        <f>+SUM(Inputs!B69:B70)</f>
        <v>0</v>
      </c>
      <c r="G28" s="346">
        <f>G44-F44</f>
        <v>-37</v>
      </c>
      <c r="H28" s="343">
        <f t="shared" ref="H28:AF28" si="26">H44-G44</f>
        <v>0</v>
      </c>
      <c r="I28" s="343">
        <f t="shared" si="26"/>
        <v>0</v>
      </c>
      <c r="J28" s="453">
        <f t="shared" si="26"/>
        <v>0</v>
      </c>
      <c r="K28" s="346">
        <f t="shared" si="26"/>
        <v>0</v>
      </c>
      <c r="L28" s="343">
        <f t="shared" si="26"/>
        <v>0</v>
      </c>
      <c r="M28" s="343">
        <f t="shared" si="26"/>
        <v>0</v>
      </c>
      <c r="N28" s="343">
        <f t="shared" si="26"/>
        <v>0</v>
      </c>
      <c r="O28" s="343">
        <f t="shared" si="26"/>
        <v>0</v>
      </c>
      <c r="P28" s="343">
        <f t="shared" si="26"/>
        <v>0</v>
      </c>
      <c r="Q28" s="343">
        <f t="shared" si="26"/>
        <v>0</v>
      </c>
      <c r="R28" s="343">
        <f t="shared" si="26"/>
        <v>0</v>
      </c>
      <c r="S28" s="343">
        <f t="shared" si="26"/>
        <v>0</v>
      </c>
      <c r="T28" s="343">
        <f t="shared" si="26"/>
        <v>0</v>
      </c>
      <c r="U28" s="343">
        <f t="shared" si="26"/>
        <v>0</v>
      </c>
      <c r="V28" s="343">
        <f t="shared" si="26"/>
        <v>0</v>
      </c>
      <c r="W28" s="343">
        <f t="shared" si="26"/>
        <v>0</v>
      </c>
      <c r="X28" s="343">
        <f t="shared" si="26"/>
        <v>0</v>
      </c>
      <c r="Y28" s="343">
        <f t="shared" si="26"/>
        <v>0</v>
      </c>
      <c r="Z28" s="343">
        <f t="shared" si="26"/>
        <v>0</v>
      </c>
      <c r="AA28" s="343">
        <f t="shared" si="26"/>
        <v>0</v>
      </c>
      <c r="AB28" s="343">
        <f t="shared" si="26"/>
        <v>0</v>
      </c>
      <c r="AC28" s="343">
        <f t="shared" si="26"/>
        <v>0</v>
      </c>
      <c r="AD28" s="343">
        <f t="shared" si="26"/>
        <v>0</v>
      </c>
      <c r="AE28" s="343">
        <f t="shared" si="26"/>
        <v>0</v>
      </c>
      <c r="AF28" s="347">
        <f t="shared" si="26"/>
        <v>0</v>
      </c>
      <c r="AG28" s="533"/>
      <c r="AH28" s="7"/>
      <c r="AI28" s="7"/>
      <c r="AJ28" s="7"/>
      <c r="AK28" s="11"/>
      <c r="AL28" s="11"/>
      <c r="AM28" s="11"/>
      <c r="AN28" s="11"/>
    </row>
    <row r="29" spans="1:40" ht="14.45">
      <c r="A29" s="1022"/>
      <c r="B29" s="242">
        <v>22</v>
      </c>
      <c r="C29" s="263" t="s">
        <v>359</v>
      </c>
      <c r="D29" s="318">
        <f>'Fin. Data'!D28</f>
        <v>0</v>
      </c>
      <c r="E29" s="294">
        <f>'Fin. Data'!C28</f>
        <v>0</v>
      </c>
      <c r="F29" s="626">
        <f>'Fin. Data'!B28</f>
        <v>0</v>
      </c>
      <c r="G29" s="346">
        <f>-G17*$D$65</f>
        <v>0</v>
      </c>
      <c r="H29" s="343" t="e">
        <f>-H17*$D$65</f>
        <v>#DIV/0!</v>
      </c>
      <c r="I29" s="343" t="e">
        <f>-I17*$D$65</f>
        <v>#DIV/0!</v>
      </c>
      <c r="J29" s="453" t="e">
        <f>-J17*$D$65</f>
        <v>#DIV/0!</v>
      </c>
      <c r="K29" s="346" t="e">
        <f t="shared" ref="K29:AF29" si="27">-K17*$E$65</f>
        <v>#DIV/0!</v>
      </c>
      <c r="L29" s="343" t="e">
        <f t="shared" si="27"/>
        <v>#DIV/0!</v>
      </c>
      <c r="M29" s="343" t="e">
        <f t="shared" si="27"/>
        <v>#DIV/0!</v>
      </c>
      <c r="N29" s="343" t="e">
        <f t="shared" si="27"/>
        <v>#DIV/0!</v>
      </c>
      <c r="O29" s="343" t="e">
        <f t="shared" si="27"/>
        <v>#DIV/0!</v>
      </c>
      <c r="P29" s="343" t="e">
        <f t="shared" si="27"/>
        <v>#DIV/0!</v>
      </c>
      <c r="Q29" s="343" t="e">
        <f t="shared" si="27"/>
        <v>#DIV/0!</v>
      </c>
      <c r="R29" s="343" t="e">
        <f t="shared" si="27"/>
        <v>#DIV/0!</v>
      </c>
      <c r="S29" s="343" t="e">
        <f t="shared" si="27"/>
        <v>#DIV/0!</v>
      </c>
      <c r="T29" s="343" t="e">
        <f t="shared" si="27"/>
        <v>#DIV/0!</v>
      </c>
      <c r="U29" s="343" t="e">
        <f t="shared" si="27"/>
        <v>#DIV/0!</v>
      </c>
      <c r="V29" s="343" t="e">
        <f t="shared" si="27"/>
        <v>#DIV/0!</v>
      </c>
      <c r="W29" s="343" t="e">
        <f t="shared" si="27"/>
        <v>#DIV/0!</v>
      </c>
      <c r="X29" s="343" t="e">
        <f t="shared" si="27"/>
        <v>#DIV/0!</v>
      </c>
      <c r="Y29" s="343" t="e">
        <f t="shared" si="27"/>
        <v>#DIV/0!</v>
      </c>
      <c r="Z29" s="343" t="e">
        <f t="shared" si="27"/>
        <v>#DIV/0!</v>
      </c>
      <c r="AA29" s="343" t="e">
        <f t="shared" si="27"/>
        <v>#DIV/0!</v>
      </c>
      <c r="AB29" s="343" t="e">
        <f t="shared" si="27"/>
        <v>#DIV/0!</v>
      </c>
      <c r="AC29" s="343" t="e">
        <f t="shared" si="27"/>
        <v>#DIV/0!</v>
      </c>
      <c r="AD29" s="343" t="e">
        <f t="shared" si="27"/>
        <v>#DIV/0!</v>
      </c>
      <c r="AE29" s="343" t="e">
        <f t="shared" si="27"/>
        <v>#DIV/0!</v>
      </c>
      <c r="AF29" s="347" t="e">
        <f t="shared" si="27"/>
        <v>#DIV/0!</v>
      </c>
      <c r="AG29" s="533"/>
      <c r="AH29" s="7"/>
      <c r="AI29" s="7"/>
      <c r="AJ29" s="7"/>
      <c r="AK29" s="11"/>
      <c r="AL29" s="11"/>
      <c r="AM29" s="11"/>
      <c r="AN29" s="11"/>
    </row>
    <row r="30" spans="1:40" s="7" customFormat="1" ht="14.45">
      <c r="A30" s="1022"/>
      <c r="B30" s="242">
        <v>23</v>
      </c>
      <c r="C30" s="263" t="s">
        <v>360</v>
      </c>
      <c r="D30" s="295">
        <f>'Fin. Data'!D27</f>
        <v>-485.1</v>
      </c>
      <c r="E30" s="294">
        <f>'Fin. Data'!C27</f>
        <v>-485</v>
      </c>
      <c r="F30" s="624">
        <f>'Fin. Data'!B27</f>
        <v>-845</v>
      </c>
      <c r="G30" s="346">
        <f>-$D$64*G17</f>
        <v>0</v>
      </c>
      <c r="H30" s="343" t="e">
        <f t="shared" ref="H30:J30" si="28">-$D$64*H17</f>
        <v>#DIV/0!</v>
      </c>
      <c r="I30" s="343" t="e">
        <f t="shared" si="28"/>
        <v>#DIV/0!</v>
      </c>
      <c r="J30" s="453" t="e">
        <f t="shared" si="28"/>
        <v>#DIV/0!</v>
      </c>
      <c r="K30" s="346" t="e">
        <f t="shared" ref="K30:AF30" si="29">-$E$64*K17</f>
        <v>#DIV/0!</v>
      </c>
      <c r="L30" s="343" t="e">
        <f t="shared" si="29"/>
        <v>#DIV/0!</v>
      </c>
      <c r="M30" s="343" t="e">
        <f t="shared" si="29"/>
        <v>#DIV/0!</v>
      </c>
      <c r="N30" s="343" t="e">
        <f t="shared" si="29"/>
        <v>#DIV/0!</v>
      </c>
      <c r="O30" s="343" t="e">
        <f t="shared" si="29"/>
        <v>#DIV/0!</v>
      </c>
      <c r="P30" s="343" t="e">
        <f t="shared" si="29"/>
        <v>#DIV/0!</v>
      </c>
      <c r="Q30" s="343" t="e">
        <f t="shared" si="29"/>
        <v>#DIV/0!</v>
      </c>
      <c r="R30" s="343" t="e">
        <f t="shared" si="29"/>
        <v>#DIV/0!</v>
      </c>
      <c r="S30" s="343" t="e">
        <f t="shared" si="29"/>
        <v>#DIV/0!</v>
      </c>
      <c r="T30" s="343" t="e">
        <f t="shared" si="29"/>
        <v>#DIV/0!</v>
      </c>
      <c r="U30" s="343" t="e">
        <f t="shared" si="29"/>
        <v>#DIV/0!</v>
      </c>
      <c r="V30" s="343" t="e">
        <f t="shared" si="29"/>
        <v>#DIV/0!</v>
      </c>
      <c r="W30" s="343" t="e">
        <f t="shared" si="29"/>
        <v>#DIV/0!</v>
      </c>
      <c r="X30" s="343" t="e">
        <f t="shared" si="29"/>
        <v>#DIV/0!</v>
      </c>
      <c r="Y30" s="343" t="e">
        <f t="shared" si="29"/>
        <v>#DIV/0!</v>
      </c>
      <c r="Z30" s="343" t="e">
        <f t="shared" si="29"/>
        <v>#DIV/0!</v>
      </c>
      <c r="AA30" s="343" t="e">
        <f t="shared" si="29"/>
        <v>#DIV/0!</v>
      </c>
      <c r="AB30" s="343" t="e">
        <f t="shared" si="29"/>
        <v>#DIV/0!</v>
      </c>
      <c r="AC30" s="343" t="e">
        <f t="shared" si="29"/>
        <v>#DIV/0!</v>
      </c>
      <c r="AD30" s="343" t="e">
        <f t="shared" si="29"/>
        <v>#DIV/0!</v>
      </c>
      <c r="AE30" s="343" t="e">
        <f t="shared" si="29"/>
        <v>#DIV/0!</v>
      </c>
      <c r="AF30" s="347" t="e">
        <f t="shared" si="29"/>
        <v>#DIV/0!</v>
      </c>
      <c r="AG30" s="533"/>
      <c r="AK30" s="11"/>
      <c r="AL30" s="11"/>
      <c r="AM30" s="11"/>
      <c r="AN30" s="11"/>
    </row>
    <row r="31" spans="1:40" s="3" customFormat="1" ht="14.45">
      <c r="A31" s="1022"/>
      <c r="B31" s="242">
        <v>24</v>
      </c>
      <c r="C31" s="263" t="s">
        <v>361</v>
      </c>
      <c r="D31" s="386">
        <f>Inputs!D75</f>
        <v>-324.89999999999998</v>
      </c>
      <c r="E31" s="385">
        <f>Inputs!C75</f>
        <v>-384</v>
      </c>
      <c r="F31" s="627">
        <f>Inputs!B75</f>
        <v>-392</v>
      </c>
      <c r="G31" s="346">
        <f>(1+G5)*AVERAGE(D31:F31)</f>
        <v>0</v>
      </c>
      <c r="H31" s="343" t="e">
        <f t="shared" ref="H31:AF31" si="30">(1+H5)*AVERAGE(E31:G31)</f>
        <v>#DIV/0!</v>
      </c>
      <c r="I31" s="343" t="e">
        <f t="shared" si="30"/>
        <v>#DIV/0!</v>
      </c>
      <c r="J31" s="453" t="e">
        <f t="shared" si="30"/>
        <v>#DIV/0!</v>
      </c>
      <c r="K31" s="506" t="e">
        <f t="shared" si="30"/>
        <v>#DIV/0!</v>
      </c>
      <c r="L31" s="507" t="e">
        <f t="shared" si="30"/>
        <v>#DIV/0!</v>
      </c>
      <c r="M31" s="507" t="e">
        <f t="shared" si="30"/>
        <v>#DIV/0!</v>
      </c>
      <c r="N31" s="507" t="e">
        <f t="shared" si="30"/>
        <v>#DIV/0!</v>
      </c>
      <c r="O31" s="507" t="e">
        <f t="shared" si="30"/>
        <v>#DIV/0!</v>
      </c>
      <c r="P31" s="507" t="e">
        <f t="shared" si="30"/>
        <v>#DIV/0!</v>
      </c>
      <c r="Q31" s="507" t="e">
        <f t="shared" si="30"/>
        <v>#DIV/0!</v>
      </c>
      <c r="R31" s="507" t="e">
        <f t="shared" si="30"/>
        <v>#DIV/0!</v>
      </c>
      <c r="S31" s="507" t="e">
        <f t="shared" si="30"/>
        <v>#DIV/0!</v>
      </c>
      <c r="T31" s="507" t="e">
        <f t="shared" si="30"/>
        <v>#DIV/0!</v>
      </c>
      <c r="U31" s="507" t="e">
        <f t="shared" si="30"/>
        <v>#DIV/0!</v>
      </c>
      <c r="V31" s="507" t="e">
        <f t="shared" si="30"/>
        <v>#DIV/0!</v>
      </c>
      <c r="W31" s="507" t="e">
        <f t="shared" si="30"/>
        <v>#DIV/0!</v>
      </c>
      <c r="X31" s="507" t="e">
        <f t="shared" si="30"/>
        <v>#DIV/0!</v>
      </c>
      <c r="Y31" s="507" t="e">
        <f t="shared" si="30"/>
        <v>#DIV/0!</v>
      </c>
      <c r="Z31" s="507" t="e">
        <f t="shared" si="30"/>
        <v>#DIV/0!</v>
      </c>
      <c r="AA31" s="507" t="e">
        <f t="shared" si="30"/>
        <v>#DIV/0!</v>
      </c>
      <c r="AB31" s="507" t="e">
        <f t="shared" si="30"/>
        <v>#DIV/0!</v>
      </c>
      <c r="AC31" s="507" t="e">
        <f t="shared" si="30"/>
        <v>#DIV/0!</v>
      </c>
      <c r="AD31" s="507" t="e">
        <f t="shared" si="30"/>
        <v>#DIV/0!</v>
      </c>
      <c r="AE31" s="507" t="e">
        <f t="shared" si="30"/>
        <v>#DIV/0!</v>
      </c>
      <c r="AF31" s="508" t="e">
        <f t="shared" si="30"/>
        <v>#DIV/0!</v>
      </c>
      <c r="AG31" s="533"/>
      <c r="AH31" s="552"/>
      <c r="AI31" s="552"/>
      <c r="AJ31" s="552"/>
      <c r="AK31" s="550"/>
      <c r="AL31" s="550"/>
      <c r="AM31" s="550"/>
      <c r="AN31" s="550"/>
    </row>
    <row r="32" spans="1:40" s="7" customFormat="1" ht="16.5" customHeight="1" thickBot="1">
      <c r="A32" s="1022"/>
      <c r="B32" s="243">
        <v>25</v>
      </c>
      <c r="C32" s="273" t="s">
        <v>362</v>
      </c>
      <c r="D32" s="447">
        <f t="shared" ref="D32:AF32" si="31">D27+D28+D29+D30+D31</f>
        <v>-810</v>
      </c>
      <c r="E32" s="448">
        <f t="shared" si="31"/>
        <v>-869</v>
      </c>
      <c r="F32" s="628">
        <f t="shared" si="31"/>
        <v>-1237</v>
      </c>
      <c r="G32" s="447">
        <f>G27+G28+G29+G30+G31</f>
        <v>-37</v>
      </c>
      <c r="H32" s="448" t="e">
        <f t="shared" si="31"/>
        <v>#DIV/0!</v>
      </c>
      <c r="I32" s="448" t="e">
        <f t="shared" si="31"/>
        <v>#DIV/0!</v>
      </c>
      <c r="J32" s="449" t="e">
        <f t="shared" si="31"/>
        <v>#DIV/0!</v>
      </c>
      <c r="K32" s="447" t="e">
        <f t="shared" si="31"/>
        <v>#DIV/0!</v>
      </c>
      <c r="L32" s="448" t="e">
        <f t="shared" si="31"/>
        <v>#DIV/0!</v>
      </c>
      <c r="M32" s="448" t="e">
        <f t="shared" si="31"/>
        <v>#DIV/0!</v>
      </c>
      <c r="N32" s="448" t="e">
        <f t="shared" si="31"/>
        <v>#DIV/0!</v>
      </c>
      <c r="O32" s="448" t="e">
        <f t="shared" si="31"/>
        <v>#DIV/0!</v>
      </c>
      <c r="P32" s="448" t="e">
        <f t="shared" si="31"/>
        <v>#DIV/0!</v>
      </c>
      <c r="Q32" s="448" t="e">
        <f t="shared" si="31"/>
        <v>#DIV/0!</v>
      </c>
      <c r="R32" s="448" t="e">
        <f t="shared" si="31"/>
        <v>#DIV/0!</v>
      </c>
      <c r="S32" s="448" t="e">
        <f t="shared" si="31"/>
        <v>#DIV/0!</v>
      </c>
      <c r="T32" s="448" t="e">
        <f t="shared" si="31"/>
        <v>#DIV/0!</v>
      </c>
      <c r="U32" s="448" t="e">
        <f t="shared" si="31"/>
        <v>#DIV/0!</v>
      </c>
      <c r="V32" s="448" t="e">
        <f t="shared" si="31"/>
        <v>#DIV/0!</v>
      </c>
      <c r="W32" s="448" t="e">
        <f t="shared" si="31"/>
        <v>#DIV/0!</v>
      </c>
      <c r="X32" s="448" t="e">
        <f t="shared" si="31"/>
        <v>#DIV/0!</v>
      </c>
      <c r="Y32" s="448" t="e">
        <f t="shared" si="31"/>
        <v>#DIV/0!</v>
      </c>
      <c r="Z32" s="448" t="e">
        <f t="shared" si="31"/>
        <v>#DIV/0!</v>
      </c>
      <c r="AA32" s="448" t="e">
        <f t="shared" si="31"/>
        <v>#DIV/0!</v>
      </c>
      <c r="AB32" s="448" t="e">
        <f t="shared" si="31"/>
        <v>#DIV/0!</v>
      </c>
      <c r="AC32" s="448" t="e">
        <f t="shared" si="31"/>
        <v>#DIV/0!</v>
      </c>
      <c r="AD32" s="448" t="e">
        <f t="shared" si="31"/>
        <v>#DIV/0!</v>
      </c>
      <c r="AE32" s="448" t="e">
        <f t="shared" si="31"/>
        <v>#DIV/0!</v>
      </c>
      <c r="AF32" s="628" t="e">
        <f t="shared" si="31"/>
        <v>#DIV/0!</v>
      </c>
      <c r="AG32" s="533"/>
      <c r="AK32" s="11"/>
      <c r="AL32" s="11"/>
      <c r="AM32" s="11"/>
      <c r="AN32" s="11"/>
    </row>
    <row r="33" spans="1:40" ht="13.9" thickBot="1">
      <c r="A33" s="1010"/>
      <c r="B33" s="1011"/>
      <c r="C33" s="1011"/>
      <c r="D33" s="1011"/>
      <c r="E33" s="1011"/>
      <c r="F33" s="1011"/>
      <c r="G33" s="1011"/>
      <c r="H33" s="1011"/>
      <c r="I33" s="1011"/>
      <c r="J33" s="1011"/>
      <c r="K33" s="1011"/>
      <c r="L33" s="1011"/>
      <c r="M33" s="1011"/>
      <c r="N33" s="1011"/>
      <c r="O33" s="1011"/>
      <c r="P33" s="1011"/>
      <c r="Q33" s="1011"/>
      <c r="R33" s="1011"/>
      <c r="S33" s="1011"/>
      <c r="T33" s="1011"/>
      <c r="U33" s="1011"/>
      <c r="V33" s="1011"/>
      <c r="W33" s="1011"/>
      <c r="X33" s="1011"/>
      <c r="Y33" s="1011"/>
      <c r="Z33" s="1011"/>
      <c r="AA33" s="1011"/>
      <c r="AB33" s="1011"/>
      <c r="AC33" s="1011"/>
      <c r="AD33" s="1011"/>
      <c r="AE33" s="1011"/>
      <c r="AF33" s="1012"/>
      <c r="AG33" s="7"/>
      <c r="AH33" s="7"/>
      <c r="AI33" s="7"/>
      <c r="AJ33" s="7"/>
      <c r="AK33" s="11"/>
      <c r="AL33" s="11"/>
      <c r="AM33" s="11"/>
      <c r="AN33" s="11"/>
    </row>
    <row r="34" spans="1:40" ht="14.45">
      <c r="A34" s="1034" t="s">
        <v>363</v>
      </c>
      <c r="B34" s="242">
        <v>26</v>
      </c>
      <c r="C34" s="246" t="s">
        <v>364</v>
      </c>
      <c r="D34" s="443">
        <f>D22+D26+D27+D28+D31</f>
        <v>-756.9</v>
      </c>
      <c r="E34" s="444">
        <f t="shared" ref="E34:AF34" si="32">E22+E26+E27+E28+E31</f>
        <v>-1053</v>
      </c>
      <c r="F34" s="484">
        <f t="shared" si="32"/>
        <v>-971</v>
      </c>
      <c r="G34" s="629">
        <f t="shared" si="32"/>
        <v>-37</v>
      </c>
      <c r="H34" s="445" t="e">
        <f t="shared" si="32"/>
        <v>#DIV/0!</v>
      </c>
      <c r="I34" s="445" t="e">
        <f t="shared" si="32"/>
        <v>#DIV/0!</v>
      </c>
      <c r="J34" s="446" t="e">
        <f t="shared" si="32"/>
        <v>#DIV/0!</v>
      </c>
      <c r="K34" s="483" t="e">
        <f t="shared" si="32"/>
        <v>#DIV/0!</v>
      </c>
      <c r="L34" s="445" t="e">
        <f t="shared" si="32"/>
        <v>#DIV/0!</v>
      </c>
      <c r="M34" s="445" t="e">
        <f t="shared" si="32"/>
        <v>#DIV/0!</v>
      </c>
      <c r="N34" s="445" t="e">
        <f t="shared" si="32"/>
        <v>#DIV/0!</v>
      </c>
      <c r="O34" s="445" t="e">
        <f t="shared" si="32"/>
        <v>#DIV/0!</v>
      </c>
      <c r="P34" s="445" t="e">
        <f t="shared" si="32"/>
        <v>#DIV/0!</v>
      </c>
      <c r="Q34" s="445" t="e">
        <f t="shared" si="32"/>
        <v>#DIV/0!</v>
      </c>
      <c r="R34" s="445" t="e">
        <f t="shared" si="32"/>
        <v>#DIV/0!</v>
      </c>
      <c r="S34" s="445" t="e">
        <f t="shared" si="32"/>
        <v>#DIV/0!</v>
      </c>
      <c r="T34" s="445" t="e">
        <f t="shared" si="32"/>
        <v>#DIV/0!</v>
      </c>
      <c r="U34" s="445" t="e">
        <f t="shared" si="32"/>
        <v>#DIV/0!</v>
      </c>
      <c r="V34" s="445" t="e">
        <f t="shared" si="32"/>
        <v>#DIV/0!</v>
      </c>
      <c r="W34" s="445" t="e">
        <f t="shared" si="32"/>
        <v>#DIV/0!</v>
      </c>
      <c r="X34" s="445" t="e">
        <f t="shared" si="32"/>
        <v>#DIV/0!</v>
      </c>
      <c r="Y34" s="445" t="e">
        <f t="shared" si="32"/>
        <v>#DIV/0!</v>
      </c>
      <c r="Z34" s="445" t="e">
        <f t="shared" si="32"/>
        <v>#DIV/0!</v>
      </c>
      <c r="AA34" s="445" t="e">
        <f t="shared" si="32"/>
        <v>#DIV/0!</v>
      </c>
      <c r="AB34" s="445" t="e">
        <f t="shared" si="32"/>
        <v>#DIV/0!</v>
      </c>
      <c r="AC34" s="445" t="e">
        <f t="shared" si="32"/>
        <v>#DIV/0!</v>
      </c>
      <c r="AD34" s="445" t="e">
        <f t="shared" si="32"/>
        <v>#DIV/0!</v>
      </c>
      <c r="AE34" s="445" t="e">
        <f t="shared" si="32"/>
        <v>#DIV/0!</v>
      </c>
      <c r="AF34" s="446" t="e">
        <f t="shared" si="32"/>
        <v>#DIV/0!</v>
      </c>
      <c r="AG34" s="533"/>
      <c r="AH34" s="7"/>
      <c r="AI34" s="7"/>
      <c r="AJ34" s="7"/>
      <c r="AK34" s="11"/>
      <c r="AL34" s="11"/>
      <c r="AM34" s="11"/>
      <c r="AN34" s="11"/>
    </row>
    <row r="35" spans="1:40" s="3" customFormat="1" ht="14.45">
      <c r="A35" s="1034"/>
      <c r="B35" s="242">
        <v>27</v>
      </c>
      <c r="C35" s="246" t="s">
        <v>365</v>
      </c>
      <c r="D35" s="366">
        <f>-1*(D29+D30)</f>
        <v>485.1</v>
      </c>
      <c r="E35" s="363">
        <f t="shared" ref="E35:AF35" si="33">-1*(E29+E30)</f>
        <v>485</v>
      </c>
      <c r="F35" s="368">
        <f t="shared" si="33"/>
        <v>845</v>
      </c>
      <c r="G35" s="376">
        <f t="shared" si="33"/>
        <v>0</v>
      </c>
      <c r="H35" s="319" t="e">
        <f t="shared" si="33"/>
        <v>#DIV/0!</v>
      </c>
      <c r="I35" s="319" t="e">
        <f t="shared" si="33"/>
        <v>#DIV/0!</v>
      </c>
      <c r="J35" s="377" t="e">
        <f t="shared" si="33"/>
        <v>#DIV/0!</v>
      </c>
      <c r="K35" s="319" t="e">
        <f t="shared" si="33"/>
        <v>#DIV/0!</v>
      </c>
      <c r="L35" s="319" t="e">
        <f t="shared" si="33"/>
        <v>#DIV/0!</v>
      </c>
      <c r="M35" s="319" t="e">
        <f t="shared" si="33"/>
        <v>#DIV/0!</v>
      </c>
      <c r="N35" s="319" t="e">
        <f t="shared" si="33"/>
        <v>#DIV/0!</v>
      </c>
      <c r="O35" s="319" t="e">
        <f t="shared" si="33"/>
        <v>#DIV/0!</v>
      </c>
      <c r="P35" s="319" t="e">
        <f t="shared" si="33"/>
        <v>#DIV/0!</v>
      </c>
      <c r="Q35" s="319" t="e">
        <f t="shared" si="33"/>
        <v>#DIV/0!</v>
      </c>
      <c r="R35" s="319" t="e">
        <f t="shared" si="33"/>
        <v>#DIV/0!</v>
      </c>
      <c r="S35" s="319" t="e">
        <f t="shared" si="33"/>
        <v>#DIV/0!</v>
      </c>
      <c r="T35" s="319" t="e">
        <f t="shared" si="33"/>
        <v>#DIV/0!</v>
      </c>
      <c r="U35" s="319" t="e">
        <f t="shared" si="33"/>
        <v>#DIV/0!</v>
      </c>
      <c r="V35" s="319" t="e">
        <f t="shared" si="33"/>
        <v>#DIV/0!</v>
      </c>
      <c r="W35" s="319" t="e">
        <f t="shared" si="33"/>
        <v>#DIV/0!</v>
      </c>
      <c r="X35" s="319" t="e">
        <f t="shared" si="33"/>
        <v>#DIV/0!</v>
      </c>
      <c r="Y35" s="319" t="e">
        <f t="shared" si="33"/>
        <v>#DIV/0!</v>
      </c>
      <c r="Z35" s="319" t="e">
        <f t="shared" si="33"/>
        <v>#DIV/0!</v>
      </c>
      <c r="AA35" s="319" t="e">
        <f t="shared" si="33"/>
        <v>#DIV/0!</v>
      </c>
      <c r="AB35" s="319" t="e">
        <f t="shared" si="33"/>
        <v>#DIV/0!</v>
      </c>
      <c r="AC35" s="319" t="e">
        <f t="shared" si="33"/>
        <v>#DIV/0!</v>
      </c>
      <c r="AD35" s="319" t="e">
        <f t="shared" si="33"/>
        <v>#DIV/0!</v>
      </c>
      <c r="AE35" s="319" t="e">
        <f t="shared" si="33"/>
        <v>#DIV/0!</v>
      </c>
      <c r="AF35" s="377" t="e">
        <f t="shared" si="33"/>
        <v>#DIV/0!</v>
      </c>
      <c r="AG35" s="533"/>
      <c r="AH35" s="552"/>
      <c r="AI35" s="552"/>
      <c r="AJ35" s="552"/>
      <c r="AK35" s="550"/>
      <c r="AL35" s="550"/>
      <c r="AM35" s="550"/>
      <c r="AN35" s="550"/>
    </row>
    <row r="36" spans="1:40" s="7" customFormat="1" ht="15" thickBot="1">
      <c r="A36" s="1034"/>
      <c r="B36" s="243">
        <v>28</v>
      </c>
      <c r="C36" s="241" t="s">
        <v>366</v>
      </c>
      <c r="D36" s="426">
        <f>D34-D35</f>
        <v>-1242</v>
      </c>
      <c r="E36" s="427">
        <f>E34-E35</f>
        <v>-1538</v>
      </c>
      <c r="F36" s="369">
        <f>F34-F35</f>
        <v>-1816</v>
      </c>
      <c r="G36" s="378">
        <f>G34-G35</f>
        <v>-37</v>
      </c>
      <c r="H36" s="379" t="e">
        <f t="shared" ref="H36:AF36" si="34">H34-H35</f>
        <v>#DIV/0!</v>
      </c>
      <c r="I36" s="379" t="e">
        <f t="shared" si="34"/>
        <v>#DIV/0!</v>
      </c>
      <c r="J36" s="380" t="e">
        <f t="shared" si="34"/>
        <v>#DIV/0!</v>
      </c>
      <c r="K36" s="379" t="e">
        <f t="shared" si="34"/>
        <v>#DIV/0!</v>
      </c>
      <c r="L36" s="379" t="e">
        <f t="shared" si="34"/>
        <v>#DIV/0!</v>
      </c>
      <c r="M36" s="379" t="e">
        <f t="shared" si="34"/>
        <v>#DIV/0!</v>
      </c>
      <c r="N36" s="379" t="e">
        <f t="shared" si="34"/>
        <v>#DIV/0!</v>
      </c>
      <c r="O36" s="379" t="e">
        <f t="shared" si="34"/>
        <v>#DIV/0!</v>
      </c>
      <c r="P36" s="379" t="e">
        <f t="shared" si="34"/>
        <v>#DIV/0!</v>
      </c>
      <c r="Q36" s="379" t="e">
        <f t="shared" si="34"/>
        <v>#DIV/0!</v>
      </c>
      <c r="R36" s="379" t="e">
        <f t="shared" si="34"/>
        <v>#DIV/0!</v>
      </c>
      <c r="S36" s="379" t="e">
        <f t="shared" si="34"/>
        <v>#DIV/0!</v>
      </c>
      <c r="T36" s="379" t="e">
        <f t="shared" si="34"/>
        <v>#DIV/0!</v>
      </c>
      <c r="U36" s="379" t="e">
        <f t="shared" si="34"/>
        <v>#DIV/0!</v>
      </c>
      <c r="V36" s="379" t="e">
        <f t="shared" si="34"/>
        <v>#DIV/0!</v>
      </c>
      <c r="W36" s="379" t="e">
        <f t="shared" si="34"/>
        <v>#DIV/0!</v>
      </c>
      <c r="X36" s="379" t="e">
        <f t="shared" si="34"/>
        <v>#DIV/0!</v>
      </c>
      <c r="Y36" s="379" t="e">
        <f t="shared" si="34"/>
        <v>#DIV/0!</v>
      </c>
      <c r="Z36" s="379" t="e">
        <f t="shared" si="34"/>
        <v>#DIV/0!</v>
      </c>
      <c r="AA36" s="379" t="e">
        <f t="shared" si="34"/>
        <v>#DIV/0!</v>
      </c>
      <c r="AB36" s="379" t="e">
        <f t="shared" si="34"/>
        <v>#DIV/0!</v>
      </c>
      <c r="AC36" s="379" t="e">
        <f t="shared" si="34"/>
        <v>#DIV/0!</v>
      </c>
      <c r="AD36" s="379" t="e">
        <f t="shared" si="34"/>
        <v>#DIV/0!</v>
      </c>
      <c r="AE36" s="379" t="e">
        <f t="shared" si="34"/>
        <v>#DIV/0!</v>
      </c>
      <c r="AF36" s="380" t="e">
        <f t="shared" si="34"/>
        <v>#DIV/0!</v>
      </c>
      <c r="AG36" s="533"/>
      <c r="AK36" s="11"/>
      <c r="AL36" s="11"/>
      <c r="AM36" s="11"/>
      <c r="AN36" s="11"/>
    </row>
    <row r="37" spans="1:40" ht="15" thickBot="1">
      <c r="A37" s="252"/>
      <c r="B37" s="250"/>
      <c r="C37" s="251"/>
      <c r="D37" s="450"/>
      <c r="E37" s="450"/>
      <c r="F37" s="450"/>
      <c r="G37" s="450"/>
      <c r="H37" s="450"/>
      <c r="I37" s="450"/>
      <c r="J37" s="450"/>
      <c r="K37" s="450"/>
      <c r="L37" s="450"/>
      <c r="M37" s="450"/>
      <c r="N37" s="450"/>
      <c r="O37" s="450"/>
      <c r="P37" s="450"/>
      <c r="Q37" s="450"/>
      <c r="R37" s="450"/>
      <c r="S37" s="450"/>
      <c r="T37" s="450"/>
      <c r="U37" s="450"/>
      <c r="V37" s="450"/>
      <c r="W37" s="450"/>
      <c r="X37" s="450"/>
      <c r="Y37" s="450"/>
      <c r="Z37" s="450"/>
      <c r="AA37" s="450"/>
      <c r="AB37" s="450"/>
      <c r="AC37" s="450"/>
      <c r="AD37" s="450"/>
      <c r="AE37" s="450"/>
      <c r="AF37" s="451"/>
      <c r="AG37" s="533"/>
      <c r="AH37" s="7"/>
      <c r="AI37" s="7"/>
      <c r="AJ37" s="7"/>
      <c r="AK37" s="11"/>
      <c r="AL37" s="11"/>
      <c r="AM37" s="11"/>
      <c r="AN37" s="11"/>
    </row>
    <row r="38" spans="1:40" ht="14.45">
      <c r="A38" s="1035" t="s">
        <v>367</v>
      </c>
      <c r="B38" s="244">
        <v>29</v>
      </c>
      <c r="C38" s="246" t="s">
        <v>368</v>
      </c>
      <c r="D38" s="364"/>
      <c r="E38" s="365"/>
      <c r="F38" s="367"/>
      <c r="G38" s="371">
        <f>+F38+(-G10)</f>
        <v>0</v>
      </c>
      <c r="H38" s="372">
        <f t="shared" ref="H38:AF38" si="35">+G38+(-H10)</f>
        <v>0</v>
      </c>
      <c r="I38" s="372">
        <f t="shared" si="35"/>
        <v>0</v>
      </c>
      <c r="J38" s="373">
        <f t="shared" si="35"/>
        <v>0</v>
      </c>
      <c r="K38" s="485">
        <f t="shared" si="35"/>
        <v>0</v>
      </c>
      <c r="L38" s="372">
        <f t="shared" si="35"/>
        <v>0</v>
      </c>
      <c r="M38" s="372">
        <f t="shared" si="35"/>
        <v>0</v>
      </c>
      <c r="N38" s="372">
        <f t="shared" si="35"/>
        <v>0</v>
      </c>
      <c r="O38" s="372">
        <f t="shared" si="35"/>
        <v>0</v>
      </c>
      <c r="P38" s="372">
        <f t="shared" si="35"/>
        <v>0</v>
      </c>
      <c r="Q38" s="372">
        <f t="shared" si="35"/>
        <v>0</v>
      </c>
      <c r="R38" s="372">
        <f t="shared" si="35"/>
        <v>0</v>
      </c>
      <c r="S38" s="372">
        <f t="shared" si="35"/>
        <v>0</v>
      </c>
      <c r="T38" s="372">
        <f t="shared" si="35"/>
        <v>0</v>
      </c>
      <c r="U38" s="372">
        <f t="shared" si="35"/>
        <v>0</v>
      </c>
      <c r="V38" s="372">
        <f t="shared" si="35"/>
        <v>0</v>
      </c>
      <c r="W38" s="372">
        <f t="shared" si="35"/>
        <v>0</v>
      </c>
      <c r="X38" s="372">
        <f t="shared" si="35"/>
        <v>0</v>
      </c>
      <c r="Y38" s="372">
        <f t="shared" si="35"/>
        <v>0</v>
      </c>
      <c r="Z38" s="372">
        <f t="shared" si="35"/>
        <v>0</v>
      </c>
      <c r="AA38" s="372">
        <f t="shared" si="35"/>
        <v>0</v>
      </c>
      <c r="AB38" s="372">
        <f t="shared" si="35"/>
        <v>0</v>
      </c>
      <c r="AC38" s="372">
        <f t="shared" si="35"/>
        <v>0</v>
      </c>
      <c r="AD38" s="372">
        <f t="shared" si="35"/>
        <v>0</v>
      </c>
      <c r="AE38" s="372">
        <f t="shared" si="35"/>
        <v>0</v>
      </c>
      <c r="AF38" s="373">
        <f t="shared" si="35"/>
        <v>0</v>
      </c>
      <c r="AG38" s="534">
        <f>SUM(G38:AF38)</f>
        <v>0</v>
      </c>
      <c r="AH38" s="7"/>
      <c r="AI38" s="7"/>
      <c r="AJ38" s="7"/>
      <c r="AK38" s="11"/>
      <c r="AL38" s="11"/>
      <c r="AM38" s="11"/>
      <c r="AN38" s="11"/>
    </row>
    <row r="39" spans="1:40" ht="14.45">
      <c r="A39" s="1034"/>
      <c r="B39" s="244">
        <v>30</v>
      </c>
      <c r="C39" s="246" t="s">
        <v>369</v>
      </c>
      <c r="D39" s="366"/>
      <c r="E39" s="363"/>
      <c r="F39" s="368"/>
      <c r="G39" s="374">
        <f>F39-G10</f>
        <v>0</v>
      </c>
      <c r="H39" s="370">
        <f t="shared" ref="H39:AF39" si="36">G39-H10</f>
        <v>0</v>
      </c>
      <c r="I39" s="370">
        <f t="shared" si="36"/>
        <v>0</v>
      </c>
      <c r="J39" s="375">
        <f t="shared" si="36"/>
        <v>0</v>
      </c>
      <c r="K39" s="486">
        <f t="shared" si="36"/>
        <v>0</v>
      </c>
      <c r="L39" s="370">
        <f t="shared" si="36"/>
        <v>0</v>
      </c>
      <c r="M39" s="370">
        <f t="shared" si="36"/>
        <v>0</v>
      </c>
      <c r="N39" s="370">
        <f t="shared" si="36"/>
        <v>0</v>
      </c>
      <c r="O39" s="370">
        <f t="shared" si="36"/>
        <v>0</v>
      </c>
      <c r="P39" s="370">
        <f t="shared" si="36"/>
        <v>0</v>
      </c>
      <c r="Q39" s="370">
        <f t="shared" si="36"/>
        <v>0</v>
      </c>
      <c r="R39" s="370">
        <f t="shared" si="36"/>
        <v>0</v>
      </c>
      <c r="S39" s="370">
        <f t="shared" si="36"/>
        <v>0</v>
      </c>
      <c r="T39" s="370">
        <f t="shared" si="36"/>
        <v>0</v>
      </c>
      <c r="U39" s="370">
        <f t="shared" si="36"/>
        <v>0</v>
      </c>
      <c r="V39" s="370">
        <f t="shared" si="36"/>
        <v>0</v>
      </c>
      <c r="W39" s="370">
        <f t="shared" si="36"/>
        <v>0</v>
      </c>
      <c r="X39" s="370">
        <f t="shared" si="36"/>
        <v>0</v>
      </c>
      <c r="Y39" s="370">
        <f t="shared" si="36"/>
        <v>0</v>
      </c>
      <c r="Z39" s="370">
        <f t="shared" si="36"/>
        <v>0</v>
      </c>
      <c r="AA39" s="370">
        <f t="shared" si="36"/>
        <v>0</v>
      </c>
      <c r="AB39" s="370">
        <f t="shared" si="36"/>
        <v>0</v>
      </c>
      <c r="AC39" s="370">
        <f t="shared" si="36"/>
        <v>0</v>
      </c>
      <c r="AD39" s="370">
        <f t="shared" si="36"/>
        <v>0</v>
      </c>
      <c r="AE39" s="370">
        <f t="shared" si="36"/>
        <v>0</v>
      </c>
      <c r="AF39" s="375">
        <f t="shared" si="36"/>
        <v>0</v>
      </c>
      <c r="AG39" s="534">
        <f>SUM(G39:AF39)</f>
        <v>0</v>
      </c>
      <c r="AH39" s="7"/>
      <c r="AI39" s="7"/>
      <c r="AJ39" s="7"/>
      <c r="AK39" s="11"/>
      <c r="AL39" s="11"/>
      <c r="AM39" s="11"/>
      <c r="AN39" s="11"/>
    </row>
    <row r="40" spans="1:40" ht="14.45">
      <c r="A40" s="1034"/>
      <c r="B40" s="244">
        <v>31</v>
      </c>
      <c r="C40" s="246" t="s">
        <v>370</v>
      </c>
      <c r="D40" s="366"/>
      <c r="E40" s="363"/>
      <c r="F40" s="368"/>
      <c r="G40" s="374">
        <f>F40+(-G23)</f>
        <v>0</v>
      </c>
      <c r="H40" s="370">
        <f t="shared" ref="H40:AF40" si="37">G40+(-H23)</f>
        <v>0</v>
      </c>
      <c r="I40" s="370">
        <f t="shared" si="37"/>
        <v>0</v>
      </c>
      <c r="J40" s="375">
        <f t="shared" si="37"/>
        <v>0</v>
      </c>
      <c r="K40" s="486">
        <f t="shared" si="37"/>
        <v>0</v>
      </c>
      <c r="L40" s="370">
        <f t="shared" si="37"/>
        <v>0</v>
      </c>
      <c r="M40" s="370">
        <f t="shared" si="37"/>
        <v>0</v>
      </c>
      <c r="N40" s="370">
        <f t="shared" si="37"/>
        <v>0</v>
      </c>
      <c r="O40" s="370">
        <f t="shared" si="37"/>
        <v>0</v>
      </c>
      <c r="P40" s="370">
        <f t="shared" si="37"/>
        <v>0</v>
      </c>
      <c r="Q40" s="370">
        <f t="shared" si="37"/>
        <v>0</v>
      </c>
      <c r="R40" s="370">
        <f t="shared" si="37"/>
        <v>0</v>
      </c>
      <c r="S40" s="370">
        <f t="shared" si="37"/>
        <v>0</v>
      </c>
      <c r="T40" s="370">
        <f t="shared" si="37"/>
        <v>0</v>
      </c>
      <c r="U40" s="370">
        <f t="shared" si="37"/>
        <v>0</v>
      </c>
      <c r="V40" s="370">
        <f t="shared" si="37"/>
        <v>0</v>
      </c>
      <c r="W40" s="370">
        <f t="shared" si="37"/>
        <v>0</v>
      </c>
      <c r="X40" s="370">
        <f t="shared" si="37"/>
        <v>0</v>
      </c>
      <c r="Y40" s="370">
        <f t="shared" si="37"/>
        <v>0</v>
      </c>
      <c r="Z40" s="370">
        <f t="shared" si="37"/>
        <v>0</v>
      </c>
      <c r="AA40" s="370">
        <f t="shared" si="37"/>
        <v>0</v>
      </c>
      <c r="AB40" s="370">
        <f t="shared" si="37"/>
        <v>0</v>
      </c>
      <c r="AC40" s="370">
        <f t="shared" si="37"/>
        <v>0</v>
      </c>
      <c r="AD40" s="370">
        <f t="shared" si="37"/>
        <v>0</v>
      </c>
      <c r="AE40" s="370">
        <f t="shared" si="37"/>
        <v>0</v>
      </c>
      <c r="AF40" s="375">
        <f t="shared" si="37"/>
        <v>0</v>
      </c>
      <c r="AG40" s="534">
        <f>SUM(G40:AF40)</f>
        <v>0</v>
      </c>
      <c r="AH40" s="7"/>
      <c r="AI40" s="7"/>
      <c r="AJ40" s="7"/>
      <c r="AK40" s="11"/>
      <c r="AL40" s="11"/>
      <c r="AM40" s="11"/>
      <c r="AN40" s="11"/>
    </row>
    <row r="41" spans="1:40" ht="15" thickBot="1">
      <c r="A41" s="1034"/>
      <c r="B41" s="245">
        <v>32</v>
      </c>
      <c r="C41" s="241" t="s">
        <v>371</v>
      </c>
      <c r="D41" s="630"/>
      <c r="E41" s="631"/>
      <c r="F41" s="632"/>
      <c r="G41" s="633">
        <f>F41-G9</f>
        <v>0</v>
      </c>
      <c r="H41" s="634">
        <f t="shared" ref="H41:AF41" si="38">G41-H9</f>
        <v>0</v>
      </c>
      <c r="I41" s="634">
        <f t="shared" si="38"/>
        <v>0</v>
      </c>
      <c r="J41" s="635">
        <f t="shared" si="38"/>
        <v>0</v>
      </c>
      <c r="K41" s="636">
        <f t="shared" si="38"/>
        <v>0</v>
      </c>
      <c r="L41" s="634">
        <f t="shared" si="38"/>
        <v>0</v>
      </c>
      <c r="M41" s="634">
        <f t="shared" si="38"/>
        <v>0</v>
      </c>
      <c r="N41" s="634">
        <f t="shared" si="38"/>
        <v>0</v>
      </c>
      <c r="O41" s="634">
        <f t="shared" si="38"/>
        <v>0</v>
      </c>
      <c r="P41" s="634">
        <f t="shared" si="38"/>
        <v>0</v>
      </c>
      <c r="Q41" s="634">
        <f t="shared" si="38"/>
        <v>0</v>
      </c>
      <c r="R41" s="634">
        <f t="shared" si="38"/>
        <v>0</v>
      </c>
      <c r="S41" s="634">
        <f t="shared" si="38"/>
        <v>0</v>
      </c>
      <c r="T41" s="634">
        <f t="shared" si="38"/>
        <v>0</v>
      </c>
      <c r="U41" s="634">
        <f t="shared" si="38"/>
        <v>0</v>
      </c>
      <c r="V41" s="634">
        <f t="shared" si="38"/>
        <v>0</v>
      </c>
      <c r="W41" s="634">
        <f t="shared" si="38"/>
        <v>0</v>
      </c>
      <c r="X41" s="634">
        <f t="shared" si="38"/>
        <v>0</v>
      </c>
      <c r="Y41" s="634">
        <f t="shared" si="38"/>
        <v>0</v>
      </c>
      <c r="Z41" s="634">
        <f t="shared" si="38"/>
        <v>0</v>
      </c>
      <c r="AA41" s="634">
        <f t="shared" si="38"/>
        <v>0</v>
      </c>
      <c r="AB41" s="634">
        <f t="shared" si="38"/>
        <v>0</v>
      </c>
      <c r="AC41" s="634">
        <f t="shared" si="38"/>
        <v>0</v>
      </c>
      <c r="AD41" s="634">
        <f t="shared" si="38"/>
        <v>0</v>
      </c>
      <c r="AE41" s="634">
        <f t="shared" si="38"/>
        <v>0</v>
      </c>
      <c r="AF41" s="635">
        <f t="shared" si="38"/>
        <v>0</v>
      </c>
      <c r="AG41" s="534">
        <f>SUM(G41:AF41)</f>
        <v>0</v>
      </c>
      <c r="AH41" s="7"/>
      <c r="AI41" s="7"/>
      <c r="AJ41" s="7"/>
      <c r="AK41" s="11"/>
      <c r="AL41" s="11"/>
      <c r="AM41" s="11"/>
      <c r="AN41" s="11"/>
    </row>
    <row r="42" spans="1:40" s="7" customFormat="1" ht="15" thickBot="1">
      <c r="A42" s="1028"/>
      <c r="B42" s="1029"/>
      <c r="C42" s="1029"/>
      <c r="D42" s="1029"/>
      <c r="E42" s="1029"/>
      <c r="F42" s="1029"/>
      <c r="G42" s="1029"/>
      <c r="H42" s="1029"/>
      <c r="I42" s="1029"/>
      <c r="J42" s="1029"/>
      <c r="K42" s="1029"/>
      <c r="L42" s="1029"/>
      <c r="M42" s="1029"/>
      <c r="N42" s="1029"/>
      <c r="O42" s="1029"/>
      <c r="P42" s="1029"/>
      <c r="Q42" s="1029"/>
      <c r="R42" s="1029"/>
      <c r="S42" s="1029"/>
      <c r="T42" s="1029"/>
      <c r="U42" s="1029"/>
      <c r="V42" s="1029"/>
      <c r="W42" s="1029"/>
      <c r="X42" s="1029"/>
      <c r="Y42" s="1029"/>
      <c r="Z42" s="1029"/>
      <c r="AA42" s="1029"/>
      <c r="AB42" s="1029"/>
      <c r="AC42" s="1029"/>
      <c r="AD42" s="1029"/>
      <c r="AE42" s="1029"/>
      <c r="AF42" s="1030"/>
      <c r="AG42" s="533"/>
      <c r="AK42" s="11"/>
      <c r="AL42" s="11"/>
      <c r="AM42" s="11"/>
      <c r="AN42" s="11"/>
    </row>
    <row r="43" spans="1:40" ht="15" customHeight="1">
      <c r="A43" s="1022" t="s">
        <v>372</v>
      </c>
      <c r="B43" s="242">
        <v>33</v>
      </c>
      <c r="C43" s="246" t="s">
        <v>373</v>
      </c>
      <c r="D43" s="616">
        <f>'Fin. Data'!D39</f>
        <v>0</v>
      </c>
      <c r="E43" s="326">
        <f>E36+D43</f>
        <v>-1538</v>
      </c>
      <c r="F43" s="637">
        <f>F36+E43</f>
        <v>-3354</v>
      </c>
      <c r="G43" s="638">
        <f>G36+F43</f>
        <v>-3391</v>
      </c>
      <c r="H43" s="639" t="e">
        <f t="shared" ref="H43:AF43" si="39">H36+G43</f>
        <v>#DIV/0!</v>
      </c>
      <c r="I43" s="639" t="e">
        <f t="shared" si="39"/>
        <v>#DIV/0!</v>
      </c>
      <c r="J43" s="640" t="e">
        <f t="shared" si="39"/>
        <v>#DIV/0!</v>
      </c>
      <c r="K43" s="641" t="e">
        <f t="shared" si="39"/>
        <v>#DIV/0!</v>
      </c>
      <c r="L43" s="639" t="e">
        <f t="shared" si="39"/>
        <v>#DIV/0!</v>
      </c>
      <c r="M43" s="639" t="e">
        <f t="shared" si="39"/>
        <v>#DIV/0!</v>
      </c>
      <c r="N43" s="639" t="e">
        <f t="shared" si="39"/>
        <v>#DIV/0!</v>
      </c>
      <c r="O43" s="639" t="e">
        <f t="shared" si="39"/>
        <v>#DIV/0!</v>
      </c>
      <c r="P43" s="639" t="e">
        <f t="shared" si="39"/>
        <v>#DIV/0!</v>
      </c>
      <c r="Q43" s="639" t="e">
        <f t="shared" si="39"/>
        <v>#DIV/0!</v>
      </c>
      <c r="R43" s="639" t="e">
        <f t="shared" si="39"/>
        <v>#DIV/0!</v>
      </c>
      <c r="S43" s="639" t="e">
        <f t="shared" si="39"/>
        <v>#DIV/0!</v>
      </c>
      <c r="T43" s="639" t="e">
        <f t="shared" si="39"/>
        <v>#DIV/0!</v>
      </c>
      <c r="U43" s="639" t="e">
        <f t="shared" si="39"/>
        <v>#DIV/0!</v>
      </c>
      <c r="V43" s="639" t="e">
        <f t="shared" si="39"/>
        <v>#DIV/0!</v>
      </c>
      <c r="W43" s="639" t="e">
        <f t="shared" si="39"/>
        <v>#DIV/0!</v>
      </c>
      <c r="X43" s="639" t="e">
        <f t="shared" si="39"/>
        <v>#DIV/0!</v>
      </c>
      <c r="Y43" s="639" t="e">
        <f t="shared" si="39"/>
        <v>#DIV/0!</v>
      </c>
      <c r="Z43" s="639" t="e">
        <f t="shared" si="39"/>
        <v>#DIV/0!</v>
      </c>
      <c r="AA43" s="639" t="e">
        <f t="shared" si="39"/>
        <v>#DIV/0!</v>
      </c>
      <c r="AB43" s="639" t="e">
        <f t="shared" si="39"/>
        <v>#DIV/0!</v>
      </c>
      <c r="AC43" s="639" t="e">
        <f t="shared" si="39"/>
        <v>#DIV/0!</v>
      </c>
      <c r="AD43" s="639" t="e">
        <f t="shared" si="39"/>
        <v>#DIV/0!</v>
      </c>
      <c r="AE43" s="639" t="e">
        <f t="shared" si="39"/>
        <v>#DIV/0!</v>
      </c>
      <c r="AF43" s="730" t="e">
        <f t="shared" si="39"/>
        <v>#DIV/0!</v>
      </c>
      <c r="AG43" s="533"/>
      <c r="AH43" s="7"/>
      <c r="AI43" s="7"/>
      <c r="AJ43" s="7"/>
      <c r="AK43" s="11"/>
      <c r="AL43" s="11"/>
      <c r="AM43" s="11"/>
      <c r="AN43" s="11"/>
    </row>
    <row r="44" spans="1:40" ht="14.45">
      <c r="A44" s="1022"/>
      <c r="B44" s="242">
        <v>34</v>
      </c>
      <c r="C44" s="246" t="s">
        <v>233</v>
      </c>
      <c r="D44" s="616">
        <f>'Fin. Data'!D58</f>
        <v>34</v>
      </c>
      <c r="E44" s="325">
        <f>'Fin. Data'!C58</f>
        <v>25</v>
      </c>
      <c r="F44" s="617">
        <f>'Fin. Data'!B58</f>
        <v>37</v>
      </c>
      <c r="G44" s="344">
        <f>G12*$D$68</f>
        <v>0</v>
      </c>
      <c r="H44" s="344">
        <f>H12*$D$68</f>
        <v>0</v>
      </c>
      <c r="I44" s="344">
        <f>I12*$D$68</f>
        <v>0</v>
      </c>
      <c r="J44" s="344">
        <f>J12*$D$68</f>
        <v>0</v>
      </c>
      <c r="K44" s="487">
        <f t="shared" ref="K44:AF44" si="40">K12*$E$68</f>
        <v>0</v>
      </c>
      <c r="L44" s="487">
        <f t="shared" si="40"/>
        <v>0</v>
      </c>
      <c r="M44" s="487">
        <f t="shared" si="40"/>
        <v>0</v>
      </c>
      <c r="N44" s="487">
        <f t="shared" si="40"/>
        <v>0</v>
      </c>
      <c r="O44" s="487">
        <f t="shared" si="40"/>
        <v>0</v>
      </c>
      <c r="P44" s="487">
        <f t="shared" si="40"/>
        <v>0</v>
      </c>
      <c r="Q44" s="487">
        <f t="shared" si="40"/>
        <v>0</v>
      </c>
      <c r="R44" s="487">
        <f t="shared" si="40"/>
        <v>0</v>
      </c>
      <c r="S44" s="487">
        <f t="shared" si="40"/>
        <v>0</v>
      </c>
      <c r="T44" s="487">
        <f t="shared" si="40"/>
        <v>0</v>
      </c>
      <c r="U44" s="487">
        <f t="shared" si="40"/>
        <v>0</v>
      </c>
      <c r="V44" s="487">
        <f t="shared" si="40"/>
        <v>0</v>
      </c>
      <c r="W44" s="487">
        <f t="shared" si="40"/>
        <v>0</v>
      </c>
      <c r="X44" s="487">
        <f t="shared" si="40"/>
        <v>0</v>
      </c>
      <c r="Y44" s="487">
        <f t="shared" si="40"/>
        <v>0</v>
      </c>
      <c r="Z44" s="487">
        <f t="shared" si="40"/>
        <v>0</v>
      </c>
      <c r="AA44" s="487">
        <f t="shared" si="40"/>
        <v>0</v>
      </c>
      <c r="AB44" s="487">
        <f t="shared" si="40"/>
        <v>0</v>
      </c>
      <c r="AC44" s="487">
        <f t="shared" si="40"/>
        <v>0</v>
      </c>
      <c r="AD44" s="487">
        <f t="shared" si="40"/>
        <v>0</v>
      </c>
      <c r="AE44" s="729">
        <f t="shared" si="40"/>
        <v>0</v>
      </c>
      <c r="AF44" s="732">
        <f t="shared" si="40"/>
        <v>0</v>
      </c>
      <c r="AG44" s="549"/>
      <c r="AH44" s="11"/>
      <c r="AI44" s="11"/>
      <c r="AJ44" s="11"/>
      <c r="AK44" s="11"/>
      <c r="AL44" s="11"/>
      <c r="AM44" s="11"/>
      <c r="AN44" s="11"/>
    </row>
    <row r="45" spans="1:40" ht="14.45">
      <c r="A45" s="1022"/>
      <c r="B45" s="242">
        <v>35</v>
      </c>
      <c r="C45" s="246" t="s">
        <v>374</v>
      </c>
      <c r="D45" s="618"/>
      <c r="E45" s="438"/>
      <c r="F45" s="619">
        <f>1/((1+$F$50)^G50)</f>
        <v>1</v>
      </c>
      <c r="G45" s="381">
        <f t="shared" ref="G45:AF45" si="41">1/((1+$F$50)^G49)</f>
        <v>1</v>
      </c>
      <c r="H45" s="320">
        <f t="shared" si="41"/>
        <v>1</v>
      </c>
      <c r="I45" s="320">
        <f t="shared" si="41"/>
        <v>1</v>
      </c>
      <c r="J45" s="382">
        <f t="shared" si="41"/>
        <v>1</v>
      </c>
      <c r="K45" s="436">
        <f t="shared" si="41"/>
        <v>1</v>
      </c>
      <c r="L45" s="320">
        <f t="shared" si="41"/>
        <v>1</v>
      </c>
      <c r="M45" s="320">
        <f t="shared" si="41"/>
        <v>1</v>
      </c>
      <c r="N45" s="320">
        <f t="shared" si="41"/>
        <v>1</v>
      </c>
      <c r="O45" s="320">
        <f t="shared" si="41"/>
        <v>1</v>
      </c>
      <c r="P45" s="320">
        <f t="shared" si="41"/>
        <v>1</v>
      </c>
      <c r="Q45" s="320">
        <f t="shared" si="41"/>
        <v>1</v>
      </c>
      <c r="R45" s="320">
        <f t="shared" si="41"/>
        <v>1</v>
      </c>
      <c r="S45" s="320">
        <f t="shared" si="41"/>
        <v>1</v>
      </c>
      <c r="T45" s="320">
        <f t="shared" si="41"/>
        <v>1</v>
      </c>
      <c r="U45" s="320">
        <f t="shared" si="41"/>
        <v>1</v>
      </c>
      <c r="V45" s="320">
        <f t="shared" si="41"/>
        <v>1</v>
      </c>
      <c r="W45" s="320">
        <f t="shared" si="41"/>
        <v>1</v>
      </c>
      <c r="X45" s="320">
        <f t="shared" si="41"/>
        <v>1</v>
      </c>
      <c r="Y45" s="320">
        <f t="shared" si="41"/>
        <v>1</v>
      </c>
      <c r="Z45" s="320">
        <f t="shared" si="41"/>
        <v>1</v>
      </c>
      <c r="AA45" s="320">
        <f t="shared" si="41"/>
        <v>1</v>
      </c>
      <c r="AB45" s="320">
        <f t="shared" si="41"/>
        <v>1</v>
      </c>
      <c r="AC45" s="320">
        <f t="shared" si="41"/>
        <v>1</v>
      </c>
      <c r="AD45" s="320">
        <f t="shared" si="41"/>
        <v>1</v>
      </c>
      <c r="AE45" s="320">
        <f t="shared" si="41"/>
        <v>1</v>
      </c>
      <c r="AF45" s="731">
        <f t="shared" si="41"/>
        <v>1</v>
      </c>
      <c r="AG45" s="549"/>
      <c r="AH45" s="11"/>
      <c r="AI45" s="11"/>
      <c r="AJ45" s="11"/>
      <c r="AK45" s="11"/>
      <c r="AL45" s="11"/>
      <c r="AM45" s="11"/>
      <c r="AN45" s="11"/>
    </row>
    <row r="46" spans="1:40" ht="14.45">
      <c r="A46" s="1022"/>
      <c r="B46" s="242">
        <v>36</v>
      </c>
      <c r="C46" s="246" t="s">
        <v>375</v>
      </c>
      <c r="D46" s="620"/>
      <c r="E46" s="621" t="s">
        <v>376</v>
      </c>
      <c r="F46" s="382">
        <f>1/((1+$F$50+0.001)^G50)</f>
        <v>1</v>
      </c>
      <c r="G46" s="381">
        <f>1/((1+$F$50+0.001)^G49)</f>
        <v>0.99900099900099915</v>
      </c>
      <c r="H46" s="320">
        <f t="shared" ref="H46:AF46" si="42">1/((1+$F$50+0.001)^H49)</f>
        <v>0.99800299600499431</v>
      </c>
      <c r="I46" s="320">
        <f t="shared" si="42"/>
        <v>0.99700599001497947</v>
      </c>
      <c r="J46" s="382">
        <f t="shared" si="42"/>
        <v>0.99600998003494456</v>
      </c>
      <c r="K46" s="436">
        <f t="shared" si="42"/>
        <v>0.99501496506987486</v>
      </c>
      <c r="L46" s="320">
        <f t="shared" si="42"/>
        <v>0.99402094412574937</v>
      </c>
      <c r="M46" s="320">
        <f t="shared" si="42"/>
        <v>0.99302791620954001</v>
      </c>
      <c r="N46" s="320">
        <f t="shared" si="42"/>
        <v>0.99203588032921075</v>
      </c>
      <c r="O46" s="320">
        <f t="shared" si="42"/>
        <v>0.99104483549371702</v>
      </c>
      <c r="P46" s="320">
        <f t="shared" si="42"/>
        <v>0.99005478071300423</v>
      </c>
      <c r="Q46" s="320">
        <f t="shared" si="42"/>
        <v>0.98906571499800655</v>
      </c>
      <c r="R46" s="320">
        <f t="shared" si="42"/>
        <v>0.98807763736064591</v>
      </c>
      <c r="S46" s="320">
        <f t="shared" si="42"/>
        <v>0.98709054681383213</v>
      </c>
      <c r="T46" s="320">
        <f t="shared" si="42"/>
        <v>0.986104442371461</v>
      </c>
      <c r="U46" s="320">
        <f t="shared" si="42"/>
        <v>0.98511932304841265</v>
      </c>
      <c r="V46" s="320">
        <f t="shared" si="42"/>
        <v>0.98413518786055221</v>
      </c>
      <c r="W46" s="320">
        <f t="shared" si="42"/>
        <v>0.98315203582472765</v>
      </c>
      <c r="X46" s="320">
        <f t="shared" si="42"/>
        <v>0.98216986595876898</v>
      </c>
      <c r="Y46" s="320">
        <f t="shared" si="42"/>
        <v>0.98118867728148773</v>
      </c>
      <c r="Z46" s="320">
        <f t="shared" si="42"/>
        <v>0.98020846881267509</v>
      </c>
      <c r="AA46" s="320">
        <f t="shared" si="42"/>
        <v>0.97922923957310215</v>
      </c>
      <c r="AB46" s="320">
        <f t="shared" si="42"/>
        <v>0.97825098858451787</v>
      </c>
      <c r="AC46" s="320">
        <f t="shared" si="42"/>
        <v>0.97727371486964842</v>
      </c>
      <c r="AD46" s="320">
        <f t="shared" si="42"/>
        <v>0.976297417452196</v>
      </c>
      <c r="AE46" s="320">
        <f t="shared" si="42"/>
        <v>0.97532209535683934</v>
      </c>
      <c r="AF46" s="382">
        <f t="shared" si="42"/>
        <v>0.97434774760923015</v>
      </c>
      <c r="AG46" s="549"/>
      <c r="AH46" s="11"/>
      <c r="AI46" s="11"/>
      <c r="AJ46" s="11"/>
      <c r="AK46" s="11"/>
      <c r="AL46" s="11"/>
      <c r="AM46" s="11"/>
      <c r="AN46" s="11"/>
    </row>
    <row r="47" spans="1:40" ht="15" thickBot="1">
      <c r="A47" s="1022"/>
      <c r="B47" s="243">
        <v>37</v>
      </c>
      <c r="C47" s="241" t="s">
        <v>377</v>
      </c>
      <c r="D47" s="620"/>
      <c r="E47" s="621" t="s">
        <v>378</v>
      </c>
      <c r="F47" s="642">
        <f>1/((1+$F$50+0.005)^G50)</f>
        <v>1</v>
      </c>
      <c r="G47" s="643">
        <f t="shared" ref="G47:AF47" si="43">1/((1+$F$50+0.005)^G49)</f>
        <v>0.99502487562189068</v>
      </c>
      <c r="H47" s="644">
        <f t="shared" si="43"/>
        <v>0.99007450310635903</v>
      </c>
      <c r="I47" s="644">
        <f t="shared" si="43"/>
        <v>0.98514875930981005</v>
      </c>
      <c r="J47" s="642">
        <f t="shared" si="43"/>
        <v>0.9802475217013038</v>
      </c>
      <c r="K47" s="645">
        <f t="shared" si="43"/>
        <v>0.97537066835950648</v>
      </c>
      <c r="L47" s="644">
        <f t="shared" si="43"/>
        <v>0.97051807796965839</v>
      </c>
      <c r="M47" s="644">
        <f t="shared" si="43"/>
        <v>0.96568962982055562</v>
      </c>
      <c r="N47" s="644">
        <f t="shared" si="43"/>
        <v>0.96088520380154796</v>
      </c>
      <c r="O47" s="644">
        <f t="shared" si="43"/>
        <v>0.95610468039955032</v>
      </c>
      <c r="P47" s="644">
        <f t="shared" si="43"/>
        <v>0.95134794069607009</v>
      </c>
      <c r="Q47" s="644">
        <f t="shared" si="43"/>
        <v>0.94661486636424896</v>
      </c>
      <c r="R47" s="644">
        <f t="shared" si="43"/>
        <v>0.94190533966591972</v>
      </c>
      <c r="S47" s="644">
        <f t="shared" si="43"/>
        <v>0.93721924344867635</v>
      </c>
      <c r="T47" s="644">
        <f t="shared" si="43"/>
        <v>0.93255646114296176</v>
      </c>
      <c r="U47" s="644">
        <f t="shared" si="43"/>
        <v>0.92791687675916612</v>
      </c>
      <c r="V47" s="644">
        <f t="shared" si="43"/>
        <v>0.92330037488474248</v>
      </c>
      <c r="W47" s="644">
        <f t="shared" si="43"/>
        <v>0.9187068406813359</v>
      </c>
      <c r="X47" s="644">
        <f t="shared" si="43"/>
        <v>0.91413615988192654</v>
      </c>
      <c r="Y47" s="644">
        <f t="shared" si="43"/>
        <v>0.90958821878798668</v>
      </c>
      <c r="Z47" s="644">
        <f t="shared" si="43"/>
        <v>0.90506290426665348</v>
      </c>
      <c r="AA47" s="644">
        <f t="shared" si="43"/>
        <v>0.90056010374791418</v>
      </c>
      <c r="AB47" s="644">
        <f t="shared" si="43"/>
        <v>0.89607970522180524</v>
      </c>
      <c r="AC47" s="644">
        <f t="shared" si="43"/>
        <v>0.89162159723562728</v>
      </c>
      <c r="AD47" s="644">
        <f t="shared" si="43"/>
        <v>0.88718566889117134</v>
      </c>
      <c r="AE47" s="644">
        <f t="shared" si="43"/>
        <v>0.8827718098419618</v>
      </c>
      <c r="AF47" s="642">
        <f t="shared" si="43"/>
        <v>0.87837991029050932</v>
      </c>
      <c r="AG47" s="549"/>
      <c r="AH47" s="11"/>
      <c r="AI47" s="11"/>
      <c r="AJ47" s="11"/>
      <c r="AK47" s="11"/>
      <c r="AL47" s="11"/>
      <c r="AM47" s="11"/>
      <c r="AN47" s="11"/>
    </row>
    <row r="48" spans="1:40" ht="15" thickBot="1">
      <c r="A48" s="1031" t="s">
        <v>347</v>
      </c>
      <c r="B48" s="1032"/>
      <c r="C48" s="1032"/>
      <c r="D48" s="1032"/>
      <c r="E48" s="1032"/>
      <c r="F48" s="1032"/>
      <c r="G48" s="1032"/>
      <c r="H48" s="1032"/>
      <c r="I48" s="1032"/>
      <c r="J48" s="1032"/>
      <c r="K48" s="1032"/>
      <c r="L48" s="1032"/>
      <c r="M48" s="1032"/>
      <c r="N48" s="1032"/>
      <c r="O48" s="1032"/>
      <c r="P48" s="1032"/>
      <c r="Q48" s="1032"/>
      <c r="R48" s="1032"/>
      <c r="S48" s="1032"/>
      <c r="T48" s="1032"/>
      <c r="U48" s="1032"/>
      <c r="V48" s="1032"/>
      <c r="W48" s="1032"/>
      <c r="X48" s="1032"/>
      <c r="Y48" s="1032"/>
      <c r="Z48" s="1032"/>
      <c r="AA48" s="1032"/>
      <c r="AB48" s="1032"/>
      <c r="AC48" s="1032"/>
      <c r="AD48" s="1032"/>
      <c r="AE48" s="1032"/>
      <c r="AF48" s="1033"/>
      <c r="AG48" s="549"/>
      <c r="AH48" s="11"/>
      <c r="AI48" s="11"/>
      <c r="AJ48" s="551"/>
      <c r="AK48" s="11"/>
      <c r="AL48" s="11"/>
      <c r="AM48" s="11"/>
      <c r="AN48" s="11"/>
    </row>
    <row r="49" spans="1:40" ht="14.45">
      <c r="A49" s="1036" t="s">
        <v>379</v>
      </c>
      <c r="C49" s="258" t="s">
        <v>380</v>
      </c>
      <c r="D49" s="247" t="s">
        <v>381</v>
      </c>
      <c r="E49" s="248" t="s">
        <v>382</v>
      </c>
      <c r="F49" s="259" t="s">
        <v>383</v>
      </c>
      <c r="G49" s="321">
        <v>1</v>
      </c>
      <c r="H49" s="322">
        <v>2</v>
      </c>
      <c r="I49" s="322">
        <v>3</v>
      </c>
      <c r="J49" s="321">
        <v>4</v>
      </c>
      <c r="K49" s="322">
        <v>5</v>
      </c>
      <c r="L49" s="322">
        <v>6</v>
      </c>
      <c r="M49" s="321">
        <v>7</v>
      </c>
      <c r="N49" s="322">
        <v>8</v>
      </c>
      <c r="O49" s="322">
        <v>9</v>
      </c>
      <c r="P49" s="321">
        <v>10</v>
      </c>
      <c r="Q49" s="322">
        <v>11</v>
      </c>
      <c r="R49" s="322">
        <v>12</v>
      </c>
      <c r="S49" s="321">
        <v>13</v>
      </c>
      <c r="T49" s="322">
        <v>14</v>
      </c>
      <c r="U49" s="322">
        <v>15</v>
      </c>
      <c r="V49" s="321">
        <v>16</v>
      </c>
      <c r="W49" s="322">
        <v>17</v>
      </c>
      <c r="X49" s="322">
        <v>18</v>
      </c>
      <c r="Y49" s="321">
        <v>19</v>
      </c>
      <c r="Z49" s="322">
        <v>20</v>
      </c>
      <c r="AA49" s="322">
        <v>21</v>
      </c>
      <c r="AB49" s="321">
        <v>22</v>
      </c>
      <c r="AC49" s="322">
        <v>23</v>
      </c>
      <c r="AD49" s="322">
        <v>24</v>
      </c>
      <c r="AE49" s="321">
        <v>25</v>
      </c>
      <c r="AF49" s="322">
        <v>26</v>
      </c>
      <c r="AG49" s="549"/>
      <c r="AH49" s="11"/>
      <c r="AI49" s="11"/>
      <c r="AJ49" s="11"/>
      <c r="AK49" s="11"/>
      <c r="AL49" s="11"/>
      <c r="AM49" s="11"/>
      <c r="AN49" s="11"/>
    </row>
    <row r="50" spans="1:40" ht="15" thickBot="1">
      <c r="A50" s="1037"/>
      <c r="C50" s="254"/>
      <c r="D50" s="255"/>
      <c r="E50" s="256"/>
      <c r="F50" s="257">
        <f>E50+D50+C50</f>
        <v>0</v>
      </c>
      <c r="G50" s="321">
        <v>0</v>
      </c>
      <c r="S50" s="240"/>
      <c r="T50" s="240"/>
      <c r="U50" s="240"/>
      <c r="V50" s="240"/>
      <c r="W50" s="240"/>
      <c r="X50" s="240"/>
      <c r="Y50" s="240"/>
      <c r="Z50" s="240"/>
      <c r="AA50" s="240"/>
      <c r="AB50" s="240"/>
      <c r="AC50" s="240"/>
      <c r="AD50" s="240"/>
      <c r="AE50" s="240"/>
      <c r="AF50" s="240"/>
      <c r="AG50" s="548"/>
      <c r="AH50" s="11"/>
      <c r="AI50" s="11"/>
      <c r="AJ50" s="11"/>
      <c r="AK50" s="11"/>
      <c r="AL50" s="11"/>
      <c r="AM50" s="11"/>
      <c r="AN50" s="11"/>
    </row>
    <row r="51" spans="1:40" ht="14.45">
      <c r="A51" s="240"/>
      <c r="C51" s="240"/>
      <c r="D51" s="240"/>
      <c r="G51"/>
      <c r="H51" s="240"/>
      <c r="I51" s="240"/>
      <c r="J51" s="240"/>
      <c r="K51" s="240"/>
      <c r="S51" s="240"/>
      <c r="T51" s="240"/>
      <c r="U51" s="240"/>
      <c r="V51" s="240"/>
      <c r="W51" s="240"/>
      <c r="X51" s="240"/>
      <c r="Y51" s="240"/>
      <c r="Z51" s="240"/>
      <c r="AA51" s="240"/>
      <c r="AB51" s="240"/>
      <c r="AC51" s="240"/>
      <c r="AD51" s="240"/>
      <c r="AE51" s="240"/>
      <c r="AF51" s="240"/>
      <c r="AG51" s="548"/>
      <c r="AH51" s="11"/>
      <c r="AI51" s="11"/>
      <c r="AJ51" s="11"/>
      <c r="AK51" s="11"/>
      <c r="AL51" s="11"/>
      <c r="AM51" s="11"/>
      <c r="AN51" s="11"/>
    </row>
    <row r="52" spans="1:40" ht="15" customHeight="1">
      <c r="A52" s="1038" t="s">
        <v>384</v>
      </c>
      <c r="C52" s="459" t="s">
        <v>347</v>
      </c>
      <c r="D52" s="460" t="s">
        <v>323</v>
      </c>
      <c r="E52" s="461" t="s">
        <v>324</v>
      </c>
      <c r="F52" s="460" t="s">
        <v>385</v>
      </c>
      <c r="G52" s="240"/>
      <c r="I52" s="505"/>
      <c r="J52" s="505"/>
      <c r="K52" s="240"/>
      <c r="S52" s="240"/>
      <c r="T52" s="240"/>
      <c r="U52" s="240"/>
      <c r="V52" s="240"/>
      <c r="W52" s="240"/>
      <c r="X52" s="240"/>
      <c r="Y52" s="240"/>
      <c r="Z52" s="240"/>
      <c r="AA52" s="240"/>
      <c r="AB52" s="240"/>
      <c r="AC52" s="240"/>
      <c r="AD52" s="240"/>
      <c r="AE52" s="240"/>
      <c r="AF52" s="240"/>
      <c r="AG52" s="548"/>
      <c r="AH52" s="11"/>
      <c r="AI52" s="11"/>
      <c r="AJ52" s="11"/>
      <c r="AK52" s="11"/>
      <c r="AL52" s="11"/>
      <c r="AM52" s="11"/>
      <c r="AN52" s="11"/>
    </row>
    <row r="53" spans="1:40" ht="15" customHeight="1">
      <c r="A53" s="1038"/>
      <c r="C53" s="462" t="s">
        <v>386</v>
      </c>
      <c r="D53" s="420"/>
      <c r="E53" s="421"/>
      <c r="F53" s="463" t="s">
        <v>387</v>
      </c>
      <c r="G53" s="512"/>
      <c r="I53" s="240"/>
      <c r="J53" s="240"/>
      <c r="K53" s="240"/>
      <c r="S53" s="240"/>
      <c r="T53" s="240"/>
      <c r="U53" s="240"/>
      <c r="V53" s="240"/>
      <c r="W53" s="240"/>
      <c r="X53" s="240"/>
      <c r="Y53" s="240"/>
      <c r="Z53" s="240"/>
      <c r="AA53" s="240"/>
      <c r="AB53" s="240"/>
      <c r="AC53" s="240"/>
      <c r="AD53" s="240"/>
      <c r="AE53" s="240"/>
      <c r="AF53" s="240"/>
      <c r="AG53" s="548"/>
      <c r="AH53" s="11"/>
      <c r="AI53" s="11"/>
      <c r="AJ53" s="11"/>
      <c r="AK53" s="11"/>
      <c r="AL53" s="11"/>
      <c r="AM53" s="11"/>
      <c r="AN53" s="11"/>
    </row>
    <row r="54" spans="1:40" ht="15" customHeight="1">
      <c r="A54" s="1038"/>
      <c r="C54" s="464" t="s">
        <v>388</v>
      </c>
      <c r="D54" s="422"/>
      <c r="E54" s="423"/>
      <c r="F54" s="465" t="s">
        <v>389</v>
      </c>
      <c r="G54" s="240"/>
      <c r="I54" s="240"/>
      <c r="J54" s="240"/>
      <c r="K54" s="240"/>
      <c r="S54" s="240"/>
      <c r="T54" s="240"/>
      <c r="U54" s="240"/>
      <c r="V54" s="240"/>
      <c r="W54" s="240"/>
      <c r="X54" s="240"/>
      <c r="Y54" s="240"/>
      <c r="Z54" s="240"/>
      <c r="AA54" s="240"/>
      <c r="AB54" s="240"/>
      <c r="AC54" s="240"/>
      <c r="AD54" s="240"/>
      <c r="AE54" s="240"/>
      <c r="AF54" s="240"/>
      <c r="AG54" s="548"/>
      <c r="AH54" s="11"/>
      <c r="AI54" s="11"/>
      <c r="AJ54" s="11"/>
      <c r="AK54" s="11"/>
      <c r="AL54" s="11"/>
      <c r="AM54" s="11"/>
      <c r="AN54" s="11"/>
    </row>
    <row r="55" spans="1:40" ht="15" customHeight="1">
      <c r="A55" s="1038"/>
      <c r="C55" s="437" t="s">
        <v>390</v>
      </c>
      <c r="D55" s="424"/>
      <c r="E55" s="466"/>
      <c r="F55" s="463" t="s">
        <v>391</v>
      </c>
      <c r="G55" s="240"/>
      <c r="I55" s="240"/>
      <c r="J55" s="240"/>
      <c r="K55" s="240"/>
      <c r="L55" s="240"/>
      <c r="M55" s="240"/>
      <c r="N55" s="240"/>
      <c r="O55" s="240"/>
      <c r="P55" s="240"/>
      <c r="Q55" s="240"/>
      <c r="R55" s="240"/>
      <c r="S55" s="240"/>
      <c r="T55" s="240"/>
      <c r="U55" s="240"/>
      <c r="V55" s="240"/>
      <c r="W55" s="240"/>
      <c r="X55" s="240"/>
      <c r="Y55" s="240"/>
      <c r="Z55" s="240"/>
      <c r="AA55" s="240"/>
      <c r="AB55" s="240"/>
      <c r="AC55" s="240"/>
      <c r="AD55" s="240"/>
      <c r="AE55" s="240"/>
      <c r="AF55" s="240"/>
      <c r="AG55" s="548"/>
      <c r="AH55" s="11"/>
      <c r="AI55" s="11"/>
      <c r="AJ55" s="11"/>
      <c r="AK55" s="11"/>
      <c r="AL55" s="11"/>
      <c r="AM55" s="11"/>
      <c r="AN55" s="11"/>
    </row>
    <row r="56" spans="1:40" ht="15" customHeight="1">
      <c r="A56" s="1038"/>
      <c r="C56" s="464" t="s">
        <v>392</v>
      </c>
      <c r="D56" s="422"/>
      <c r="E56" s="425"/>
      <c r="F56" s="463" t="s">
        <v>393</v>
      </c>
      <c r="G56" s="240"/>
      <c r="I56" s="240"/>
      <c r="J56" s="240"/>
      <c r="K56" s="240"/>
      <c r="L56" s="240"/>
      <c r="M56" s="240"/>
      <c r="N56" s="240"/>
      <c r="O56" s="240"/>
      <c r="P56" s="240"/>
      <c r="Q56" s="240"/>
      <c r="R56" s="240"/>
      <c r="S56" s="240"/>
      <c r="T56" s="240"/>
      <c r="U56" s="240"/>
      <c r="V56" s="240"/>
      <c r="W56" s="240"/>
      <c r="X56" s="240"/>
      <c r="Y56" s="240"/>
      <c r="Z56" s="240"/>
      <c r="AA56" s="240"/>
      <c r="AB56" s="240"/>
      <c r="AC56" s="240"/>
      <c r="AD56" s="240"/>
      <c r="AE56" s="240"/>
      <c r="AF56" s="240"/>
      <c r="AG56" s="548"/>
      <c r="AH56" s="11"/>
      <c r="AI56" s="11"/>
      <c r="AJ56" s="11"/>
      <c r="AK56" s="11"/>
      <c r="AL56" s="11"/>
      <c r="AM56" s="11"/>
      <c r="AN56" s="11"/>
    </row>
    <row r="57" spans="1:40" ht="15" customHeight="1">
      <c r="A57" s="1038"/>
      <c r="C57" s="437" t="s">
        <v>394</v>
      </c>
      <c r="D57" s="428"/>
      <c r="E57" s="466"/>
      <c r="F57" s="465" t="s">
        <v>395</v>
      </c>
      <c r="G57" s="240"/>
      <c r="I57" s="240"/>
      <c r="J57" s="240"/>
      <c r="K57" s="240"/>
      <c r="L57" s="240"/>
      <c r="M57" s="240"/>
      <c r="N57" s="240"/>
      <c r="O57" s="240"/>
      <c r="P57" s="240"/>
      <c r="Q57" s="240"/>
      <c r="R57" s="240"/>
      <c r="S57" s="240"/>
      <c r="T57" s="240"/>
      <c r="U57" s="240"/>
      <c r="V57" s="240"/>
      <c r="W57" s="240"/>
      <c r="X57" s="240"/>
      <c r="Y57" s="240"/>
      <c r="Z57" s="240"/>
      <c r="AA57" s="240"/>
      <c r="AB57" s="240"/>
      <c r="AC57" s="240"/>
      <c r="AD57" s="240"/>
      <c r="AE57" s="240"/>
      <c r="AF57" s="240"/>
      <c r="AG57" s="548"/>
      <c r="AH57" s="11"/>
      <c r="AI57" s="11"/>
      <c r="AJ57" s="11"/>
      <c r="AK57" s="11"/>
      <c r="AL57" s="11"/>
      <c r="AM57" s="11"/>
      <c r="AN57" s="11"/>
    </row>
    <row r="58" spans="1:40" ht="15" customHeight="1">
      <c r="A58" s="1038"/>
      <c r="C58" s="464" t="s">
        <v>396</v>
      </c>
      <c r="D58" s="429"/>
      <c r="E58" s="425"/>
      <c r="F58" s="463" t="s">
        <v>397</v>
      </c>
      <c r="G58" s="240"/>
      <c r="H58" s="240"/>
      <c r="I58" s="241"/>
      <c r="J58" s="261"/>
      <c r="K58" s="261"/>
      <c r="L58" s="261"/>
      <c r="M58" s="261"/>
      <c r="N58" s="261"/>
      <c r="O58" s="240"/>
      <c r="P58" s="240"/>
      <c r="Q58" s="240"/>
      <c r="R58" s="240"/>
      <c r="S58" s="240"/>
      <c r="T58" s="240"/>
      <c r="U58" s="240"/>
      <c r="V58" s="240"/>
      <c r="W58" s="240"/>
      <c r="X58" s="240"/>
      <c r="Y58" s="240"/>
      <c r="Z58" s="240"/>
      <c r="AA58" s="240"/>
      <c r="AB58" s="240"/>
      <c r="AC58" s="240"/>
      <c r="AD58" s="240"/>
      <c r="AE58" s="240"/>
      <c r="AF58" s="240"/>
      <c r="AG58" s="548"/>
      <c r="AH58" s="11"/>
      <c r="AI58" s="11"/>
      <c r="AJ58" s="11"/>
      <c r="AK58" s="11"/>
      <c r="AL58" s="11"/>
      <c r="AM58" s="11"/>
      <c r="AN58" s="11"/>
    </row>
    <row r="59" spans="1:40" ht="15" customHeight="1">
      <c r="A59" s="1038"/>
      <c r="C59" s="437" t="s">
        <v>398</v>
      </c>
      <c r="D59" s="424"/>
      <c r="E59" s="466"/>
      <c r="F59" s="465" t="s">
        <v>399</v>
      </c>
      <c r="G59" s="240"/>
      <c r="H59" s="240"/>
      <c r="I59" s="240"/>
      <c r="J59" s="262"/>
      <c r="K59" s="262"/>
      <c r="L59" s="262"/>
      <c r="M59" s="262"/>
      <c r="N59" s="261"/>
      <c r="O59" s="240"/>
      <c r="P59" s="240"/>
      <c r="Q59" s="240"/>
      <c r="R59" s="240"/>
      <c r="S59" s="240"/>
      <c r="T59" s="240"/>
      <c r="U59" s="240"/>
      <c r="V59" s="240"/>
      <c r="W59" s="240"/>
      <c r="X59" s="240"/>
      <c r="Y59" s="240"/>
      <c r="Z59" s="240"/>
      <c r="AA59" s="240"/>
      <c r="AB59" s="240"/>
      <c r="AC59" s="240"/>
      <c r="AD59" s="240"/>
      <c r="AE59" s="240"/>
      <c r="AF59" s="240"/>
      <c r="AG59" s="548"/>
      <c r="AH59" s="11"/>
      <c r="AI59" s="11"/>
      <c r="AJ59" s="11"/>
      <c r="AK59" s="11"/>
      <c r="AL59" s="11"/>
      <c r="AM59" s="11"/>
      <c r="AN59" s="11"/>
    </row>
    <row r="60" spans="1:40" ht="15" customHeight="1">
      <c r="A60" s="1038"/>
      <c r="C60" s="459" t="s">
        <v>400</v>
      </c>
      <c r="D60" s="478"/>
      <c r="E60" s="479"/>
      <c r="F60" s="467" t="s">
        <v>401</v>
      </c>
      <c r="G60" s="240"/>
      <c r="H60" s="240"/>
      <c r="I60" s="240"/>
      <c r="J60" s="261"/>
      <c r="K60" s="261"/>
      <c r="L60" s="261"/>
      <c r="M60" s="261"/>
      <c r="N60" s="261"/>
      <c r="O60" s="240"/>
      <c r="P60" s="240"/>
      <c r="Q60" s="240"/>
      <c r="R60" s="240"/>
      <c r="S60" s="240"/>
      <c r="T60" s="240"/>
      <c r="U60" s="240"/>
      <c r="V60" s="240"/>
      <c r="W60" s="240"/>
      <c r="X60" s="240"/>
      <c r="Y60" s="240"/>
      <c r="Z60" s="240"/>
      <c r="AA60" s="240"/>
      <c r="AB60" s="240"/>
      <c r="AC60" s="240"/>
      <c r="AD60" s="240"/>
      <c r="AE60" s="240"/>
      <c r="AF60" s="240"/>
      <c r="AG60" s="548"/>
      <c r="AH60" s="11"/>
      <c r="AI60" s="11"/>
      <c r="AJ60" s="11"/>
      <c r="AK60" s="11"/>
      <c r="AL60" s="11"/>
      <c r="AM60" s="11"/>
      <c r="AN60" s="11"/>
    </row>
    <row r="61" spans="1:40" ht="15" customHeight="1">
      <c r="A61" s="1038"/>
      <c r="C61" s="468" t="s">
        <v>402</v>
      </c>
      <c r="D61" s="480"/>
      <c r="E61" s="480"/>
      <c r="F61" s="463" t="s">
        <v>403</v>
      </c>
      <c r="G61" s="240"/>
      <c r="H61" s="240"/>
      <c r="I61" s="240"/>
      <c r="J61" s="240"/>
      <c r="K61" s="240"/>
      <c r="L61" s="240"/>
      <c r="M61" s="240"/>
      <c r="N61" s="240"/>
      <c r="O61" s="240"/>
      <c r="P61" s="240"/>
      <c r="Q61" s="240"/>
      <c r="R61" s="240"/>
      <c r="S61" s="240"/>
      <c r="T61" s="240"/>
      <c r="U61" s="240"/>
      <c r="V61" s="240"/>
      <c r="W61" s="240"/>
      <c r="X61" s="240"/>
      <c r="Y61" s="240"/>
      <c r="Z61" s="240"/>
      <c r="AA61" s="240"/>
      <c r="AB61" s="240"/>
      <c r="AC61" s="240"/>
      <c r="AD61" s="240"/>
      <c r="AE61" s="240"/>
      <c r="AF61" s="240"/>
      <c r="AG61" s="548"/>
      <c r="AH61" s="11"/>
      <c r="AI61" s="11"/>
      <c r="AJ61" s="11"/>
      <c r="AK61" s="11"/>
      <c r="AL61" s="11"/>
      <c r="AM61" s="11"/>
      <c r="AN61" s="11"/>
    </row>
    <row r="62" spans="1:40" ht="15" customHeight="1">
      <c r="A62" s="1038"/>
      <c r="C62" s="468" t="s">
        <v>404</v>
      </c>
      <c r="D62" s="422"/>
      <c r="E62" s="422"/>
      <c r="F62" s="463" t="s">
        <v>405</v>
      </c>
      <c r="G62" s="240"/>
      <c r="H62" s="240"/>
      <c r="I62" s="240"/>
      <c r="J62" s="240"/>
      <c r="K62" s="240"/>
      <c r="L62" s="240"/>
      <c r="M62" s="240"/>
      <c r="N62" s="240"/>
      <c r="O62" s="240"/>
      <c r="P62" s="240"/>
      <c r="Q62" s="240"/>
      <c r="R62" s="240"/>
      <c r="S62" s="240"/>
      <c r="T62" s="240"/>
      <c r="U62" s="240"/>
      <c r="V62" s="240"/>
      <c r="W62" s="240"/>
      <c r="X62" s="240"/>
      <c r="Y62" s="240"/>
      <c r="Z62" s="240"/>
      <c r="AA62" s="240"/>
      <c r="AB62" s="240"/>
      <c r="AC62" s="240"/>
      <c r="AD62" s="240"/>
      <c r="AE62" s="240"/>
      <c r="AF62" s="240"/>
      <c r="AG62" s="548"/>
      <c r="AH62" s="11"/>
      <c r="AI62" s="11"/>
      <c r="AJ62" s="11"/>
      <c r="AK62" s="11"/>
      <c r="AL62" s="11"/>
      <c r="AM62" s="11"/>
      <c r="AN62" s="11"/>
    </row>
    <row r="63" spans="1:40" ht="15" customHeight="1">
      <c r="A63" s="1038"/>
      <c r="C63" s="468" t="s">
        <v>406</v>
      </c>
      <c r="D63" s="422"/>
      <c r="E63" s="422"/>
      <c r="F63" s="463" t="s">
        <v>405</v>
      </c>
      <c r="G63" s="240"/>
      <c r="H63" s="240"/>
      <c r="I63" s="240"/>
      <c r="J63" s="240"/>
      <c r="K63" s="240"/>
      <c r="L63" s="240"/>
      <c r="M63" s="240"/>
      <c r="N63" s="240"/>
      <c r="O63" s="240"/>
      <c r="P63" s="240"/>
      <c r="Q63" s="240"/>
      <c r="R63" s="240"/>
      <c r="S63" s="240"/>
      <c r="T63" s="240"/>
      <c r="U63" s="240"/>
      <c r="V63" s="240"/>
      <c r="W63" s="240"/>
      <c r="X63" s="240"/>
      <c r="Y63" s="240"/>
      <c r="Z63" s="240"/>
      <c r="AA63" s="240"/>
      <c r="AB63" s="240"/>
      <c r="AC63" s="240"/>
      <c r="AD63" s="240"/>
      <c r="AE63" s="240"/>
      <c r="AF63" s="240"/>
      <c r="AG63" s="548"/>
      <c r="AH63" s="11"/>
      <c r="AI63" s="11"/>
      <c r="AJ63" s="11"/>
      <c r="AK63" s="11"/>
      <c r="AL63" s="11"/>
      <c r="AM63" s="11"/>
      <c r="AN63" s="11"/>
    </row>
    <row r="64" spans="1:40" ht="15" customHeight="1">
      <c r="A64" s="1038"/>
      <c r="C64" s="468" t="s">
        <v>407</v>
      </c>
      <c r="D64" s="480"/>
      <c r="E64" s="480"/>
      <c r="F64" s="463" t="s">
        <v>408</v>
      </c>
      <c r="G64" s="240"/>
      <c r="I64" s="240"/>
      <c r="J64" s="240"/>
      <c r="K64" s="240"/>
      <c r="L64" s="240"/>
      <c r="M64" s="240"/>
      <c r="N64" s="240"/>
      <c r="O64" s="240"/>
      <c r="P64" s="240"/>
      <c r="Q64" s="240"/>
      <c r="R64" s="240"/>
      <c r="S64" s="240"/>
      <c r="T64" s="240"/>
      <c r="U64" s="240"/>
      <c r="V64" s="240"/>
      <c r="W64" s="240"/>
      <c r="X64" s="240"/>
      <c r="Y64" s="240"/>
      <c r="Z64" s="240"/>
      <c r="AA64" s="240"/>
      <c r="AB64" s="240"/>
      <c r="AC64" s="240"/>
      <c r="AD64" s="240"/>
      <c r="AE64" s="240"/>
      <c r="AF64" s="240"/>
      <c r="AG64" s="240"/>
    </row>
    <row r="65" spans="1:33" ht="15" customHeight="1">
      <c r="A65" s="1038"/>
      <c r="C65" s="468" t="s">
        <v>409</v>
      </c>
      <c r="D65" s="481"/>
      <c r="E65" s="481"/>
      <c r="F65" s="463" t="s">
        <v>408</v>
      </c>
      <c r="G65" s="240"/>
      <c r="I65" s="240"/>
      <c r="J65" s="240"/>
      <c r="K65" s="240"/>
      <c r="L65" s="240"/>
      <c r="M65" s="240"/>
      <c r="N65" s="240"/>
      <c r="O65" s="240"/>
      <c r="P65" s="240"/>
      <c r="Q65" s="240"/>
      <c r="R65" s="240"/>
      <c r="S65" s="240"/>
      <c r="T65" s="240"/>
      <c r="U65" s="240"/>
      <c r="V65" s="240"/>
      <c r="W65" s="240"/>
      <c r="X65" s="240"/>
      <c r="Y65" s="240"/>
      <c r="Z65" s="240"/>
      <c r="AA65" s="240"/>
      <c r="AB65" s="240"/>
      <c r="AC65" s="240"/>
      <c r="AD65" s="240"/>
      <c r="AE65" s="240"/>
      <c r="AF65" s="240"/>
      <c r="AG65" s="240"/>
    </row>
    <row r="66" spans="1:33" ht="15" customHeight="1">
      <c r="A66" s="1038"/>
      <c r="C66" s="468" t="s">
        <v>410</v>
      </c>
      <c r="D66" s="482"/>
      <c r="E66" s="482"/>
      <c r="F66" s="463" t="s">
        <v>405</v>
      </c>
      <c r="G66" s="240"/>
      <c r="I66" s="240"/>
      <c r="J66" s="240"/>
      <c r="K66" s="240"/>
      <c r="L66" s="240"/>
      <c r="M66" s="240"/>
      <c r="N66" s="240"/>
      <c r="O66" s="240"/>
      <c r="P66" s="240"/>
      <c r="Q66" s="240"/>
      <c r="R66" s="240"/>
      <c r="S66" s="240"/>
      <c r="T66" s="240"/>
      <c r="U66" s="240"/>
      <c r="V66" s="240"/>
      <c r="W66" s="240"/>
      <c r="X66" s="240"/>
      <c r="Y66" s="240"/>
      <c r="Z66" s="240"/>
      <c r="AA66" s="240"/>
      <c r="AB66" s="240"/>
      <c r="AC66" s="240"/>
      <c r="AD66" s="240"/>
      <c r="AE66" s="240"/>
      <c r="AF66" s="240"/>
      <c r="AG66" s="240"/>
    </row>
    <row r="67" spans="1:33" ht="15.75" customHeight="1">
      <c r="A67" s="1038"/>
      <c r="C67" s="468" t="s">
        <v>411</v>
      </c>
      <c r="D67" s="429"/>
      <c r="E67" s="429"/>
      <c r="F67" s="463" t="s">
        <v>405</v>
      </c>
      <c r="G67" s="240"/>
      <c r="J67" s="240"/>
      <c r="K67" s="240"/>
      <c r="L67" s="240"/>
      <c r="M67" s="240"/>
      <c r="N67" s="240"/>
      <c r="O67" s="240"/>
      <c r="P67" s="240"/>
      <c r="Q67" s="240"/>
      <c r="R67" s="240"/>
      <c r="S67" s="240"/>
      <c r="T67" s="240"/>
      <c r="U67" s="240"/>
      <c r="V67" s="240"/>
      <c r="W67" s="240"/>
      <c r="X67" s="240"/>
      <c r="Y67" s="240"/>
      <c r="Z67" s="240"/>
      <c r="AA67" s="240"/>
      <c r="AB67" s="240"/>
      <c r="AC67" s="240"/>
      <c r="AD67" s="240"/>
      <c r="AE67" s="240"/>
      <c r="AF67" s="240"/>
      <c r="AG67" s="240"/>
    </row>
    <row r="68" spans="1:33" ht="15.75" customHeight="1">
      <c r="A68" s="1038"/>
      <c r="C68" s="468" t="s">
        <v>233</v>
      </c>
      <c r="D68" s="422"/>
      <c r="E68" s="422"/>
      <c r="F68" s="463" t="s">
        <v>412</v>
      </c>
      <c r="G68" s="240"/>
      <c r="J68" s="240"/>
      <c r="K68" s="240"/>
      <c r="L68" s="240"/>
      <c r="M68" s="240"/>
      <c r="N68" s="240"/>
      <c r="O68" s="240"/>
      <c r="P68" s="240"/>
      <c r="Q68" s="240"/>
      <c r="R68" s="240"/>
      <c r="S68" s="240"/>
      <c r="T68" s="240"/>
      <c r="U68" s="240"/>
      <c r="V68" s="240"/>
      <c r="W68" s="240"/>
      <c r="X68" s="240"/>
      <c r="Y68" s="240"/>
      <c r="Z68" s="240"/>
      <c r="AA68" s="240"/>
      <c r="AB68" s="240"/>
      <c r="AC68" s="240"/>
      <c r="AD68" s="240"/>
      <c r="AE68" s="240"/>
      <c r="AF68" s="240"/>
      <c r="AG68" s="240"/>
    </row>
    <row r="69" spans="1:33" ht="14.45">
      <c r="A69" s="240"/>
      <c r="C69" s="240"/>
      <c r="D69" s="240"/>
      <c r="E69" s="240"/>
      <c r="F69" s="240"/>
      <c r="G69" s="240"/>
      <c r="H69" s="240"/>
      <c r="I69" s="240"/>
      <c r="J69" s="240"/>
      <c r="K69" s="240"/>
      <c r="L69" s="240"/>
      <c r="M69" s="240"/>
      <c r="N69" s="240"/>
      <c r="O69" s="240"/>
      <c r="P69" s="240"/>
      <c r="Q69" s="240"/>
      <c r="R69" s="240"/>
      <c r="S69" s="240"/>
      <c r="T69" s="240"/>
      <c r="U69" s="240"/>
      <c r="V69" s="240"/>
      <c r="W69" s="240"/>
      <c r="X69" s="240"/>
      <c r="Y69" s="240"/>
      <c r="Z69" s="240"/>
      <c r="AA69" s="240"/>
      <c r="AB69" s="240"/>
      <c r="AC69" s="240"/>
      <c r="AD69" s="240"/>
      <c r="AE69" s="240"/>
      <c r="AF69" s="240"/>
      <c r="AG69" s="240"/>
    </row>
    <row r="70" spans="1:33" ht="14.45">
      <c r="A70" s="1017" t="s">
        <v>197</v>
      </c>
      <c r="C70" s="323"/>
      <c r="D70" s="430" t="s">
        <v>413</v>
      </c>
      <c r="E70" s="2"/>
      <c r="G70" s="240"/>
      <c r="H70" s="240"/>
      <c r="I70" s="240"/>
      <c r="J70" s="240"/>
      <c r="K70" s="240"/>
      <c r="L70" s="240"/>
      <c r="M70" s="240"/>
      <c r="N70" s="240"/>
      <c r="O70" s="240"/>
      <c r="P70" s="240"/>
      <c r="Q70" s="240"/>
      <c r="R70" s="240"/>
      <c r="S70" s="240"/>
      <c r="T70" s="240"/>
      <c r="U70" s="240"/>
      <c r="V70" s="240"/>
      <c r="W70" s="240"/>
      <c r="X70" s="240"/>
      <c r="Y70" s="240"/>
      <c r="Z70" s="240"/>
      <c r="AA70" s="240"/>
      <c r="AB70" s="240"/>
      <c r="AC70" s="240"/>
      <c r="AD70" s="240"/>
      <c r="AE70" s="240"/>
      <c r="AF70" s="240"/>
      <c r="AG70" s="240"/>
    </row>
    <row r="71" spans="1:33" ht="14.45">
      <c r="A71" s="1018"/>
      <c r="C71" s="323" t="s">
        <v>414</v>
      </c>
      <c r="D71" s="431" t="e">
        <f>SUMPRODUCT(G35:AF35,G45:AF45)+((AF43-AF44)*AF45)</f>
        <v>#DIV/0!</v>
      </c>
      <c r="E71" s="383" t="e">
        <f>D71/D73</f>
        <v>#DIV/0!</v>
      </c>
      <c r="G71" s="240"/>
      <c r="H71" s="240"/>
      <c r="I71" s="240"/>
      <c r="J71" s="240"/>
      <c r="K71" s="240"/>
      <c r="L71" s="240"/>
      <c r="M71" s="240"/>
      <c r="N71" s="240"/>
      <c r="O71" s="240"/>
      <c r="P71" s="240"/>
      <c r="Q71" s="240"/>
      <c r="R71" s="240"/>
      <c r="S71" s="240"/>
      <c r="T71" s="240"/>
      <c r="U71" s="240"/>
      <c r="V71" s="240"/>
      <c r="W71" s="240"/>
      <c r="X71" s="240"/>
      <c r="Y71" s="240"/>
      <c r="Z71" s="240"/>
      <c r="AA71" s="240"/>
      <c r="AB71" s="240"/>
      <c r="AC71" s="240"/>
      <c r="AD71" s="240"/>
      <c r="AE71" s="240"/>
      <c r="AF71" s="240"/>
      <c r="AG71" s="240"/>
    </row>
    <row r="72" spans="1:33" ht="14.45">
      <c r="A72" s="1018"/>
      <c r="C72" s="323" t="s">
        <v>415</v>
      </c>
      <c r="D72" s="431" t="e">
        <f>(AF34/(F50-AF5))*AF45</f>
        <v>#DIV/0!</v>
      </c>
      <c r="E72" s="383" t="e">
        <f>D72/D73</f>
        <v>#DIV/0!</v>
      </c>
      <c r="G72" s="240"/>
      <c r="H72" s="240"/>
      <c r="I72" s="240"/>
      <c r="J72" s="240"/>
      <c r="K72" s="240"/>
      <c r="L72" s="240"/>
      <c r="M72" s="240"/>
      <c r="N72" s="240"/>
      <c r="O72" s="240"/>
      <c r="P72" s="240"/>
      <c r="Q72" s="240"/>
      <c r="R72" s="240"/>
      <c r="S72" s="240"/>
      <c r="T72" s="240"/>
      <c r="U72" s="240"/>
      <c r="V72" s="240"/>
      <c r="W72" s="240"/>
      <c r="X72" s="240"/>
      <c r="Y72" s="240"/>
      <c r="Z72" s="240"/>
      <c r="AA72" s="240"/>
      <c r="AB72" s="240"/>
      <c r="AC72" s="240"/>
      <c r="AD72" s="240"/>
      <c r="AE72" s="240"/>
      <c r="AF72" s="240"/>
      <c r="AG72" s="240"/>
    </row>
    <row r="73" spans="1:33" ht="14.45">
      <c r="A73" s="1018"/>
      <c r="C73" s="323" t="s">
        <v>416</v>
      </c>
      <c r="D73" s="431" t="s">
        <v>417</v>
      </c>
      <c r="E73" s="2"/>
      <c r="G73" s="240"/>
      <c r="H73" s="240"/>
      <c r="I73" s="240"/>
      <c r="J73" s="240"/>
      <c r="K73" s="240"/>
      <c r="L73" s="240"/>
      <c r="M73" s="240"/>
      <c r="N73" s="240"/>
      <c r="O73" s="240"/>
      <c r="P73" s="240"/>
      <c r="Q73" s="240"/>
      <c r="R73" s="240"/>
      <c r="S73" s="240"/>
      <c r="T73" s="240"/>
      <c r="U73" s="240"/>
      <c r="V73" s="240"/>
      <c r="W73" s="240"/>
      <c r="X73" s="240"/>
      <c r="Y73" s="240"/>
      <c r="Z73" s="240"/>
      <c r="AA73" s="240"/>
      <c r="AB73" s="240"/>
      <c r="AC73" s="240"/>
      <c r="AD73" s="240"/>
      <c r="AE73" s="240"/>
      <c r="AF73" s="240"/>
      <c r="AG73" s="240"/>
    </row>
    <row r="74" spans="1:33" ht="14.45">
      <c r="A74" s="1018"/>
      <c r="C74" s="726" t="s">
        <v>418</v>
      </c>
      <c r="D74" s="727">
        <f ca="1">OP!C12</f>
        <v>2104</v>
      </c>
      <c r="E74" s="324"/>
      <c r="G74" s="240"/>
      <c r="H74" s="240"/>
      <c r="I74" s="240"/>
      <c r="J74" s="240"/>
      <c r="K74" s="240"/>
      <c r="L74" s="240"/>
      <c r="M74" s="240"/>
      <c r="N74" s="240"/>
      <c r="O74" s="240"/>
      <c r="P74" s="240"/>
      <c r="Q74" s="240"/>
      <c r="R74" s="240"/>
      <c r="S74" s="240"/>
      <c r="T74" s="240"/>
      <c r="U74" s="240"/>
      <c r="V74" s="240"/>
      <c r="W74" s="240"/>
      <c r="X74" s="240"/>
      <c r="Y74" s="240"/>
      <c r="Z74" s="240"/>
      <c r="AA74" s="240"/>
      <c r="AB74" s="240"/>
      <c r="AC74" s="240"/>
      <c r="AD74" s="240"/>
      <c r="AE74" s="240"/>
      <c r="AF74" s="240"/>
      <c r="AG74" s="240"/>
    </row>
    <row r="75" spans="1:33" ht="14.45">
      <c r="A75" s="1018"/>
      <c r="C75" s="726" t="s">
        <v>419</v>
      </c>
      <c r="D75" s="432" t="e">
        <f ca="1">D76/D74-1</f>
        <v>#VALUE!</v>
      </c>
      <c r="H75" s="240"/>
      <c r="I75" s="240"/>
      <c r="J75" s="240"/>
      <c r="K75" s="240"/>
      <c r="L75" s="240"/>
      <c r="M75" s="240"/>
      <c r="N75" s="240"/>
      <c r="O75" s="240"/>
      <c r="P75" s="240"/>
      <c r="Q75" s="240"/>
      <c r="R75" s="240"/>
      <c r="S75" s="240"/>
      <c r="T75" s="240"/>
      <c r="U75" s="240"/>
      <c r="V75" s="240"/>
      <c r="W75" s="240"/>
      <c r="X75" s="240"/>
      <c r="Y75" s="240"/>
      <c r="Z75" s="240"/>
      <c r="AA75" s="240"/>
      <c r="AB75" s="240"/>
      <c r="AC75" s="240"/>
      <c r="AD75" s="240"/>
      <c r="AE75" s="240"/>
      <c r="AF75" s="240"/>
      <c r="AG75" s="240"/>
    </row>
    <row r="76" spans="1:33" ht="14.45">
      <c r="A76" s="1019"/>
      <c r="C76" s="433" t="s">
        <v>420</v>
      </c>
      <c r="D76" s="434" t="e">
        <f ca="1">D73*1000000/OP!C13</f>
        <v>#VALUE!</v>
      </c>
    </row>
    <row r="77" spans="1:33" ht="14.45">
      <c r="A77" s="409"/>
      <c r="C77" s="324"/>
      <c r="D77" s="728"/>
    </row>
    <row r="78" spans="1:33" ht="14.45">
      <c r="A78" s="1013" t="s">
        <v>421</v>
      </c>
      <c r="C78" s="458" t="s">
        <v>422</v>
      </c>
      <c r="D78" s="727" t="e">
        <f ca="1">(SUMPRODUCT(G35:AF35,G45:AF45)+((AF43-AF44)*AF45)+(AF34/(F50+0.001-AF5))*AF45)*1000000/OP!C13</f>
        <v>#DIV/0!</v>
      </c>
      <c r="E78" s="435" t="e">
        <f ca="1">D78/D76-1</f>
        <v>#DIV/0!</v>
      </c>
    </row>
    <row r="79" spans="1:33" ht="14.45">
      <c r="A79" s="1014"/>
      <c r="C79" s="458" t="s">
        <v>423</v>
      </c>
      <c r="D79" s="727" t="e">
        <f ca="1">(SUMPRODUCT(G35:AF35,G45:AF45)+((AF43-AF44)*AF45)+(AF34/(F50+0.005-AF5))*AF45)*1000000/OP!C13</f>
        <v>#DIV/0!</v>
      </c>
      <c r="E79" s="435" t="e">
        <f ca="1">D79/D76-1</f>
        <v>#DIV/0!</v>
      </c>
    </row>
    <row r="80" spans="1:33" ht="14.45">
      <c r="A80" s="456"/>
      <c r="C80" s="457"/>
      <c r="D80" s="728"/>
      <c r="E80" s="435"/>
    </row>
    <row r="81" spans="1:12" ht="14.45">
      <c r="A81" s="469" t="s">
        <v>424</v>
      </c>
      <c r="J81" s="5"/>
    </row>
    <row r="82" spans="1:12">
      <c r="G82" s="1"/>
      <c r="H82" s="1"/>
      <c r="I82" s="1"/>
      <c r="J82" s="4"/>
    </row>
    <row r="83" spans="1:12">
      <c r="G83" s="1"/>
      <c r="H83" s="1"/>
      <c r="I83" s="1"/>
      <c r="J83" s="4"/>
    </row>
    <row r="84" spans="1:12">
      <c r="G84" s="1"/>
      <c r="H84" s="1"/>
      <c r="I84" s="1"/>
      <c r="K84" s="4"/>
    </row>
    <row r="85" spans="1:12">
      <c r="L85" s="5"/>
    </row>
    <row r="86" spans="1:12">
      <c r="G86" s="1"/>
      <c r="H86" s="1"/>
      <c r="I86" s="1"/>
    </row>
    <row r="87" spans="1:12">
      <c r="G87" s="1"/>
      <c r="H87" s="1"/>
      <c r="I87" s="1"/>
    </row>
    <row r="88" spans="1:12">
      <c r="G88" s="1"/>
      <c r="H88" s="1"/>
      <c r="I88" s="1"/>
    </row>
  </sheetData>
  <mergeCells count="15">
    <mergeCell ref="A33:AF33"/>
    <mergeCell ref="A78:A79"/>
    <mergeCell ref="A1:AF2"/>
    <mergeCell ref="A70:A76"/>
    <mergeCell ref="A5:A17"/>
    <mergeCell ref="A19:A32"/>
    <mergeCell ref="A43:A47"/>
    <mergeCell ref="G3:J3"/>
    <mergeCell ref="K3:AF3"/>
    <mergeCell ref="A42:AF42"/>
    <mergeCell ref="A48:AF48"/>
    <mergeCell ref="A34:A36"/>
    <mergeCell ref="A38:A41"/>
    <mergeCell ref="A49:A50"/>
    <mergeCell ref="A52:A68"/>
  </mergeCells>
  <phoneticPr fontId="0" type="noConversion"/>
  <conditionalFormatting sqref="D75">
    <cfRule type="cellIs" dxfId="1" priority="1" operator="lessThan">
      <formula>0</formula>
    </cfRule>
    <cfRule type="cellIs" dxfId="0" priority="2" operator="greaterThan">
      <formula>0%</formula>
    </cfRule>
  </conditionalFormatting>
  <pageMargins left="0.75" right="0.75" top="1" bottom="1" header="0" footer="0"/>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4465F-F60F-4DA4-8EB4-9D275D264FB2}">
  <dimension ref="A2:AJ68"/>
  <sheetViews>
    <sheetView showGridLines="0" topLeftCell="A12" zoomScale="125" zoomScaleNormal="100" workbookViewId="0">
      <selection activeCell="D23" sqref="D23"/>
    </sheetView>
  </sheetViews>
  <sheetFormatPr defaultColWidth="9.140625" defaultRowHeight="13.15"/>
  <cols>
    <col min="1" max="1" width="9.140625" style="688"/>
    <col min="2" max="2" width="17.7109375" style="688" customWidth="1"/>
    <col min="3" max="4" width="12.7109375" style="688" customWidth="1"/>
    <col min="5" max="5" width="13.42578125" style="688" customWidth="1"/>
    <col min="6" max="6" width="12.85546875" style="688" customWidth="1"/>
    <col min="7" max="7" width="14.140625" style="688" customWidth="1"/>
    <col min="8" max="8" width="6.28515625" style="688" customWidth="1"/>
    <col min="9" max="9" width="14.140625" style="688" customWidth="1"/>
    <col min="10" max="10" width="2.85546875" style="688" customWidth="1"/>
    <col min="11" max="12" width="17.7109375" style="688" customWidth="1"/>
    <col min="13" max="20" width="11.28515625" style="688" bestFit="1" customWidth="1"/>
    <col min="21" max="35" width="12.28515625" style="688" bestFit="1" customWidth="1"/>
    <col min="36" max="16384" width="9.140625" style="688"/>
  </cols>
  <sheetData>
    <row r="2" spans="1:35" s="687" customFormat="1" ht="12.6" customHeight="1">
      <c r="A2" s="684"/>
      <c r="B2" s="685" t="s">
        <v>425</v>
      </c>
      <c r="C2" s="686"/>
      <c r="D2" s="684"/>
      <c r="E2" s="684"/>
      <c r="F2" s="684"/>
      <c r="G2" s="684"/>
      <c r="H2" s="684"/>
      <c r="I2" s="684"/>
      <c r="J2" s="684"/>
      <c r="K2" s="684"/>
      <c r="L2" s="684"/>
      <c r="M2" s="684"/>
      <c r="N2" s="684"/>
      <c r="O2" s="684"/>
      <c r="P2" s="684"/>
      <c r="Q2" s="684"/>
      <c r="R2" s="684"/>
      <c r="S2" s="684"/>
      <c r="T2" s="684"/>
      <c r="U2" s="684"/>
      <c r="V2" s="684"/>
      <c r="W2" s="684"/>
      <c r="X2" s="684"/>
      <c r="Y2" s="684"/>
      <c r="Z2" s="684"/>
      <c r="AA2" s="684"/>
      <c r="AB2" s="684"/>
      <c r="AC2" s="684"/>
      <c r="AD2" s="684"/>
      <c r="AE2" s="684"/>
      <c r="AF2" s="684"/>
      <c r="AG2" s="684"/>
      <c r="AH2" s="684"/>
      <c r="AI2" s="684"/>
    </row>
    <row r="3" spans="1:35" ht="12.6" customHeight="1">
      <c r="C3" s="689"/>
    </row>
    <row r="4" spans="1:35">
      <c r="B4" s="688" t="s">
        <v>426</v>
      </c>
      <c r="F4" s="690"/>
      <c r="G4" s="691"/>
      <c r="H4" s="691"/>
      <c r="I4" s="691"/>
      <c r="J4" s="691"/>
      <c r="K4" s="691"/>
      <c r="L4" s="691"/>
    </row>
    <row r="5" spans="1:35">
      <c r="B5" s="692"/>
      <c r="G5" s="693"/>
      <c r="H5" s="693"/>
      <c r="I5" s="693"/>
      <c r="J5" s="693"/>
      <c r="K5" s="693"/>
      <c r="L5" s="693"/>
    </row>
    <row r="6" spans="1:35">
      <c r="B6" s="688" t="s">
        <v>427</v>
      </c>
    </row>
    <row r="8" spans="1:35">
      <c r="B8" s="691"/>
      <c r="C8" s="713">
        <v>2022</v>
      </c>
      <c r="D8" s="713">
        <f>C8-1</f>
        <v>2021</v>
      </c>
      <c r="E8" s="713">
        <f t="shared" ref="E8:G8" si="0">D8-1</f>
        <v>2020</v>
      </c>
      <c r="F8" s="713">
        <f t="shared" si="0"/>
        <v>2019</v>
      </c>
      <c r="G8" s="713">
        <f t="shared" si="0"/>
        <v>2018</v>
      </c>
      <c r="I8" s="712" t="s">
        <v>428</v>
      </c>
      <c r="K8" s="707" t="s">
        <v>429</v>
      </c>
      <c r="L8" s="707" t="s">
        <v>430</v>
      </c>
    </row>
    <row r="9" spans="1:35">
      <c r="B9" s="711" t="s">
        <v>431</v>
      </c>
      <c r="C9" s="308">
        <f>(Inputs!B6-Inputs!C6)/Inputs!C6</f>
        <v>0.2916945001113338</v>
      </c>
      <c r="D9" s="308">
        <f>(Inputs!C6-Inputs!D6)/Inputs!D6</f>
        <v>0.40585381123806541</v>
      </c>
      <c r="E9" s="308">
        <f>(Inputs!D6-Inputs!E6)/Inputs!E6</f>
        <v>-7.1771030074095604E-2</v>
      </c>
      <c r="F9" s="308">
        <f>(Inputs!E6-Inputs!F6)/Inputs!F6</f>
        <v>0.15370432450553134</v>
      </c>
      <c r="G9" s="308">
        <f>(Inputs!F6-Inputs!G6)/Inputs!G6</f>
        <v>7.5148675437015672E-2</v>
      </c>
      <c r="H9" s="308"/>
      <c r="I9" s="693">
        <f>AVERAGE(C9:G9)</f>
        <v>0.1709260562435701</v>
      </c>
      <c r="K9" s="708"/>
      <c r="L9" s="708"/>
    </row>
    <row r="10" spans="1:35" ht="10.5" customHeight="1">
      <c r="B10" s="711" t="s">
        <v>83</v>
      </c>
      <c r="C10" s="308">
        <f>Inputs!B8/Inputs!B6</f>
        <v>0.40484399241510083</v>
      </c>
      <c r="D10" s="308">
        <f>Inputs!C8/Inputs!C6</f>
        <v>0.39300823869962148</v>
      </c>
      <c r="E10" s="308">
        <f>Inputs!D8/Inputs!D6</f>
        <v>0.32446392236656751</v>
      </c>
      <c r="F10" s="308">
        <f>Inputs!E8/Inputs!E6</f>
        <v>0.33982275170710446</v>
      </c>
      <c r="G10" s="308">
        <f>Inputs!F8/Inputs!F6</f>
        <v>0.35668789808917195</v>
      </c>
      <c r="H10" s="308"/>
      <c r="I10" s="693">
        <f>AVERAGE(C10:G10)</f>
        <v>0.36376536065551324</v>
      </c>
      <c r="K10" s="708"/>
      <c r="L10" s="708"/>
    </row>
    <row r="13" spans="1:35" s="687" customFormat="1" ht="13.9">
      <c r="A13" s="684"/>
      <c r="B13" s="686" t="s">
        <v>432</v>
      </c>
      <c r="C13" s="686"/>
      <c r="D13" s="684"/>
      <c r="E13" s="684"/>
      <c r="F13" s="684"/>
      <c r="G13" s="684"/>
      <c r="H13" s="684"/>
      <c r="I13" s="684"/>
      <c r="J13" s="684"/>
      <c r="K13" s="684"/>
      <c r="L13" s="684"/>
      <c r="M13" s="684"/>
      <c r="N13" s="684"/>
      <c r="O13" s="684"/>
      <c r="P13" s="684"/>
      <c r="Q13" s="684"/>
      <c r="R13" s="684"/>
      <c r="S13" s="684"/>
      <c r="T13" s="684"/>
      <c r="U13" s="684"/>
      <c r="V13" s="684"/>
      <c r="W13" s="684"/>
      <c r="X13" s="684"/>
      <c r="Y13" s="684"/>
      <c r="Z13" s="684"/>
      <c r="AA13" s="684"/>
      <c r="AB13" s="684"/>
      <c r="AC13" s="684"/>
      <c r="AD13" s="684"/>
      <c r="AE13" s="684"/>
      <c r="AF13" s="684"/>
      <c r="AG13" s="684"/>
      <c r="AH13" s="684"/>
      <c r="AI13" s="684"/>
    </row>
    <row r="14" spans="1:35" ht="13.9">
      <c r="A14" s="709"/>
      <c r="B14" s="710"/>
      <c r="C14" s="710"/>
      <c r="D14" s="709"/>
      <c r="E14" s="709"/>
      <c r="F14" s="709"/>
      <c r="G14" s="709"/>
      <c r="H14" s="709"/>
      <c r="I14" s="709"/>
      <c r="J14" s="709"/>
      <c r="K14" s="709"/>
      <c r="L14" s="709"/>
      <c r="M14" s="709"/>
      <c r="N14" s="709"/>
      <c r="O14" s="709"/>
      <c r="P14" s="709"/>
      <c r="Q14" s="709"/>
      <c r="R14" s="709"/>
      <c r="S14" s="709"/>
      <c r="T14" s="709"/>
      <c r="U14" s="709"/>
      <c r="V14" s="709"/>
      <c r="W14" s="709"/>
      <c r="X14" s="709"/>
      <c r="Y14" s="709"/>
      <c r="Z14" s="709"/>
      <c r="AA14" s="709"/>
      <c r="AB14" s="709"/>
      <c r="AC14" s="709"/>
      <c r="AD14" s="709"/>
      <c r="AE14" s="709"/>
      <c r="AF14" s="709"/>
      <c r="AG14" s="709"/>
      <c r="AH14" s="709"/>
      <c r="AI14" s="709"/>
    </row>
    <row r="15" spans="1:35" ht="14.45">
      <c r="C15" s="1039" t="s">
        <v>433</v>
      </c>
      <c r="D15" s="1039"/>
      <c r="E15" s="1039"/>
      <c r="F15" s="1039"/>
      <c r="G15" s="1039"/>
    </row>
    <row r="16" spans="1:35" ht="14.45">
      <c r="B16" s="694"/>
      <c r="C16" s="706">
        <f>C8</f>
        <v>2022</v>
      </c>
      <c r="D16" s="706">
        <f>D8</f>
        <v>2021</v>
      </c>
      <c r="E16" s="706">
        <f>E8</f>
        <v>2020</v>
      </c>
      <c r="F16" s="706">
        <f>F8</f>
        <v>2019</v>
      </c>
      <c r="G16" s="706">
        <f>G8</f>
        <v>2018</v>
      </c>
      <c r="H16" s="695"/>
      <c r="I16" s="714" t="s">
        <v>160</v>
      </c>
      <c r="K16" s="707" t="s">
        <v>429</v>
      </c>
      <c r="L16" s="707" t="s">
        <v>430</v>
      </c>
      <c r="N16" s="688" t="s">
        <v>434</v>
      </c>
    </row>
    <row r="17" spans="2:36">
      <c r="B17" s="711" t="s">
        <v>386</v>
      </c>
      <c r="C17" s="696"/>
      <c r="D17" s="696"/>
      <c r="E17" s="696"/>
      <c r="F17" s="696"/>
      <c r="G17" s="696"/>
      <c r="I17" s="697" t="e">
        <f>AVERAGE(C17:G17)</f>
        <v>#DIV/0!</v>
      </c>
      <c r="K17" s="708"/>
      <c r="L17" s="708"/>
      <c r="AJ17" s="698"/>
    </row>
    <row r="18" spans="2:36">
      <c r="B18" s="711" t="s">
        <v>388</v>
      </c>
      <c r="C18" s="696"/>
      <c r="D18" s="696"/>
      <c r="E18" s="696"/>
      <c r="F18" s="696"/>
      <c r="G18" s="696"/>
      <c r="I18" s="697" t="e">
        <f t="shared" ref="I18:I31" si="1">AVERAGE(C18:G18)</f>
        <v>#DIV/0!</v>
      </c>
      <c r="K18" s="708"/>
      <c r="L18" s="708"/>
    </row>
    <row r="19" spans="2:36">
      <c r="B19" s="711" t="s">
        <v>390</v>
      </c>
      <c r="C19" s="696"/>
      <c r="D19" s="696"/>
      <c r="E19" s="696"/>
      <c r="F19" s="696"/>
      <c r="G19" s="696"/>
      <c r="I19" s="697" t="e">
        <f t="shared" si="1"/>
        <v>#DIV/0!</v>
      </c>
      <c r="K19" s="708"/>
      <c r="L19" s="708"/>
    </row>
    <row r="20" spans="2:36" ht="12.6" customHeight="1">
      <c r="B20" s="711" t="s">
        <v>392</v>
      </c>
      <c r="C20" s="696"/>
      <c r="D20" s="696"/>
      <c r="E20" s="696"/>
      <c r="F20" s="696"/>
      <c r="G20" s="696"/>
      <c r="I20" s="697" t="e">
        <f t="shared" si="1"/>
        <v>#DIV/0!</v>
      </c>
      <c r="K20" s="708"/>
      <c r="L20" s="708"/>
    </row>
    <row r="21" spans="2:36">
      <c r="B21" s="711" t="s">
        <v>394</v>
      </c>
      <c r="C21" s="699"/>
      <c r="D21" s="699"/>
      <c r="E21" s="699"/>
      <c r="F21" s="699"/>
      <c r="G21" s="699"/>
      <c r="I21" s="697" t="e">
        <f t="shared" si="1"/>
        <v>#DIV/0!</v>
      </c>
      <c r="K21" s="708"/>
      <c r="L21" s="708"/>
    </row>
    <row r="22" spans="2:36">
      <c r="B22" s="711" t="s">
        <v>396</v>
      </c>
      <c r="C22" s="699"/>
      <c r="D22" s="699"/>
      <c r="E22" s="699"/>
      <c r="F22" s="699"/>
      <c r="G22" s="699"/>
      <c r="I22" s="697" t="e">
        <f t="shared" si="1"/>
        <v>#DIV/0!</v>
      </c>
      <c r="K22" s="708"/>
      <c r="L22" s="708"/>
    </row>
    <row r="23" spans="2:36">
      <c r="B23" s="711" t="s">
        <v>398</v>
      </c>
      <c r="C23" s="699"/>
      <c r="D23" s="699"/>
      <c r="E23" s="699"/>
      <c r="F23" s="699"/>
      <c r="G23" s="699"/>
      <c r="I23" s="697" t="e">
        <f t="shared" si="1"/>
        <v>#DIV/0!</v>
      </c>
      <c r="K23" s="708"/>
      <c r="L23" s="708"/>
    </row>
    <row r="24" spans="2:36">
      <c r="B24" s="711" t="s">
        <v>400</v>
      </c>
      <c r="C24" s="696"/>
      <c r="D24" s="696"/>
      <c r="E24" s="696"/>
      <c r="F24" s="696"/>
      <c r="G24" s="696"/>
      <c r="I24" s="697" t="e">
        <f t="shared" si="1"/>
        <v>#DIV/0!</v>
      </c>
      <c r="K24" s="708"/>
      <c r="L24" s="708"/>
    </row>
    <row r="25" spans="2:36">
      <c r="B25" s="711" t="s">
        <v>402</v>
      </c>
      <c r="C25" s="696"/>
      <c r="D25" s="696"/>
      <c r="E25" s="696"/>
      <c r="F25" s="696"/>
      <c r="G25" s="696"/>
      <c r="I25" s="697" t="e">
        <f t="shared" si="1"/>
        <v>#DIV/0!</v>
      </c>
      <c r="K25" s="708"/>
      <c r="L25" s="708"/>
      <c r="N25" s="688" t="s">
        <v>435</v>
      </c>
    </row>
    <row r="26" spans="2:36" ht="12.6" customHeight="1">
      <c r="B26" s="711" t="s">
        <v>436</v>
      </c>
      <c r="C26" s="696"/>
      <c r="D26" s="696"/>
      <c r="E26" s="696"/>
      <c r="F26" s="696"/>
      <c r="G26" s="696"/>
      <c r="I26" s="697" t="e">
        <f t="shared" si="1"/>
        <v>#DIV/0!</v>
      </c>
      <c r="K26" s="708"/>
      <c r="L26" s="708"/>
    </row>
    <row r="27" spans="2:36">
      <c r="B27" s="711" t="s">
        <v>406</v>
      </c>
      <c r="C27" s="696"/>
      <c r="D27" s="696"/>
      <c r="E27" s="696"/>
      <c r="F27" s="696"/>
      <c r="G27" s="696"/>
      <c r="I27" s="697" t="e">
        <f t="shared" si="1"/>
        <v>#DIV/0!</v>
      </c>
      <c r="K27" s="708"/>
      <c r="L27" s="708"/>
    </row>
    <row r="28" spans="2:36">
      <c r="B28" s="711" t="s">
        <v>407</v>
      </c>
      <c r="C28" s="696"/>
      <c r="D28" s="696"/>
      <c r="E28" s="696"/>
      <c r="F28" s="696"/>
      <c r="G28" s="696"/>
      <c r="I28" s="697" t="e">
        <f t="shared" si="1"/>
        <v>#DIV/0!</v>
      </c>
      <c r="K28" s="708"/>
      <c r="L28" s="708"/>
    </row>
    <row r="29" spans="2:36">
      <c r="B29" s="711" t="s">
        <v>409</v>
      </c>
      <c r="C29" s="696"/>
      <c r="D29" s="696"/>
      <c r="E29" s="696"/>
      <c r="F29" s="696"/>
      <c r="G29" s="696"/>
      <c r="I29" s="697" t="e">
        <f t="shared" si="1"/>
        <v>#DIV/0!</v>
      </c>
      <c r="K29" s="708"/>
      <c r="L29" s="708"/>
    </row>
    <row r="30" spans="2:36">
      <c r="B30" s="711" t="s">
        <v>410</v>
      </c>
      <c r="C30" s="696"/>
      <c r="D30" s="696"/>
      <c r="E30" s="696"/>
      <c r="F30" s="696"/>
      <c r="G30" s="696"/>
      <c r="I30" s="697" t="e">
        <f t="shared" si="1"/>
        <v>#DIV/0!</v>
      </c>
      <c r="K30" s="708"/>
      <c r="L30" s="708"/>
    </row>
    <row r="31" spans="2:36">
      <c r="B31" s="711" t="s">
        <v>411</v>
      </c>
      <c r="I31" s="697" t="e">
        <f t="shared" si="1"/>
        <v>#DIV/0!</v>
      </c>
      <c r="K31" s="718"/>
      <c r="L31" s="718"/>
    </row>
    <row r="32" spans="2:36">
      <c r="B32" s="711" t="s">
        <v>233</v>
      </c>
      <c r="I32" s="697" t="e">
        <f>AVERAGE(C32:G32)</f>
        <v>#DIV/0!</v>
      </c>
      <c r="K32" s="718"/>
      <c r="L32" s="718"/>
    </row>
    <row r="35" spans="2:2" s="687" customFormat="1" ht="13.9">
      <c r="B35" s="700" t="s">
        <v>437</v>
      </c>
    </row>
    <row r="37" spans="2:2" ht="12.6" customHeight="1"/>
    <row r="39" spans="2:2" ht="12.6" customHeight="1"/>
    <row r="44" spans="2:2" ht="12.6" customHeight="1"/>
    <row r="66" spans="1:1">
      <c r="A66" s="701"/>
    </row>
    <row r="67" spans="1:1">
      <c r="A67" s="701"/>
    </row>
    <row r="68" spans="1:1">
      <c r="A68" s="701"/>
    </row>
  </sheetData>
  <mergeCells count="1">
    <mergeCell ref="C15:G15"/>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A3883-DD98-4992-AC33-2C1B89D086E1}">
  <sheetPr>
    <tabColor rgb="FFFFFF00"/>
  </sheetPr>
  <dimension ref="A1:IA99"/>
  <sheetViews>
    <sheetView zoomScale="76" workbookViewId="0">
      <pane xSplit="1" ySplit="4" topLeftCell="B5" activePane="bottomRight" state="frozen"/>
      <selection pane="bottomRight"/>
      <selection pane="bottomLeft"/>
      <selection pane="topRight"/>
    </sheetView>
  </sheetViews>
  <sheetFormatPr defaultColWidth="11.42578125" defaultRowHeight="13.15"/>
  <cols>
    <col min="1" max="1" width="36.140625" style="11" customWidth="1"/>
    <col min="2" max="10" width="12.42578125" style="46" customWidth="1"/>
    <col min="11" max="12" width="12.42578125" style="53" customWidth="1"/>
    <col min="13" max="13" width="12.140625" style="53" bestFit="1" customWidth="1"/>
    <col min="14" max="16384" width="11.42578125" style="45"/>
  </cols>
  <sheetData>
    <row r="1" spans="1:25" ht="15.6">
      <c r="A1" s="1041" t="e" vm="1">
        <f>Inputs!H3</f>
        <v>#VALUE!</v>
      </c>
      <c r="B1" s="1041"/>
      <c r="C1" s="1041"/>
      <c r="D1" s="1041"/>
      <c r="E1" s="1041"/>
      <c r="F1" s="1041"/>
      <c r="G1" s="1041"/>
      <c r="H1" s="1041"/>
      <c r="I1" s="1041"/>
      <c r="J1" s="1041"/>
      <c r="K1" s="1041"/>
      <c r="L1" s="1041"/>
      <c r="M1" s="1041"/>
    </row>
    <row r="2" spans="1:25" ht="11.45">
      <c r="A2" s="1042" t="str">
        <f>Inputs!G2</f>
        <v>Figures in Millions of USD</v>
      </c>
      <c r="B2" s="1042"/>
      <c r="C2" s="1042"/>
      <c r="D2" s="1042"/>
      <c r="E2" s="1042"/>
      <c r="F2" s="1042"/>
      <c r="G2" s="1042"/>
      <c r="H2" s="1042"/>
      <c r="I2" s="1042"/>
      <c r="J2" s="1042"/>
      <c r="K2" s="1042"/>
      <c r="L2" s="1042"/>
      <c r="M2" s="1042"/>
    </row>
    <row r="3" spans="1:25" ht="21">
      <c r="A3" s="1040" t="s">
        <v>438</v>
      </c>
      <c r="B3" s="1040"/>
      <c r="C3" s="1040"/>
      <c r="D3" s="1040"/>
      <c r="E3" s="1040"/>
      <c r="F3" s="1040"/>
      <c r="G3" s="1040"/>
      <c r="H3" s="1040"/>
      <c r="I3" s="1040"/>
      <c r="J3" s="1040"/>
      <c r="K3" s="1040"/>
      <c r="L3" s="1040"/>
      <c r="M3" s="1040"/>
    </row>
    <row r="4" spans="1:25">
      <c r="A4" s="306"/>
      <c r="B4" s="56" t="e">
        <f>OP!#REF!</f>
        <v>#REF!</v>
      </c>
      <c r="C4" s="47" t="e">
        <f t="shared" ref="C4:M4" si="0">B4-1</f>
        <v>#REF!</v>
      </c>
      <c r="D4" s="47" t="e">
        <f t="shared" si="0"/>
        <v>#REF!</v>
      </c>
      <c r="E4" s="47" t="e">
        <f t="shared" si="0"/>
        <v>#REF!</v>
      </c>
      <c r="F4" s="47" t="e">
        <f t="shared" si="0"/>
        <v>#REF!</v>
      </c>
      <c r="G4" s="47" t="e">
        <f t="shared" si="0"/>
        <v>#REF!</v>
      </c>
      <c r="H4" s="47" t="e">
        <f t="shared" si="0"/>
        <v>#REF!</v>
      </c>
      <c r="I4" s="47" t="e">
        <f t="shared" si="0"/>
        <v>#REF!</v>
      </c>
      <c r="J4" s="47" t="e">
        <f t="shared" si="0"/>
        <v>#REF!</v>
      </c>
      <c r="K4" s="47" t="e">
        <f t="shared" si="0"/>
        <v>#REF!</v>
      </c>
      <c r="L4" s="47" t="e">
        <f t="shared" si="0"/>
        <v>#REF!</v>
      </c>
      <c r="M4" s="47" t="e">
        <f t="shared" si="0"/>
        <v>#REF!</v>
      </c>
    </row>
    <row r="5" spans="1:25">
      <c r="A5" s="741" t="s">
        <v>82</v>
      </c>
      <c r="B5" s="57">
        <f>_xlfn.XLOOKUP($A5,Inputs!$A:$A,Inputs!B:B,,0)</f>
        <v>11602</v>
      </c>
      <c r="C5" s="57">
        <f>_xlfn.XLOOKUP($A5,Inputs!$A:$A,Inputs!C:C,,0)</f>
        <v>8982</v>
      </c>
      <c r="D5" s="57">
        <f>_xlfn.XLOOKUP($A5,Inputs!$A:$A,Inputs!D:D,,0)</f>
        <v>6389</v>
      </c>
      <c r="E5" s="57">
        <f>_xlfn.XLOOKUP($A5,Inputs!$A:$A,Inputs!E:E,,0)</f>
        <v>6883</v>
      </c>
      <c r="F5" s="57">
        <f>_xlfn.XLOOKUP($A5,Inputs!$A:$A,Inputs!F:F,,0)</f>
        <v>5966</v>
      </c>
      <c r="G5" s="57">
        <f>_xlfn.XLOOKUP($A5,Inputs!$A:$A,Inputs!G:G,,0)</f>
        <v>5549</v>
      </c>
      <c r="H5" s="57">
        <f>_xlfn.XLOOKUP($A5,Inputs!$A:$A,Inputs!H:H,,0)</f>
        <v>5202</v>
      </c>
      <c r="I5" s="57">
        <f>_xlfn.XLOOKUP($A5,Inputs!$A:$A,Inputs!I:I,,0)</f>
        <v>4841</v>
      </c>
      <c r="J5" s="57">
        <f>_xlfn.XLOOKUP($A5,Inputs!$A:$A,Inputs!J:J,,0)</f>
        <v>4119</v>
      </c>
      <c r="K5" s="57">
        <f>_xlfn.XLOOKUP($A5,Inputs!$A:$A,Inputs!K:K,,0)</f>
        <v>3755</v>
      </c>
      <c r="L5" s="57">
        <f>_xlfn.XLOOKUP($A5,Inputs!$A:$A,Inputs!L:L,,0)</f>
        <v>3484</v>
      </c>
      <c r="M5" s="58">
        <f>_xlfn.XLOOKUP($A5,Inputs!$A:$A,Inputs!M:M,,0)</f>
        <v>2841</v>
      </c>
    </row>
    <row r="6" spans="1:25">
      <c r="A6" s="742" t="s">
        <v>439</v>
      </c>
      <c r="B6" s="59">
        <f t="shared" ref="B6:L6" si="1">IFERROR(B5/C5-1,"-")</f>
        <v>0.2916945001113338</v>
      </c>
      <c r="C6" s="59">
        <f t="shared" si="1"/>
        <v>0.40585381123806541</v>
      </c>
      <c r="D6" s="59">
        <f t="shared" si="1"/>
        <v>-7.1771030074095576E-2</v>
      </c>
      <c r="E6" s="59">
        <f t="shared" si="1"/>
        <v>0.1537043245055314</v>
      </c>
      <c r="F6" s="59">
        <f t="shared" si="1"/>
        <v>7.5148675437015644E-2</v>
      </c>
      <c r="G6" s="59">
        <f t="shared" si="1"/>
        <v>6.6705113417916184E-2</v>
      </c>
      <c r="H6" s="59">
        <f t="shared" si="1"/>
        <v>7.4571369551745592E-2</v>
      </c>
      <c r="I6" s="59">
        <f t="shared" si="1"/>
        <v>0.17528526341344985</v>
      </c>
      <c r="J6" s="59">
        <f t="shared" si="1"/>
        <v>9.6937416777629792E-2</v>
      </c>
      <c r="K6" s="59">
        <f t="shared" si="1"/>
        <v>7.7784156142365113E-2</v>
      </c>
      <c r="L6" s="59">
        <f t="shared" si="1"/>
        <v>0.22632875747976056</v>
      </c>
      <c r="M6" s="60" t="str">
        <f>IFERROR(M5/#REF!-1,"-")</f>
        <v>-</v>
      </c>
      <c r="N6" s="477"/>
    </row>
    <row r="7" spans="1:25">
      <c r="A7" s="741" t="s">
        <v>440</v>
      </c>
      <c r="B7" s="57">
        <f>_xlfn.XLOOKUP($A7,Inputs!$A:$A,Inputs!B:B,,0)</f>
        <v>8213</v>
      </c>
      <c r="C7" s="57">
        <f>_xlfn.XLOOKUP($A7,Inputs!$A:$A,Inputs!C:C,,0)</f>
        <v>6402</v>
      </c>
      <c r="D7" s="57">
        <f>_xlfn.XLOOKUP($A7,Inputs!$A:$A,Inputs!D:D,,0)</f>
        <v>4376</v>
      </c>
      <c r="E7" s="57">
        <f>_xlfn.XLOOKUP($A7,Inputs!$A:$A,Inputs!E:E,,0)</f>
        <v>4759</v>
      </c>
      <c r="F7" s="57">
        <f>_xlfn.XLOOKUP($A7,Inputs!$A:$A,Inputs!F:F,,0)</f>
        <v>4174</v>
      </c>
      <c r="G7" s="57">
        <f>_xlfn.XLOOKUP($A7,Inputs!$A:$A,Inputs!G:G,,0)</f>
        <v>3890</v>
      </c>
      <c r="H7" s="57">
        <f>_xlfn.XLOOKUP($A7,Inputs!$A:$A,Inputs!H:H,,0)</f>
        <v>3520</v>
      </c>
      <c r="I7" s="57">
        <f>_xlfn.XLOOKUP($A7,Inputs!$A:$A,Inputs!I:I,,0)</f>
        <v>3199</v>
      </c>
      <c r="J7" s="57">
        <f>_xlfn.XLOOKUP($A7,Inputs!$A:$A,Inputs!J:J,,0)</f>
        <v>2753</v>
      </c>
      <c r="K7" s="57">
        <f>_xlfn.XLOOKUP($A7,Inputs!$A:$A,Inputs!K:K,,0)</f>
        <v>2585</v>
      </c>
      <c r="L7" s="57">
        <f>_xlfn.XLOOKUP($A7,Inputs!$A:$A,Inputs!L:L,,0)</f>
        <v>2373</v>
      </c>
      <c r="M7" s="58">
        <f>_xlfn.XLOOKUP($A7,Inputs!$A:$A,Inputs!M:M,,0)</f>
        <v>1955</v>
      </c>
    </row>
    <row r="8" spans="1:25">
      <c r="A8" s="742" t="s">
        <v>441</v>
      </c>
      <c r="B8" s="59">
        <f t="shared" ref="B8:M8" si="2">IFERROR(B7/B$5,"-")</f>
        <v>0.70789519048439919</v>
      </c>
      <c r="C8" s="59">
        <f t="shared" si="2"/>
        <v>0.71275885103540415</v>
      </c>
      <c r="D8" s="59">
        <f t="shared" si="2"/>
        <v>0.68492721865706685</v>
      </c>
      <c r="E8" s="59">
        <f t="shared" si="2"/>
        <v>0.69141362777858495</v>
      </c>
      <c r="F8" s="59">
        <f t="shared" si="2"/>
        <v>0.69963124371438146</v>
      </c>
      <c r="G8" s="59">
        <f t="shared" si="2"/>
        <v>0.70102721211029018</v>
      </c>
      <c r="H8" s="59">
        <f t="shared" si="2"/>
        <v>0.67666282199154171</v>
      </c>
      <c r="I8" s="59">
        <f t="shared" si="2"/>
        <v>0.66081388142945674</v>
      </c>
      <c r="J8" s="59">
        <f t="shared" si="2"/>
        <v>0.66836610827870846</v>
      </c>
      <c r="K8" s="59">
        <f t="shared" si="2"/>
        <v>0.68841544607190408</v>
      </c>
      <c r="L8" s="59">
        <f t="shared" si="2"/>
        <v>0.68111366245694605</v>
      </c>
      <c r="M8" s="60">
        <f t="shared" si="2"/>
        <v>0.68813797958465328</v>
      </c>
    </row>
    <row r="9" spans="1:25">
      <c r="A9" s="741" t="s">
        <v>442</v>
      </c>
      <c r="B9" s="57">
        <f t="shared" ref="B9:M9" si="3">B5-B11</f>
        <v>6905</v>
      </c>
      <c r="C9" s="57">
        <f t="shared" si="3"/>
        <v>5452</v>
      </c>
      <c r="D9" s="57">
        <f t="shared" si="3"/>
        <v>4316</v>
      </c>
      <c r="E9" s="57">
        <f t="shared" si="3"/>
        <v>4544</v>
      </c>
      <c r="F9" s="57">
        <f t="shared" si="3"/>
        <v>3838</v>
      </c>
      <c r="G9" s="57">
        <f t="shared" si="3"/>
        <v>3627</v>
      </c>
      <c r="H9" s="57">
        <f t="shared" si="3"/>
        <v>3505</v>
      </c>
      <c r="I9" s="57">
        <f t="shared" si="3"/>
        <v>3300</v>
      </c>
      <c r="J9" s="57">
        <f t="shared" si="3"/>
        <v>2820</v>
      </c>
      <c r="K9" s="57">
        <f t="shared" si="3"/>
        <v>2537</v>
      </c>
      <c r="L9" s="57">
        <f t="shared" si="3"/>
        <v>2365</v>
      </c>
      <c r="M9" s="58">
        <f t="shared" si="3"/>
        <v>1956</v>
      </c>
    </row>
    <row r="10" spans="1:25">
      <c r="A10" s="742" t="s">
        <v>441</v>
      </c>
      <c r="B10" s="59">
        <f t="shared" ref="B10:M10" si="4">IFERROR(B9/B$5,"-")</f>
        <v>0.59515600758489917</v>
      </c>
      <c r="C10" s="59">
        <f t="shared" si="4"/>
        <v>0.60699176130037857</v>
      </c>
      <c r="D10" s="59">
        <f t="shared" si="4"/>
        <v>0.67553607763343249</v>
      </c>
      <c r="E10" s="59">
        <f t="shared" si="4"/>
        <v>0.66017724829289559</v>
      </c>
      <c r="F10" s="59">
        <f t="shared" si="4"/>
        <v>0.64331210191082799</v>
      </c>
      <c r="G10" s="59">
        <f t="shared" si="4"/>
        <v>0.65363128491620115</v>
      </c>
      <c r="H10" s="59">
        <f t="shared" si="4"/>
        <v>0.67377931564782778</v>
      </c>
      <c r="I10" s="59">
        <f t="shared" si="4"/>
        <v>0.68167733939268749</v>
      </c>
      <c r="J10" s="59">
        <f t="shared" si="4"/>
        <v>0.68463219227967953</v>
      </c>
      <c r="K10" s="59">
        <f t="shared" si="4"/>
        <v>0.6756324900133156</v>
      </c>
      <c r="L10" s="59">
        <f t="shared" si="4"/>
        <v>0.67881745120551096</v>
      </c>
      <c r="M10" s="60">
        <f t="shared" si="4"/>
        <v>0.68848996832101372</v>
      </c>
    </row>
    <row r="11" spans="1:25">
      <c r="A11" s="741" t="s">
        <v>220</v>
      </c>
      <c r="B11" s="57">
        <f>_xlfn.XLOOKUP($A11,Inputs!$A:$A,Inputs!B:B,,0)</f>
        <v>4697</v>
      </c>
      <c r="C11" s="57">
        <f>_xlfn.XLOOKUP($A11,Inputs!$A:$A,Inputs!C:C,,0)</f>
        <v>3530</v>
      </c>
      <c r="D11" s="57">
        <f>_xlfn.XLOOKUP($A11,Inputs!$A:$A,Inputs!D:D,,0)</f>
        <v>2073</v>
      </c>
      <c r="E11" s="57">
        <f>_xlfn.XLOOKUP($A11,Inputs!$A:$A,Inputs!E:E,,0)</f>
        <v>2339</v>
      </c>
      <c r="F11" s="57">
        <f>_xlfn.XLOOKUP($A11,Inputs!$A:$A,Inputs!F:F,,0)</f>
        <v>2128</v>
      </c>
      <c r="G11" s="57">
        <f>_xlfn.XLOOKUP($A11,Inputs!$A:$A,Inputs!G:G,,0)</f>
        <v>1922</v>
      </c>
      <c r="H11" s="57">
        <f>_xlfn.XLOOKUP($A11,Inputs!$A:$A,Inputs!H:H,,0)</f>
        <v>1697</v>
      </c>
      <c r="I11" s="57">
        <f>_xlfn.XLOOKUP($A11,Inputs!$A:$A,Inputs!I:I,,0)</f>
        <v>1541</v>
      </c>
      <c r="J11" s="57">
        <f>_xlfn.XLOOKUP($A11,Inputs!$A:$A,Inputs!J:J,,0)</f>
        <v>1299</v>
      </c>
      <c r="K11" s="57">
        <f>_xlfn.XLOOKUP($A11,Inputs!$A:$A,Inputs!K:K,,0)</f>
        <v>1218</v>
      </c>
      <c r="L11" s="57">
        <f>_xlfn.XLOOKUP($A11,Inputs!$A:$A,Inputs!L:L,,0)</f>
        <v>1119</v>
      </c>
      <c r="M11" s="58">
        <f>_xlfn.XLOOKUP($A11,Inputs!$A:$A,Inputs!M:M,,0)</f>
        <v>885</v>
      </c>
    </row>
    <row r="12" spans="1:25">
      <c r="A12" s="742" t="s">
        <v>83</v>
      </c>
      <c r="B12" s="59">
        <f t="shared" ref="B12:M12" si="5">IFERROR(B11/B$5,"-")</f>
        <v>0.40484399241510083</v>
      </c>
      <c r="C12" s="59">
        <f t="shared" si="5"/>
        <v>0.39300823869962148</v>
      </c>
      <c r="D12" s="59">
        <f t="shared" si="5"/>
        <v>0.32446392236656751</v>
      </c>
      <c r="E12" s="59">
        <f t="shared" si="5"/>
        <v>0.33982275170710446</v>
      </c>
      <c r="F12" s="59">
        <f t="shared" si="5"/>
        <v>0.35668789808917195</v>
      </c>
      <c r="G12" s="59">
        <f t="shared" si="5"/>
        <v>0.34636871508379891</v>
      </c>
      <c r="H12" s="59">
        <f t="shared" si="5"/>
        <v>0.32622068435217222</v>
      </c>
      <c r="I12" s="59">
        <f t="shared" si="5"/>
        <v>0.31832266060731251</v>
      </c>
      <c r="J12" s="59">
        <f t="shared" si="5"/>
        <v>0.31536780772032047</v>
      </c>
      <c r="K12" s="59">
        <f t="shared" si="5"/>
        <v>0.3243675099866844</v>
      </c>
      <c r="L12" s="59">
        <f t="shared" si="5"/>
        <v>0.3211825487944891</v>
      </c>
      <c r="M12" s="60">
        <f t="shared" si="5"/>
        <v>0.31151003167898628</v>
      </c>
    </row>
    <row r="13" spans="1:25">
      <c r="A13" s="741" t="s">
        <v>443</v>
      </c>
      <c r="B13" s="59">
        <f t="shared" ref="B13:L13" si="6">IFERROR(B12/C12-1,"-")</f>
        <v>3.011579033213474E-2</v>
      </c>
      <c r="C13" s="59">
        <f t="shared" si="6"/>
        <v>0.21125404585233087</v>
      </c>
      <c r="D13" s="59">
        <f t="shared" si="6"/>
        <v>-4.5196589290686595E-2</v>
      </c>
      <c r="E13" s="59">
        <f t="shared" si="6"/>
        <v>-4.7282642535439234E-2</v>
      </c>
      <c r="F13" s="59">
        <f t="shared" si="6"/>
        <v>2.9792479967125418E-2</v>
      </c>
      <c r="G13" s="59">
        <f t="shared" si="6"/>
        <v>6.1761965743030167E-2</v>
      </c>
      <c r="H13" s="59">
        <f t="shared" si="6"/>
        <v>2.4811377643650712E-2</v>
      </c>
      <c r="I13" s="59">
        <f t="shared" si="6"/>
        <v>9.369545066605145E-3</v>
      </c>
      <c r="J13" s="59">
        <f t="shared" si="6"/>
        <v>-2.7745387528896992E-2</v>
      </c>
      <c r="K13" s="59">
        <f t="shared" si="6"/>
        <v>9.9163581712318205E-3</v>
      </c>
      <c r="L13" s="59">
        <f t="shared" si="6"/>
        <v>3.1050419350444614E-2</v>
      </c>
      <c r="M13" s="60" t="str">
        <f>IFERROR(M12/#REF!-1,"-")</f>
        <v>-</v>
      </c>
    </row>
    <row r="14" spans="1:25">
      <c r="A14" s="743" t="s">
        <v>221</v>
      </c>
      <c r="B14" s="57">
        <f>_xlfn.XLOOKUP($A14,Inputs!$A:$A,Inputs!B:B,,0)</f>
        <v>0</v>
      </c>
      <c r="C14" s="57">
        <f>_xlfn.XLOOKUP($A14,Inputs!$A:$A,Inputs!C:C,,0)</f>
        <v>0</v>
      </c>
      <c r="D14" s="57">
        <f>_xlfn.XLOOKUP($A14,Inputs!$A:$A,Inputs!D:D,,0)</f>
        <v>0</v>
      </c>
      <c r="E14" s="57">
        <f>_xlfn.XLOOKUP($A14,Inputs!$A:$A,Inputs!E:E,,0)</f>
        <v>0</v>
      </c>
      <c r="F14" s="57">
        <f>_xlfn.XLOOKUP($A14,Inputs!$A:$A,Inputs!F:F,,0)</f>
        <v>0</v>
      </c>
      <c r="G14" s="57">
        <f>_xlfn.XLOOKUP($A14,Inputs!$A:$A,Inputs!G:G,,0)</f>
        <v>0</v>
      </c>
      <c r="H14" s="57">
        <f>_xlfn.XLOOKUP($A14,Inputs!$A:$A,Inputs!H:H,,0)</f>
        <v>0</v>
      </c>
      <c r="I14" s="57">
        <f>_xlfn.XLOOKUP($A14,Inputs!$A:$A,Inputs!I:I,,0)</f>
        <v>0</v>
      </c>
      <c r="J14" s="57">
        <f>_xlfn.XLOOKUP($A14,Inputs!$A:$A,Inputs!J:J,,0)</f>
        <v>0</v>
      </c>
      <c r="K14" s="57">
        <f>_xlfn.XLOOKUP($A14,Inputs!$A:$A,Inputs!K:K,,0)</f>
        <v>0</v>
      </c>
      <c r="L14" s="57">
        <f>_xlfn.XLOOKUP($A14,Inputs!$A:$A,Inputs!L:L,,0)</f>
        <v>0</v>
      </c>
      <c r="M14" s="58">
        <f>_xlfn.XLOOKUP($A14,Inputs!$A:$A,Inputs!M:M,,0)</f>
        <v>0</v>
      </c>
    </row>
    <row r="15" spans="1:25">
      <c r="A15" s="741" t="s">
        <v>444</v>
      </c>
      <c r="B15" s="57">
        <f>_xlfn.XLOOKUP($A15,Inputs!$A:$A,Inputs!B:B,,0)</f>
        <v>3389</v>
      </c>
      <c r="C15" s="57">
        <f>_xlfn.XLOOKUP($A15,Inputs!$A:$A,Inputs!C:C,,0)</f>
        <v>2580</v>
      </c>
      <c r="D15" s="57">
        <f>_xlfn.XLOOKUP($A15,Inputs!$A:$A,Inputs!D:D,,0)</f>
        <v>2013</v>
      </c>
      <c r="E15" s="57">
        <f>_xlfn.XLOOKUP($A15,Inputs!$A:$A,Inputs!E:E,,0)</f>
        <v>2125</v>
      </c>
      <c r="F15" s="57">
        <f>_xlfn.XLOOKUP($A15,Inputs!$A:$A,Inputs!F:F,,0)</f>
        <v>1792</v>
      </c>
      <c r="G15" s="57">
        <f>_xlfn.XLOOKUP($A15,Inputs!$A:$A,Inputs!G:G,,0)</f>
        <v>1659</v>
      </c>
      <c r="H15" s="57">
        <f>_xlfn.XLOOKUP($A15,Inputs!$A:$A,Inputs!H:H,,0)</f>
        <v>1682</v>
      </c>
      <c r="I15" s="57">
        <f>_xlfn.XLOOKUP($A15,Inputs!$A:$A,Inputs!I:I,,0)</f>
        <v>1643</v>
      </c>
      <c r="J15" s="57">
        <f>_xlfn.XLOOKUP($A15,Inputs!$A:$A,Inputs!J:J,,0)</f>
        <v>1366</v>
      </c>
      <c r="K15" s="57">
        <f>_xlfn.XLOOKUP($A15,Inputs!$A:$A,Inputs!K:K,,0)</f>
        <v>1170</v>
      </c>
      <c r="L15" s="57">
        <f>_xlfn.XLOOKUP($A15,Inputs!$A:$A,Inputs!L:L,,0)</f>
        <v>1111</v>
      </c>
      <c r="M15" s="58">
        <f>_xlfn.XLOOKUP($A15,Inputs!$A:$A,Inputs!M:M,,0)</f>
        <v>886</v>
      </c>
    </row>
    <row r="16" spans="1:25">
      <c r="A16" s="743" t="s">
        <v>335</v>
      </c>
      <c r="B16" s="57">
        <f t="shared" ref="B16:M16" si="7">B11-B15</f>
        <v>1308</v>
      </c>
      <c r="C16" s="57">
        <f t="shared" si="7"/>
        <v>950</v>
      </c>
      <c r="D16" s="57">
        <f t="shared" si="7"/>
        <v>60</v>
      </c>
      <c r="E16" s="57">
        <f t="shared" si="7"/>
        <v>214</v>
      </c>
      <c r="F16" s="57">
        <f t="shared" si="7"/>
        <v>336</v>
      </c>
      <c r="G16" s="57">
        <f t="shared" si="7"/>
        <v>263</v>
      </c>
      <c r="H16" s="57">
        <f t="shared" si="7"/>
        <v>15</v>
      </c>
      <c r="I16" s="57">
        <f t="shared" si="7"/>
        <v>-102</v>
      </c>
      <c r="J16" s="57">
        <f t="shared" si="7"/>
        <v>-67</v>
      </c>
      <c r="K16" s="57">
        <f t="shared" si="7"/>
        <v>48</v>
      </c>
      <c r="L16" s="57">
        <f t="shared" si="7"/>
        <v>8</v>
      </c>
      <c r="M16" s="58">
        <f t="shared" si="7"/>
        <v>-1</v>
      </c>
      <c r="N16" s="55"/>
      <c r="O16" s="55"/>
      <c r="P16" s="55"/>
      <c r="Q16" s="55"/>
      <c r="R16" s="55"/>
      <c r="S16" s="55"/>
      <c r="T16" s="55"/>
      <c r="U16" s="55"/>
      <c r="V16" s="55"/>
      <c r="W16" s="55"/>
      <c r="X16" s="55"/>
      <c r="Y16" s="55"/>
    </row>
    <row r="17" spans="1:18">
      <c r="A17" s="741" t="s">
        <v>86</v>
      </c>
      <c r="B17" s="57">
        <f>_xlfn.XLOOKUP($A17,Inputs!$A:$A,Inputs!B:B,,0)</f>
        <v>551</v>
      </c>
      <c r="C17" s="57">
        <f>_xlfn.XLOOKUP($A17,Inputs!$A:$A,Inputs!C:C,,0)</f>
        <v>512</v>
      </c>
      <c r="D17" s="57">
        <f>_xlfn.XLOOKUP($A17,Inputs!$A:$A,Inputs!D:D,,0)</f>
        <v>468</v>
      </c>
      <c r="E17" s="57">
        <f>_xlfn.XLOOKUP($A17,Inputs!$A:$A,Inputs!E:E,,0)</f>
        <v>407</v>
      </c>
      <c r="F17" s="57">
        <f>_xlfn.XLOOKUP($A17,Inputs!$A:$A,Inputs!F:F,,0)</f>
        <v>369</v>
      </c>
      <c r="G17" s="57">
        <f>_xlfn.XLOOKUP($A17,Inputs!$A:$A,Inputs!G:G,,0)</f>
        <v>167</v>
      </c>
      <c r="H17" s="57">
        <f>_xlfn.XLOOKUP($A17,Inputs!$A:$A,Inputs!H:H,,0)</f>
        <v>168</v>
      </c>
      <c r="I17" s="57">
        <f>_xlfn.XLOOKUP($A17,Inputs!$A:$A,Inputs!I:I,,0)</f>
        <v>147</v>
      </c>
      <c r="J17" s="57">
        <f>_xlfn.XLOOKUP($A17,Inputs!$A:$A,Inputs!J:J,,0)</f>
        <v>118</v>
      </c>
      <c r="K17" s="57">
        <f>_xlfn.XLOOKUP($A17,Inputs!$A:$A,Inputs!K:K,,0)</f>
        <v>115</v>
      </c>
      <c r="L17" s="57">
        <f>_xlfn.XLOOKUP($A17,Inputs!$A:$A,Inputs!L:L,,0)</f>
        <v>101</v>
      </c>
      <c r="M17" s="58">
        <f>_xlfn.XLOOKUP($A17,Inputs!$A:$A,Inputs!M:M,,0)</f>
        <v>97</v>
      </c>
      <c r="N17" s="300"/>
    </row>
    <row r="18" spans="1:18">
      <c r="A18" s="743" t="s">
        <v>445</v>
      </c>
      <c r="B18" s="57" t="e">
        <f>_xlfn.XLOOKUP($A18,Inputs!$A:$A,Inputs!B:B,,0)</f>
        <v>#VALUE!</v>
      </c>
      <c r="C18" s="57" t="e">
        <f>_xlfn.XLOOKUP($A18,Inputs!$A:$A,Inputs!C:C,,0)</f>
        <v>#VALUE!</v>
      </c>
      <c r="D18" s="57" t="e">
        <f>_xlfn.XLOOKUP($A18,Inputs!$A:$A,Inputs!D:D,,0)</f>
        <v>#VALUE!</v>
      </c>
      <c r="E18" s="57" t="e">
        <f>_xlfn.XLOOKUP($A18,Inputs!$A:$A,Inputs!E:E,,0)</f>
        <v>#VALUE!</v>
      </c>
      <c r="F18" s="57" t="e">
        <f>_xlfn.XLOOKUP($A18,Inputs!$A:$A,Inputs!F:F,,0)</f>
        <v>#VALUE!</v>
      </c>
      <c r="G18" s="57">
        <f>_xlfn.XLOOKUP($A18,Inputs!$A:$A,Inputs!G:G,,0)</f>
        <v>-13</v>
      </c>
      <c r="H18" s="57">
        <f>_xlfn.XLOOKUP($A18,Inputs!$A:$A,Inputs!H:H,,0)</f>
        <v>-155</v>
      </c>
      <c r="I18" s="57">
        <f>_xlfn.XLOOKUP($A18,Inputs!$A:$A,Inputs!I:I,,0)</f>
        <v>43</v>
      </c>
      <c r="J18" s="57">
        <f>_xlfn.XLOOKUP($A18,Inputs!$A:$A,Inputs!J:J,,0)</f>
        <v>-9</v>
      </c>
      <c r="K18" s="57">
        <f>_xlfn.XLOOKUP($A18,Inputs!$A:$A,Inputs!K:K,,0)</f>
        <v>73</v>
      </c>
      <c r="L18" s="57">
        <f>_xlfn.XLOOKUP($A18,Inputs!$A:$A,Inputs!L:L,,0)</f>
        <v>194</v>
      </c>
      <c r="M18" s="58">
        <f>_xlfn.XLOOKUP($A18,Inputs!$A:$A,Inputs!M:M,,0)</f>
        <v>48</v>
      </c>
    </row>
    <row r="19" spans="1:18">
      <c r="A19" s="741" t="s">
        <v>219</v>
      </c>
      <c r="B19" s="57">
        <f t="shared" ref="B19:M19" si="8">B11-B15+B17</f>
        <v>1859</v>
      </c>
      <c r="C19" s="57">
        <f t="shared" si="8"/>
        <v>1462</v>
      </c>
      <c r="D19" s="57">
        <f t="shared" si="8"/>
        <v>528</v>
      </c>
      <c r="E19" s="57">
        <f t="shared" si="8"/>
        <v>621</v>
      </c>
      <c r="F19" s="57">
        <f t="shared" si="8"/>
        <v>705</v>
      </c>
      <c r="G19" s="57">
        <f t="shared" si="8"/>
        <v>430</v>
      </c>
      <c r="H19" s="57">
        <f t="shared" si="8"/>
        <v>183</v>
      </c>
      <c r="I19" s="57">
        <f t="shared" si="8"/>
        <v>45</v>
      </c>
      <c r="J19" s="57">
        <f t="shared" si="8"/>
        <v>51</v>
      </c>
      <c r="K19" s="57">
        <f t="shared" si="8"/>
        <v>163</v>
      </c>
      <c r="L19" s="57">
        <f t="shared" si="8"/>
        <v>109</v>
      </c>
      <c r="M19" s="58">
        <f t="shared" si="8"/>
        <v>96</v>
      </c>
    </row>
    <row r="20" spans="1:18">
      <c r="A20" s="742" t="s">
        <v>446</v>
      </c>
      <c r="B20" s="59">
        <f t="shared" ref="B20:M20" si="9">IFERROR(B19/B$5,"-")</f>
        <v>0.16023099465609378</v>
      </c>
      <c r="C20" s="59">
        <f t="shared" si="9"/>
        <v>0.16276998441327098</v>
      </c>
      <c r="D20" s="59">
        <f t="shared" si="9"/>
        <v>8.2642041007982475E-2</v>
      </c>
      <c r="E20" s="59">
        <f t="shared" si="9"/>
        <v>9.0222286793549322E-2</v>
      </c>
      <c r="F20" s="59">
        <f t="shared" si="9"/>
        <v>0.11816962789138451</v>
      </c>
      <c r="G20" s="59">
        <f t="shared" si="9"/>
        <v>7.7491439899080916E-2</v>
      </c>
      <c r="H20" s="59">
        <f t="shared" si="9"/>
        <v>3.5178777393310268E-2</v>
      </c>
      <c r="I20" s="59">
        <f t="shared" si="9"/>
        <v>9.2956000826275569E-3</v>
      </c>
      <c r="J20" s="59">
        <f t="shared" si="9"/>
        <v>1.2381646030589949E-2</v>
      </c>
      <c r="K20" s="59">
        <f t="shared" si="9"/>
        <v>4.3408788282290278E-2</v>
      </c>
      <c r="L20" s="59">
        <f t="shared" si="9"/>
        <v>3.1285878300803677E-2</v>
      </c>
      <c r="M20" s="60">
        <f t="shared" si="9"/>
        <v>3.3790918690601898E-2</v>
      </c>
      <c r="P20" s="300"/>
      <c r="Q20" s="300"/>
      <c r="R20" s="300"/>
    </row>
    <row r="21" spans="1:18">
      <c r="A21" s="741" t="s">
        <v>222</v>
      </c>
      <c r="B21" s="57">
        <f>_xlfn.XLOOKUP($A21,Inputs!$A:$A,Inputs!B:B,,0)</f>
        <v>0</v>
      </c>
      <c r="C21" s="57">
        <f>_xlfn.XLOOKUP($A21,Inputs!$A:$A,Inputs!C:C,,0)</f>
        <v>0</v>
      </c>
      <c r="D21" s="57">
        <f>_xlfn.XLOOKUP($A21,Inputs!$A:$A,Inputs!D:D,,0)</f>
        <v>0</v>
      </c>
      <c r="E21" s="57">
        <f>_xlfn.XLOOKUP($A21,Inputs!$A:$A,Inputs!E:E,,0)</f>
        <v>0</v>
      </c>
      <c r="F21" s="57">
        <f>_xlfn.XLOOKUP($A21,Inputs!$A:$A,Inputs!F:F,,0)</f>
        <v>0</v>
      </c>
      <c r="G21" s="57">
        <f>_xlfn.XLOOKUP($A21,Inputs!$A:$A,Inputs!G:G,,0)</f>
        <v>0</v>
      </c>
      <c r="H21" s="57">
        <f>_xlfn.XLOOKUP($A21,Inputs!$A:$A,Inputs!H:H,,0)</f>
        <v>0</v>
      </c>
      <c r="I21" s="57">
        <f>_xlfn.XLOOKUP($A21,Inputs!$A:$A,Inputs!I:I,,0)</f>
        <v>0</v>
      </c>
      <c r="J21" s="57">
        <f>_xlfn.XLOOKUP($A21,Inputs!$A:$A,Inputs!J:J,,0)</f>
        <v>0</v>
      </c>
      <c r="K21" s="57">
        <f>_xlfn.XLOOKUP($A21,Inputs!$A:$A,Inputs!K:K,,0)</f>
        <v>0</v>
      </c>
      <c r="L21" s="57">
        <f>_xlfn.XLOOKUP($A21,Inputs!$A:$A,Inputs!L:L,,0)</f>
        <v>0</v>
      </c>
      <c r="M21" s="58">
        <f>_xlfn.XLOOKUP($A21,Inputs!$A:$A,Inputs!M:M,,0)</f>
        <v>0</v>
      </c>
    </row>
    <row r="22" spans="1:18">
      <c r="A22" s="742" t="s">
        <v>447</v>
      </c>
      <c r="B22" s="59">
        <f t="shared" ref="B22:M22" si="10">IFERROR(B21/B$5,"-")</f>
        <v>0</v>
      </c>
      <c r="C22" s="59">
        <f t="shared" si="10"/>
        <v>0</v>
      </c>
      <c r="D22" s="59">
        <f t="shared" si="10"/>
        <v>0</v>
      </c>
      <c r="E22" s="59">
        <f t="shared" si="10"/>
        <v>0</v>
      </c>
      <c r="F22" s="59">
        <f t="shared" si="10"/>
        <v>0</v>
      </c>
      <c r="G22" s="59">
        <f t="shared" si="10"/>
        <v>0</v>
      </c>
      <c r="H22" s="59">
        <f t="shared" si="10"/>
        <v>0</v>
      </c>
      <c r="I22" s="59">
        <f t="shared" si="10"/>
        <v>0</v>
      </c>
      <c r="J22" s="59">
        <f t="shared" si="10"/>
        <v>0</v>
      </c>
      <c r="K22" s="59">
        <f t="shared" si="10"/>
        <v>0</v>
      </c>
      <c r="L22" s="59">
        <f t="shared" si="10"/>
        <v>0</v>
      </c>
      <c r="M22" s="60">
        <f t="shared" si="10"/>
        <v>0</v>
      </c>
    </row>
    <row r="23" spans="1:18">
      <c r="A23" s="741" t="s">
        <v>223</v>
      </c>
      <c r="B23" s="57">
        <f>_xlfn.XLOOKUP($A23,Inputs!$A:$A,Inputs!B:B,,0)</f>
        <v>3367</v>
      </c>
      <c r="C23" s="57">
        <f>_xlfn.XLOOKUP($A23,Inputs!$A:$A,Inputs!C:C,,0)</f>
        <v>2446</v>
      </c>
      <c r="D23" s="57">
        <f>_xlfn.XLOOKUP($A23,Inputs!$A:$A,Inputs!D:D,,0)</f>
        <v>1385</v>
      </c>
      <c r="E23" s="57">
        <f>_xlfn.XLOOKUP($A23,Inputs!$A:$A,Inputs!E:E,,0)</f>
        <v>1528</v>
      </c>
      <c r="F23" s="57">
        <f>_xlfn.XLOOKUP($A23,Inputs!$A:$A,Inputs!F:F,,0)</f>
        <v>1406</v>
      </c>
      <c r="G23" s="57">
        <f>_xlfn.XLOOKUP($A23,Inputs!$A:$A,Inputs!G:G,,0)</f>
        <v>1222</v>
      </c>
      <c r="H23" s="57">
        <f>_xlfn.XLOOKUP($A23,Inputs!$A:$A,Inputs!H:H,,0)</f>
        <v>1100</v>
      </c>
      <c r="I23" s="57">
        <f>_xlfn.XLOOKUP($A23,Inputs!$A:$A,Inputs!I:I,,0)</f>
        <v>973</v>
      </c>
      <c r="J23" s="57">
        <f>_xlfn.XLOOKUP($A23,Inputs!$A:$A,Inputs!J:J,,0)</f>
        <v>859</v>
      </c>
      <c r="K23" s="57">
        <f>_xlfn.XLOOKUP($A23,Inputs!$A:$A,Inputs!K:K,,0)</f>
        <v>790</v>
      </c>
      <c r="L23" s="57">
        <f>_xlfn.XLOOKUP($A23,Inputs!$A:$A,Inputs!L:L,,0)</f>
        <v>740</v>
      </c>
      <c r="M23" s="58">
        <f>_xlfn.XLOOKUP($A23,Inputs!$A:$A,Inputs!M:M,,0)</f>
        <v>594</v>
      </c>
    </row>
    <row r="24" spans="1:18">
      <c r="A24" s="742" t="s">
        <v>181</v>
      </c>
      <c r="B24" s="59">
        <f t="shared" ref="B24:M24" si="11">IFERROR(B23/B$5,"-")</f>
        <v>0.29020858472677125</v>
      </c>
      <c r="C24" s="59">
        <f t="shared" si="11"/>
        <v>0.27232242262302381</v>
      </c>
      <c r="D24" s="59">
        <f t="shared" si="11"/>
        <v>0.21677883862889341</v>
      </c>
      <c r="E24" s="59">
        <f t="shared" si="11"/>
        <v>0.22199622257736451</v>
      </c>
      <c r="F24" s="59">
        <f t="shared" si="11"/>
        <v>0.2356687898089172</v>
      </c>
      <c r="G24" s="59">
        <f t="shared" si="11"/>
        <v>0.22021985943413228</v>
      </c>
      <c r="H24" s="59">
        <f t="shared" si="11"/>
        <v>0.21145713187235679</v>
      </c>
      <c r="I24" s="59">
        <f t="shared" si="11"/>
        <v>0.20099153067548028</v>
      </c>
      <c r="J24" s="59">
        <f t="shared" si="11"/>
        <v>0.20854576353483856</v>
      </c>
      <c r="K24" s="59">
        <f t="shared" si="11"/>
        <v>0.2103861517976032</v>
      </c>
      <c r="L24" s="59">
        <f t="shared" si="11"/>
        <v>0.21239954075774972</v>
      </c>
      <c r="M24" s="60">
        <f t="shared" si="11"/>
        <v>0.20908130939809927</v>
      </c>
    </row>
    <row r="25" spans="1:18">
      <c r="A25" s="741" t="s">
        <v>439</v>
      </c>
      <c r="B25" s="59">
        <f t="shared" ref="B25:L25" si="12">IFERROR(B24/C24-1,"-")</f>
        <v>6.5680093219893543E-2</v>
      </c>
      <c r="C25" s="59">
        <f t="shared" si="12"/>
        <v>0.25622235244656966</v>
      </c>
      <c r="D25" s="59">
        <f t="shared" si="12"/>
        <v>-2.3502129396156146E-2</v>
      </c>
      <c r="E25" s="59">
        <f t="shared" si="12"/>
        <v>-5.8016028523074969E-2</v>
      </c>
      <c r="F25" s="59">
        <f t="shared" si="12"/>
        <v>7.015230331397837E-2</v>
      </c>
      <c r="G25" s="59">
        <f t="shared" si="12"/>
        <v>4.143973525123279E-2</v>
      </c>
      <c r="H25" s="59">
        <f t="shared" si="12"/>
        <v>5.2069861658868621E-2</v>
      </c>
      <c r="I25" s="59">
        <f t="shared" si="12"/>
        <v>-3.6223382011288385E-2</v>
      </c>
      <c r="J25" s="59">
        <f t="shared" si="12"/>
        <v>-8.747668261621766E-3</v>
      </c>
      <c r="K25" s="59">
        <f t="shared" si="12"/>
        <v>-9.4792528880411897E-3</v>
      </c>
      <c r="L25" s="59">
        <f t="shared" si="12"/>
        <v>1.5870530795903948E-2</v>
      </c>
      <c r="M25" s="60" t="str">
        <f>IFERROR(M24/#REF!-1,"-")</f>
        <v>-</v>
      </c>
    </row>
    <row r="26" spans="1:18">
      <c r="A26" s="742" t="s">
        <v>448</v>
      </c>
      <c r="B26" s="61" t="e">
        <f t="shared" ref="B26:M26" si="13">B39-C39</f>
        <v>#VALUE!</v>
      </c>
      <c r="C26" s="61" t="e">
        <f t="shared" si="13"/>
        <v>#VALUE!</v>
      </c>
      <c r="D26" s="61" t="e">
        <f t="shared" si="13"/>
        <v>#VALUE!</v>
      </c>
      <c r="E26" s="61" t="e">
        <f t="shared" si="13"/>
        <v>#VALUE!</v>
      </c>
      <c r="F26" s="61" t="e">
        <f t="shared" si="13"/>
        <v>#VALUE!</v>
      </c>
      <c r="G26" s="61">
        <f t="shared" si="13"/>
        <v>603</v>
      </c>
      <c r="H26" s="61">
        <f t="shared" si="13"/>
        <v>740</v>
      </c>
      <c r="I26" s="61">
        <f t="shared" si="13"/>
        <v>147</v>
      </c>
      <c r="J26" s="61">
        <f t="shared" si="13"/>
        <v>388</v>
      </c>
      <c r="K26" s="61">
        <f t="shared" si="13"/>
        <v>357</v>
      </c>
      <c r="L26" s="61">
        <f t="shared" si="13"/>
        <v>-351</v>
      </c>
      <c r="M26" s="58">
        <f t="shared" si="13"/>
        <v>1048</v>
      </c>
    </row>
    <row r="27" spans="1:18">
      <c r="A27" s="741" t="s">
        <v>407</v>
      </c>
      <c r="B27" s="57">
        <f>_xlfn.XLOOKUP($A27,Inputs!$A:$A,Inputs!B:B,,0)</f>
        <v>-845</v>
      </c>
      <c r="C27" s="57">
        <f>_xlfn.XLOOKUP($A27,Inputs!$A:$A,Inputs!C:C,,0)</f>
        <v>-485</v>
      </c>
      <c r="D27" s="57">
        <f>_xlfn.XLOOKUP($A27,Inputs!$A:$A,Inputs!D:D,,0)</f>
        <v>-485.1</v>
      </c>
      <c r="E27" s="57">
        <f>_xlfn.XLOOKUP($A27,Inputs!$A:$A,Inputs!E:E,,0)</f>
        <v>-486.6</v>
      </c>
      <c r="F27" s="57">
        <f>_xlfn.XLOOKUP($A27,Inputs!$A:$A,Inputs!F:F,,0)</f>
        <v>-958.3</v>
      </c>
      <c r="G27" s="57">
        <f>_xlfn.XLOOKUP($A27,Inputs!$A:$A,Inputs!G:G,,0)</f>
        <v>-401.9</v>
      </c>
      <c r="H27" s="57">
        <f>_xlfn.XLOOKUP($A27,Inputs!$A:$A,Inputs!H:H,,0)</f>
        <v>-360.1</v>
      </c>
      <c r="I27" s="57">
        <f>_xlfn.XLOOKUP($A27,Inputs!$A:$A,Inputs!I:I,,0)</f>
        <v>-840.2</v>
      </c>
      <c r="J27" s="57">
        <f>_xlfn.XLOOKUP($A27,Inputs!$A:$A,Inputs!J:J,,0)</f>
        <v>-294.89999999999998</v>
      </c>
      <c r="K27" s="57">
        <f>_xlfn.XLOOKUP($A27,Inputs!$A:$A,Inputs!K:K,,0)</f>
        <v>-273.3</v>
      </c>
      <c r="L27" s="57">
        <f>_xlfn.XLOOKUP($A27,Inputs!$A:$A,Inputs!L:L,,0)</f>
        <v>-742.3</v>
      </c>
      <c r="M27" s="58">
        <f>_xlfn.XLOOKUP($A27,Inputs!$A:$A,Inputs!M:M,,0)</f>
        <v>-167.3</v>
      </c>
    </row>
    <row r="28" spans="1:18">
      <c r="A28" s="743" t="s">
        <v>449</v>
      </c>
      <c r="B28" s="57">
        <f>_xlfn.XLOOKUP($A28,Inputs!$A:$A,Inputs!B:B,,0)</f>
        <v>0</v>
      </c>
      <c r="C28" s="57">
        <f>_xlfn.XLOOKUP($A28,Inputs!$A:$A,Inputs!C:C,,0)</f>
        <v>0</v>
      </c>
      <c r="D28" s="57">
        <f>_xlfn.XLOOKUP($A28,Inputs!$A:$A,Inputs!D:D,,0)</f>
        <v>0</v>
      </c>
      <c r="E28" s="57">
        <f>_xlfn.XLOOKUP($A28,Inputs!$A:$A,Inputs!E:E,,0)</f>
        <v>0</v>
      </c>
      <c r="F28" s="57">
        <f>_xlfn.XLOOKUP($A28,Inputs!$A:$A,Inputs!F:F,,0)</f>
        <v>0</v>
      </c>
      <c r="G28" s="57">
        <f>_xlfn.XLOOKUP($A28,Inputs!$A:$A,Inputs!G:G,,0)</f>
        <v>0</v>
      </c>
      <c r="H28" s="57">
        <f>_xlfn.XLOOKUP($A28,Inputs!$A:$A,Inputs!H:H,,0)</f>
        <v>0</v>
      </c>
      <c r="I28" s="57">
        <f>_xlfn.XLOOKUP($A28,Inputs!$A:$A,Inputs!I:I,,0)</f>
        <v>0</v>
      </c>
      <c r="J28" s="57">
        <f>_xlfn.XLOOKUP($A28,Inputs!$A:$A,Inputs!J:J,,0)</f>
        <v>0</v>
      </c>
      <c r="K28" s="57">
        <f>_xlfn.XLOOKUP($A28,Inputs!$A:$A,Inputs!K:K,,0)</f>
        <v>0</v>
      </c>
      <c r="L28" s="57">
        <f>_xlfn.XLOOKUP($A28,Inputs!$A:$A,Inputs!L:L,,0)</f>
        <v>0</v>
      </c>
      <c r="M28" s="58">
        <f>_xlfn.XLOOKUP($A28,Inputs!$A:$A,Inputs!M:M,,0)</f>
        <v>0</v>
      </c>
    </row>
    <row r="29" spans="1:18">
      <c r="A29" s="741" t="s">
        <v>85</v>
      </c>
      <c r="B29" s="61" t="e">
        <f t="shared" ref="B29:M29" si="14">SUM(B26:B28)</f>
        <v>#VALUE!</v>
      </c>
      <c r="C29" s="61" t="e">
        <f t="shared" si="14"/>
        <v>#VALUE!</v>
      </c>
      <c r="D29" s="61" t="e">
        <f t="shared" si="14"/>
        <v>#VALUE!</v>
      </c>
      <c r="E29" s="61" t="e">
        <f t="shared" si="14"/>
        <v>#VALUE!</v>
      </c>
      <c r="F29" s="61" t="e">
        <f t="shared" si="14"/>
        <v>#VALUE!</v>
      </c>
      <c r="G29" s="61">
        <f t="shared" si="14"/>
        <v>201.10000000000002</v>
      </c>
      <c r="H29" s="61">
        <f t="shared" si="14"/>
        <v>379.9</v>
      </c>
      <c r="I29" s="61">
        <f t="shared" si="14"/>
        <v>-693.2</v>
      </c>
      <c r="J29" s="61">
        <f t="shared" si="14"/>
        <v>93.100000000000023</v>
      </c>
      <c r="K29" s="61">
        <f t="shared" si="14"/>
        <v>83.699999999999989</v>
      </c>
      <c r="L29" s="61">
        <f t="shared" si="14"/>
        <v>-1093.3</v>
      </c>
      <c r="M29" s="58">
        <f t="shared" si="14"/>
        <v>880.7</v>
      </c>
    </row>
    <row r="30" spans="1:18">
      <c r="A30" s="743" t="s">
        <v>450</v>
      </c>
      <c r="B30" s="61" t="e">
        <f t="shared" ref="B30:M30" si="15">+B29-(B58-C29)</f>
        <v>#VALUE!</v>
      </c>
      <c r="C30" s="61" t="e">
        <f t="shared" si="15"/>
        <v>#VALUE!</v>
      </c>
      <c r="D30" s="61" t="e">
        <f t="shared" si="15"/>
        <v>#VALUE!</v>
      </c>
      <c r="E30" s="61" t="e">
        <f t="shared" si="15"/>
        <v>#VALUE!</v>
      </c>
      <c r="F30" s="61" t="e">
        <f t="shared" si="15"/>
        <v>#VALUE!</v>
      </c>
      <c r="G30" s="61">
        <f t="shared" si="15"/>
        <v>536</v>
      </c>
      <c r="H30" s="61">
        <f t="shared" si="15"/>
        <v>-354.30000000000007</v>
      </c>
      <c r="I30" s="61">
        <f t="shared" si="15"/>
        <v>-641.1</v>
      </c>
      <c r="J30" s="61">
        <f t="shared" si="15"/>
        <v>134.80000000000001</v>
      </c>
      <c r="K30" s="61">
        <f t="shared" si="15"/>
        <v>-1066.5999999999999</v>
      </c>
      <c r="L30" s="61">
        <f t="shared" si="15"/>
        <v>-236.59999999999991</v>
      </c>
      <c r="M30" s="58">
        <f t="shared" si="15"/>
        <v>848.7</v>
      </c>
    </row>
    <row r="31" spans="1:18">
      <c r="A31" s="741" t="s">
        <v>451</v>
      </c>
      <c r="B31" s="61" t="e">
        <f t="shared" ref="B31:M31" si="16">+B30+B33</f>
        <v>#VALUE!</v>
      </c>
      <c r="C31" s="61" t="e">
        <f t="shared" si="16"/>
        <v>#VALUE!</v>
      </c>
      <c r="D31" s="61" t="e">
        <f t="shared" si="16"/>
        <v>#VALUE!</v>
      </c>
      <c r="E31" s="61" t="e">
        <f t="shared" si="16"/>
        <v>#VALUE!</v>
      </c>
      <c r="F31" s="61" t="e">
        <f t="shared" si="16"/>
        <v>#VALUE!</v>
      </c>
      <c r="G31" s="61">
        <f t="shared" si="16"/>
        <v>388</v>
      </c>
      <c r="H31" s="61">
        <f t="shared" si="16"/>
        <v>-390.30000000000007</v>
      </c>
      <c r="I31" s="61">
        <f t="shared" si="16"/>
        <v>-655.1</v>
      </c>
      <c r="J31" s="61">
        <f t="shared" si="16"/>
        <v>88.800000000000011</v>
      </c>
      <c r="K31" s="61">
        <f t="shared" si="16"/>
        <v>-1138.5999999999999</v>
      </c>
      <c r="L31" s="61">
        <f t="shared" si="16"/>
        <v>-371.59999999999991</v>
      </c>
      <c r="M31" s="58">
        <f t="shared" si="16"/>
        <v>799.7</v>
      </c>
    </row>
    <row r="32" spans="1:18">
      <c r="A32" s="743" t="s">
        <v>452</v>
      </c>
      <c r="B32" s="57">
        <f>_xlfn.XLOOKUP($A32,Inputs!$A:$A,Inputs!B:B,,0)</f>
        <v>-518</v>
      </c>
      <c r="C32" s="57">
        <f>_xlfn.XLOOKUP($A32,Inputs!$A:$A,Inputs!C:C,,0)</f>
        <v>-532</v>
      </c>
      <c r="D32" s="57">
        <f>_xlfn.XLOOKUP($A32,Inputs!$A:$A,Inputs!D:D,,0)</f>
        <v>-448</v>
      </c>
      <c r="E32" s="57">
        <f>_xlfn.XLOOKUP($A32,Inputs!$A:$A,Inputs!E:E,,0)</f>
        <v>-478</v>
      </c>
      <c r="F32" s="57">
        <f>_xlfn.XLOOKUP($A32,Inputs!$A:$A,Inputs!F:F,,0)</f>
        <v>-317</v>
      </c>
      <c r="G32" s="57">
        <f>_xlfn.XLOOKUP($A32,Inputs!$A:$A,Inputs!G:G,,0)</f>
        <v>-265</v>
      </c>
      <c r="H32" s="57">
        <f>_xlfn.XLOOKUP($A32,Inputs!$A:$A,Inputs!H:H,,0)</f>
        <v>-262</v>
      </c>
      <c r="I32" s="57">
        <f>_xlfn.XLOOKUP($A32,Inputs!$A:$A,Inputs!I:I,,0)</f>
        <v>-274</v>
      </c>
      <c r="J32" s="57">
        <f>_xlfn.XLOOKUP($A32,Inputs!$A:$A,Inputs!J:J,,0)</f>
        <v>-279</v>
      </c>
      <c r="K32" s="57">
        <f>_xlfn.XLOOKUP($A32,Inputs!$A:$A,Inputs!K:K,,0)</f>
        <v>-211</v>
      </c>
      <c r="L32" s="57">
        <f>_xlfn.XLOOKUP($A32,Inputs!$A:$A,Inputs!L:L,,0)</f>
        <v>-263</v>
      </c>
      <c r="M32" s="58">
        <f>_xlfn.XLOOKUP($A32,Inputs!$A:$A,Inputs!M:M,,0)</f>
        <v>-185</v>
      </c>
    </row>
    <row r="33" spans="1:13">
      <c r="A33" s="741" t="s">
        <v>453</v>
      </c>
      <c r="B33" s="57">
        <f>_xlfn.XLOOKUP($A33,Inputs!$A:$A,Inputs!B:B,,0)</f>
        <v>-166</v>
      </c>
      <c r="C33" s="57">
        <f>_xlfn.XLOOKUP($A33,Inputs!$A:$A,Inputs!C:C,,0)</f>
        <v>-198</v>
      </c>
      <c r="D33" s="57">
        <f>_xlfn.XLOOKUP($A33,Inputs!$A:$A,Inputs!D:D,,0)</f>
        <v>-108</v>
      </c>
      <c r="E33" s="57">
        <f>_xlfn.XLOOKUP($A33,Inputs!$A:$A,Inputs!E:E,,0)</f>
        <v>-89</v>
      </c>
      <c r="F33" s="57">
        <f>_xlfn.XLOOKUP($A33,Inputs!$A:$A,Inputs!F:F,,0)</f>
        <v>-88</v>
      </c>
      <c r="G33" s="57">
        <f>_xlfn.XLOOKUP($A33,Inputs!$A:$A,Inputs!G:G,,0)</f>
        <v>-148</v>
      </c>
      <c r="H33" s="57">
        <f>_xlfn.XLOOKUP($A33,Inputs!$A:$A,Inputs!H:H,,0)</f>
        <v>-36</v>
      </c>
      <c r="I33" s="57">
        <f>_xlfn.XLOOKUP($A33,Inputs!$A:$A,Inputs!I:I,,0)</f>
        <v>-14</v>
      </c>
      <c r="J33" s="57">
        <f>_xlfn.XLOOKUP($A33,Inputs!$A:$A,Inputs!J:J,,0)</f>
        <v>-46</v>
      </c>
      <c r="K33" s="57">
        <f>_xlfn.XLOOKUP($A33,Inputs!$A:$A,Inputs!K:K,,0)</f>
        <v>-72</v>
      </c>
      <c r="L33" s="57">
        <f>_xlfn.XLOOKUP($A33,Inputs!$A:$A,Inputs!L:L,,0)</f>
        <v>-135</v>
      </c>
      <c r="M33" s="58">
        <f>_xlfn.XLOOKUP($A33,Inputs!$A:$A,Inputs!M:M,,0)</f>
        <v>-49</v>
      </c>
    </row>
    <row r="34" spans="1:13">
      <c r="A34" s="742" t="s">
        <v>454</v>
      </c>
      <c r="B34" s="61">
        <f t="shared" ref="B34:M34" si="17">+B32+B33</f>
        <v>-684</v>
      </c>
      <c r="C34" s="61">
        <f t="shared" si="17"/>
        <v>-730</v>
      </c>
      <c r="D34" s="61">
        <f t="shared" si="17"/>
        <v>-556</v>
      </c>
      <c r="E34" s="61">
        <f t="shared" si="17"/>
        <v>-567</v>
      </c>
      <c r="F34" s="61">
        <f t="shared" si="17"/>
        <v>-405</v>
      </c>
      <c r="G34" s="61">
        <f t="shared" si="17"/>
        <v>-413</v>
      </c>
      <c r="H34" s="61">
        <f t="shared" si="17"/>
        <v>-298</v>
      </c>
      <c r="I34" s="61">
        <f t="shared" si="17"/>
        <v>-288</v>
      </c>
      <c r="J34" s="61">
        <f t="shared" si="17"/>
        <v>-325</v>
      </c>
      <c r="K34" s="61">
        <f t="shared" si="17"/>
        <v>-283</v>
      </c>
      <c r="L34" s="61">
        <f t="shared" si="17"/>
        <v>-398</v>
      </c>
      <c r="M34" s="62">
        <f t="shared" si="17"/>
        <v>-234</v>
      </c>
    </row>
    <row r="35" spans="1:13">
      <c r="A35" s="741" t="s">
        <v>84</v>
      </c>
      <c r="B35" s="61">
        <f t="shared" ref="B35:M35" si="18">+B27+B28</f>
        <v>-845</v>
      </c>
      <c r="C35" s="61">
        <f t="shared" si="18"/>
        <v>-485</v>
      </c>
      <c r="D35" s="61">
        <f t="shared" si="18"/>
        <v>-485.1</v>
      </c>
      <c r="E35" s="61">
        <f t="shared" si="18"/>
        <v>-486.6</v>
      </c>
      <c r="F35" s="61">
        <f t="shared" si="18"/>
        <v>-958.3</v>
      </c>
      <c r="G35" s="61">
        <f t="shared" si="18"/>
        <v>-401.9</v>
      </c>
      <c r="H35" s="61">
        <f t="shared" si="18"/>
        <v>-360.1</v>
      </c>
      <c r="I35" s="61">
        <f t="shared" si="18"/>
        <v>-840.2</v>
      </c>
      <c r="J35" s="61">
        <f t="shared" si="18"/>
        <v>-294.89999999999998</v>
      </c>
      <c r="K35" s="61">
        <f t="shared" si="18"/>
        <v>-273.3</v>
      </c>
      <c r="L35" s="61">
        <f t="shared" si="18"/>
        <v>-742.3</v>
      </c>
      <c r="M35" s="62">
        <f t="shared" si="18"/>
        <v>-167.3</v>
      </c>
    </row>
    <row r="36" spans="1:13">
      <c r="A36" s="743" t="s">
        <v>455</v>
      </c>
      <c r="B36" s="59">
        <f t="shared" ref="B36:M36" si="19">IFERROR(B35/B23,"-")</f>
        <v>-0.25096525096525096</v>
      </c>
      <c r="C36" s="59">
        <f t="shared" si="19"/>
        <v>-0.1982829108748978</v>
      </c>
      <c r="D36" s="59">
        <f t="shared" si="19"/>
        <v>-0.35025270758122745</v>
      </c>
      <c r="E36" s="59">
        <f t="shared" si="19"/>
        <v>-0.31845549738219897</v>
      </c>
      <c r="F36" s="59">
        <f t="shared" si="19"/>
        <v>-0.68157894736842106</v>
      </c>
      <c r="G36" s="59">
        <f t="shared" si="19"/>
        <v>-0.32888707037643206</v>
      </c>
      <c r="H36" s="59">
        <f t="shared" si="19"/>
        <v>-0.32736363636363636</v>
      </c>
      <c r="I36" s="59">
        <f t="shared" si="19"/>
        <v>-0.86351490236382322</v>
      </c>
      <c r="J36" s="59">
        <f t="shared" si="19"/>
        <v>-0.34330616996507562</v>
      </c>
      <c r="K36" s="59">
        <f t="shared" si="19"/>
        <v>-0.34594936708860763</v>
      </c>
      <c r="L36" s="59">
        <f t="shared" si="19"/>
        <v>-1.0031081081081081</v>
      </c>
      <c r="M36" s="60">
        <f t="shared" si="19"/>
        <v>-0.28164983164983165</v>
      </c>
    </row>
    <row r="37" spans="1:13">
      <c r="A37" s="7"/>
      <c r="B37" s="49"/>
      <c r="C37" s="49"/>
      <c r="D37" s="49"/>
      <c r="E37" s="49"/>
      <c r="F37" s="49"/>
      <c r="G37" s="49"/>
      <c r="H37" s="49"/>
      <c r="I37" s="49"/>
      <c r="J37" s="49"/>
      <c r="K37" s="49"/>
      <c r="L37" s="49"/>
      <c r="M37" s="49"/>
    </row>
    <row r="38" spans="1:13" ht="21">
      <c r="A38" s="1040" t="s">
        <v>456</v>
      </c>
      <c r="B38" s="1040"/>
      <c r="C38" s="1040"/>
      <c r="D38" s="1040"/>
      <c r="E38" s="1040"/>
      <c r="F38" s="1040"/>
      <c r="G38" s="1040"/>
      <c r="H38" s="1040"/>
      <c r="I38" s="1040"/>
      <c r="J38" s="1040"/>
      <c r="K38" s="1040"/>
      <c r="L38" s="1040"/>
      <c r="M38" s="1040"/>
    </row>
    <row r="39" spans="1:13">
      <c r="A39" s="744" t="s">
        <v>226</v>
      </c>
      <c r="B39" s="57" t="str">
        <f>_xlfn.XLOOKUP($A39,Inputs!$A:$A,Inputs!B:B,,0)</f>
        <v>--</v>
      </c>
      <c r="C39" s="57" t="str">
        <f>_xlfn.XLOOKUP($A39,Inputs!$A:$A,Inputs!C:C,,0)</f>
        <v>--</v>
      </c>
      <c r="D39" s="57">
        <f>_xlfn.XLOOKUP($A39,Inputs!$A:$A,Inputs!D:D,,0)</f>
        <v>0</v>
      </c>
      <c r="E39" s="57" t="str">
        <f>_xlfn.XLOOKUP($A39,Inputs!$A:$A,Inputs!E:E,,0)</f>
        <v>--</v>
      </c>
      <c r="F39" s="57" t="str">
        <f>_xlfn.XLOOKUP($A39,Inputs!$A:$A,Inputs!F:F,,0)</f>
        <v>--</v>
      </c>
      <c r="G39" s="57">
        <f>_xlfn.XLOOKUP($A39,Inputs!$A:$A,Inputs!G:G,,0)</f>
        <v>2932</v>
      </c>
      <c r="H39" s="57">
        <f>_xlfn.XLOOKUP($A39,Inputs!$A:$A,Inputs!H:H,,0)</f>
        <v>2329</v>
      </c>
      <c r="I39" s="57">
        <f>_xlfn.XLOOKUP($A39,Inputs!$A:$A,Inputs!I:I,,0)</f>
        <v>1589</v>
      </c>
      <c r="J39" s="57">
        <f>_xlfn.XLOOKUP($A39,Inputs!$A:$A,Inputs!J:J,,0)</f>
        <v>1442</v>
      </c>
      <c r="K39" s="57">
        <f>_xlfn.XLOOKUP($A39,Inputs!$A:$A,Inputs!K:K,,0)</f>
        <v>1054</v>
      </c>
      <c r="L39" s="57">
        <f>_xlfn.XLOOKUP($A39,Inputs!$A:$A,Inputs!L:L,,0)</f>
        <v>697</v>
      </c>
      <c r="M39" s="58">
        <f>_xlfn.XLOOKUP($A39,Inputs!$A:$A,Inputs!M:M,,0)</f>
        <v>1048</v>
      </c>
    </row>
    <row r="40" spans="1:13">
      <c r="A40" s="742" t="s">
        <v>457</v>
      </c>
      <c r="B40" s="57">
        <f>_xlfn.XLOOKUP($A40,Inputs!$A:$A,Inputs!B:B,,0)</f>
        <v>383</v>
      </c>
      <c r="C40" s="57">
        <f>_xlfn.XLOOKUP($A40,Inputs!$A:$A,Inputs!C:C,,0)</f>
        <v>333</v>
      </c>
      <c r="D40" s="57">
        <f>_xlfn.XLOOKUP($A40,Inputs!$A:$A,Inputs!D:D,,0)</f>
        <v>250</v>
      </c>
      <c r="E40" s="57">
        <f>_xlfn.XLOOKUP($A40,Inputs!$A:$A,Inputs!E:E,,0)</f>
        <v>318</v>
      </c>
      <c r="F40" s="57">
        <f>_xlfn.XLOOKUP($A40,Inputs!$A:$A,Inputs!F:F,,0)</f>
        <v>281</v>
      </c>
      <c r="G40" s="57">
        <f>_xlfn.XLOOKUP($A40,Inputs!$A:$A,Inputs!G:G,,0)</f>
        <v>256</v>
      </c>
      <c r="H40" s="57">
        <f>_xlfn.XLOOKUP($A40,Inputs!$A:$A,Inputs!H:H,,0)</f>
        <v>307</v>
      </c>
      <c r="I40" s="57">
        <f>_xlfn.XLOOKUP($A40,Inputs!$A:$A,Inputs!I:I,,0)</f>
        <v>303</v>
      </c>
      <c r="J40" s="57">
        <f>_xlfn.XLOOKUP($A40,Inputs!$A:$A,Inputs!J:J,,0)</f>
        <v>249</v>
      </c>
      <c r="K40" s="57">
        <f>_xlfn.XLOOKUP($A40,Inputs!$A:$A,Inputs!K:K,,0)</f>
        <v>194</v>
      </c>
      <c r="L40" s="57">
        <f>_xlfn.XLOOKUP($A40,Inputs!$A:$A,Inputs!L:L,,0)</f>
        <v>207</v>
      </c>
      <c r="M40" s="58">
        <f>_xlfn.XLOOKUP($A40,Inputs!$A:$A,Inputs!M:M,,0)</f>
        <v>176</v>
      </c>
    </row>
    <row r="41" spans="1:13">
      <c r="A41" s="744" t="s">
        <v>228</v>
      </c>
      <c r="B41" s="57">
        <f>_xlfn.XLOOKUP($A41,Inputs!$A:$A,Inputs!B:B,,0)</f>
        <v>1779</v>
      </c>
      <c r="C41" s="57">
        <f>_xlfn.XLOOKUP($A41,Inputs!$A:$A,Inputs!C:C,,0)</f>
        <v>1449</v>
      </c>
      <c r="D41" s="57">
        <f>_xlfn.XLOOKUP($A41,Inputs!$A:$A,Inputs!D:D,,0)</f>
        <v>1289</v>
      </c>
      <c r="E41" s="57">
        <f>_xlfn.XLOOKUP($A41,Inputs!$A:$A,Inputs!E:E,,0)</f>
        <v>1133</v>
      </c>
      <c r="F41" s="57">
        <f>_xlfn.XLOOKUP($A41,Inputs!$A:$A,Inputs!F:F,,0)</f>
        <v>964</v>
      </c>
      <c r="G41" s="57">
        <f>_xlfn.XLOOKUP($A41,Inputs!$A:$A,Inputs!G:G,,0)</f>
        <v>896</v>
      </c>
      <c r="H41" s="57">
        <f>_xlfn.XLOOKUP($A41,Inputs!$A:$A,Inputs!H:H,,0)</f>
        <v>915</v>
      </c>
      <c r="I41" s="57">
        <f>_xlfn.XLOOKUP($A41,Inputs!$A:$A,Inputs!I:I,,0)</f>
        <v>949</v>
      </c>
      <c r="J41" s="57">
        <f>_xlfn.XLOOKUP($A41,Inputs!$A:$A,Inputs!J:J,,0)</f>
        <v>912</v>
      </c>
      <c r="K41" s="57">
        <f>_xlfn.XLOOKUP($A41,Inputs!$A:$A,Inputs!K:K,,0)</f>
        <v>813</v>
      </c>
      <c r="L41" s="57">
        <f>_xlfn.XLOOKUP($A41,Inputs!$A:$A,Inputs!L:L,,0)</f>
        <v>727</v>
      </c>
      <c r="M41" s="58">
        <f>_xlfn.XLOOKUP($A41,Inputs!$A:$A,Inputs!M:M,,0)</f>
        <v>535</v>
      </c>
    </row>
    <row r="42" spans="1:13">
      <c r="A42" s="742" t="s">
        <v>458</v>
      </c>
      <c r="B42" s="57">
        <f>_xlfn.XLOOKUP($A42,Inputs!$A:$A,Inputs!B:B,,0)</f>
        <v>6883</v>
      </c>
      <c r="C42" s="57">
        <f>_xlfn.XLOOKUP($A42,Inputs!$A:$A,Inputs!C:C,,0)</f>
        <v>6264</v>
      </c>
      <c r="D42" s="57">
        <f>_xlfn.XLOOKUP($A42,Inputs!$A:$A,Inputs!D:D,,0)</f>
        <v>5546</v>
      </c>
      <c r="E42" s="57">
        <f>_xlfn.XLOOKUP($A42,Inputs!$A:$A,Inputs!E:E,,0)</f>
        <v>4772</v>
      </c>
      <c r="F42" s="57">
        <f>_xlfn.XLOOKUP($A42,Inputs!$A:$A,Inputs!F:F,,0)</f>
        <v>4327</v>
      </c>
      <c r="G42" s="57">
        <f>_xlfn.XLOOKUP($A42,Inputs!$A:$A,Inputs!G:G,,0)</f>
        <v>2483</v>
      </c>
      <c r="H42" s="57">
        <f>_xlfn.XLOOKUP($A42,Inputs!$A:$A,Inputs!H:H,,0)</f>
        <v>2454</v>
      </c>
      <c r="I42" s="57">
        <f>_xlfn.XLOOKUP($A42,Inputs!$A:$A,Inputs!I:I,,0)</f>
        <v>2331</v>
      </c>
      <c r="J42" s="57">
        <f>_xlfn.XLOOKUP($A42,Inputs!$A:$A,Inputs!J:J,,0)</f>
        <v>2088</v>
      </c>
      <c r="K42" s="57">
        <f>_xlfn.XLOOKUP($A42,Inputs!$A:$A,Inputs!K:K,,0)</f>
        <v>1840</v>
      </c>
      <c r="L42" s="57">
        <f>_xlfn.XLOOKUP($A42,Inputs!$A:$A,Inputs!L:L,,0)</f>
        <v>1751</v>
      </c>
      <c r="M42" s="58">
        <f>_xlfn.XLOOKUP($A42,Inputs!$A:$A,Inputs!M:M,,0)</f>
        <v>1562</v>
      </c>
    </row>
    <row r="43" spans="1:13">
      <c r="A43" s="744" t="s">
        <v>459</v>
      </c>
      <c r="B43" s="57">
        <f>_xlfn.XLOOKUP($A43,Inputs!$A:$A,Inputs!B:B,,0)</f>
        <v>8414</v>
      </c>
      <c r="C43" s="57">
        <f>_xlfn.XLOOKUP($A43,Inputs!$A:$A,Inputs!C:C,,0)</f>
        <v>5801</v>
      </c>
      <c r="D43" s="57">
        <f>_xlfn.XLOOKUP($A43,Inputs!$A:$A,Inputs!D:D,,0)</f>
        <v>3966</v>
      </c>
      <c r="E43" s="57">
        <f>_xlfn.XLOOKUP($A43,Inputs!$A:$A,Inputs!E:E,,0)</f>
        <v>3658</v>
      </c>
      <c r="F43" s="57">
        <f>_xlfn.XLOOKUP($A43,Inputs!$A:$A,Inputs!F:F,,0)</f>
        <v>2880</v>
      </c>
      <c r="G43" s="57">
        <f>_xlfn.XLOOKUP($A43,Inputs!$A:$A,Inputs!G:G,,0)</f>
        <v>201</v>
      </c>
      <c r="H43" s="57">
        <f>_xlfn.XLOOKUP($A43,Inputs!$A:$A,Inputs!H:H,,0)</f>
        <v>-6</v>
      </c>
      <c r="I43" s="57">
        <f>_xlfn.XLOOKUP($A43,Inputs!$A:$A,Inputs!I:I,,0)</f>
        <v>16</v>
      </c>
      <c r="J43" s="57">
        <f>_xlfn.XLOOKUP($A43,Inputs!$A:$A,Inputs!J:J,,0)</f>
        <v>77</v>
      </c>
      <c r="K43" s="57">
        <f>_xlfn.XLOOKUP($A43,Inputs!$A:$A,Inputs!K:K,,0)</f>
        <v>37</v>
      </c>
      <c r="L43" s="57">
        <f>_xlfn.XLOOKUP($A43,Inputs!$A:$A,Inputs!L:L,,0)</f>
        <v>24</v>
      </c>
      <c r="M43" s="58">
        <f>_xlfn.XLOOKUP($A43,Inputs!$A:$A,Inputs!M:M,,0)</f>
        <v>-73</v>
      </c>
    </row>
    <row r="44" spans="1:13">
      <c r="A44" s="119" t="s">
        <v>26</v>
      </c>
      <c r="B44" s="63">
        <f>_xlfn.XLOOKUP($A44,Inputs!$A:$A,Inputs!B:B,,0)</f>
        <v>17459</v>
      </c>
      <c r="C44" s="63">
        <f>_xlfn.XLOOKUP($A44,Inputs!$A:$A,Inputs!C:C,,0)</f>
        <v>13847</v>
      </c>
      <c r="D44" s="63">
        <f>_xlfn.XLOOKUP($A44,Inputs!$A:$A,Inputs!D:D,,0)</f>
        <v>11051</v>
      </c>
      <c r="E44" s="63">
        <f>_xlfn.XLOOKUP($A44,Inputs!$A:$A,Inputs!E:E,,0)</f>
        <v>9881</v>
      </c>
      <c r="F44" s="63">
        <f>_xlfn.XLOOKUP($A44,Inputs!$A:$A,Inputs!F:F,,0)</f>
        <v>8452</v>
      </c>
      <c r="G44" s="63">
        <f>_xlfn.XLOOKUP($A44,Inputs!$A:$A,Inputs!G:G,,0)</f>
        <v>6768</v>
      </c>
      <c r="H44" s="63">
        <f>_xlfn.XLOOKUP($A44,Inputs!$A:$A,Inputs!H:H,,0)</f>
        <v>5999</v>
      </c>
      <c r="I44" s="63">
        <f>_xlfn.XLOOKUP($A44,Inputs!$A:$A,Inputs!I:I,,0)</f>
        <v>5188</v>
      </c>
      <c r="J44" s="63">
        <f>_xlfn.XLOOKUP($A44,Inputs!$A:$A,Inputs!J:J,,0)</f>
        <v>4768</v>
      </c>
      <c r="K44" s="63">
        <f>_xlfn.XLOOKUP($A44,Inputs!$A:$A,Inputs!K:K,,0)</f>
        <v>3938</v>
      </c>
      <c r="L44" s="63">
        <f>_xlfn.XLOOKUP($A44,Inputs!$A:$A,Inputs!L:L,,0)</f>
        <v>3406</v>
      </c>
      <c r="M44" s="63">
        <f>_xlfn.XLOOKUP($A44,Inputs!$A:$A,Inputs!M:M,,0)</f>
        <v>3248</v>
      </c>
    </row>
    <row r="45" spans="1:13">
      <c r="A45"/>
      <c r="B45"/>
      <c r="C45"/>
      <c r="D45"/>
      <c r="E45"/>
      <c r="F45"/>
      <c r="G45"/>
      <c r="H45"/>
      <c r="I45"/>
      <c r="J45"/>
      <c r="K45"/>
      <c r="L45"/>
      <c r="M45"/>
    </row>
    <row r="46" spans="1:13">
      <c r="A46"/>
      <c r="B46"/>
      <c r="C46"/>
      <c r="D46"/>
      <c r="E46"/>
      <c r="F46"/>
      <c r="G46"/>
      <c r="H46"/>
      <c r="I46"/>
      <c r="J46"/>
      <c r="K46"/>
      <c r="L46"/>
      <c r="M46"/>
    </row>
    <row r="47" spans="1:13" ht="21">
      <c r="A47" s="1040" t="s">
        <v>460</v>
      </c>
      <c r="B47" s="1040"/>
      <c r="C47" s="1040"/>
      <c r="D47" s="1040"/>
      <c r="E47" s="1040"/>
      <c r="F47" s="1040"/>
      <c r="G47" s="1040"/>
      <c r="H47" s="1040"/>
      <c r="I47" s="1040"/>
      <c r="J47" s="1040"/>
      <c r="K47" s="1040"/>
      <c r="L47" s="1040"/>
      <c r="M47" s="1040"/>
    </row>
    <row r="48" spans="1:13">
      <c r="A48" s="120" t="s">
        <v>232</v>
      </c>
      <c r="B48" s="63">
        <f>_xlfn.XLOOKUP($A48,Inputs!$A:$A,Inputs!B:B,,0)</f>
        <v>3004</v>
      </c>
      <c r="C48" s="63">
        <f>_xlfn.XLOOKUP($A48,Inputs!$A:$A,Inputs!C:C,,0)</f>
        <v>2575</v>
      </c>
      <c r="D48" s="63">
        <f>_xlfn.XLOOKUP($A48,Inputs!$A:$A,Inputs!D:D,,0)</f>
        <v>1839</v>
      </c>
      <c r="E48" s="63">
        <f>_xlfn.XLOOKUP($A48,Inputs!$A:$A,Inputs!E:E,,0)</f>
        <v>2024</v>
      </c>
      <c r="F48" s="63">
        <f>_xlfn.XLOOKUP($A48,Inputs!$A:$A,Inputs!F:F,,0)</f>
        <v>1717</v>
      </c>
      <c r="G48" s="63">
        <f>_xlfn.XLOOKUP($A48,Inputs!$A:$A,Inputs!G:G,,0)</f>
        <v>1358</v>
      </c>
      <c r="H48" s="63">
        <f>_xlfn.XLOOKUP($A48,Inputs!$A:$A,Inputs!H:H,,0)</f>
        <v>1290</v>
      </c>
      <c r="I48" s="63">
        <f>_xlfn.XLOOKUP($A48,Inputs!$A:$A,Inputs!I:I,,0)</f>
        <v>1157</v>
      </c>
      <c r="J48" s="63">
        <f>_xlfn.XLOOKUP($A48,Inputs!$A:$A,Inputs!J:J,,0)</f>
        <v>1044</v>
      </c>
      <c r="K48" s="63">
        <f>_xlfn.XLOOKUP($A48,Inputs!$A:$A,Inputs!K:K,,0)</f>
        <v>880</v>
      </c>
      <c r="L48" s="63">
        <f>_xlfn.XLOOKUP($A48,Inputs!$A:$A,Inputs!L:L,,0)</f>
        <v>864</v>
      </c>
      <c r="M48" s="63">
        <f>_xlfn.XLOOKUP($A48,Inputs!$A:$A,Inputs!M:M,,0)</f>
        <v>775</v>
      </c>
    </row>
    <row r="49" spans="1:13">
      <c r="A49" s="745" t="s">
        <v>461</v>
      </c>
      <c r="B49" s="57">
        <f>_xlfn.XLOOKUP($A49,Inputs!$A:$A,Inputs!B:B,,0)</f>
        <v>2</v>
      </c>
      <c r="C49" s="57">
        <f>_xlfn.XLOOKUP($A49,Inputs!$A:$A,Inputs!C:C,,0)</f>
        <v>1</v>
      </c>
      <c r="D49" s="57">
        <f>_xlfn.XLOOKUP($A49,Inputs!$A:$A,Inputs!D:D,,0)</f>
        <v>16</v>
      </c>
      <c r="E49" s="57">
        <f>_xlfn.XLOOKUP($A49,Inputs!$A:$A,Inputs!E:E,,0)</f>
        <v>13</v>
      </c>
      <c r="F49" s="57">
        <f>_xlfn.XLOOKUP($A49,Inputs!$A:$A,Inputs!F:F,,0)</f>
        <v>14</v>
      </c>
      <c r="G49" s="57">
        <f>_xlfn.XLOOKUP($A49,Inputs!$A:$A,Inputs!G:G,,0)</f>
        <v>21</v>
      </c>
      <c r="H49" s="57">
        <f>_xlfn.XLOOKUP($A49,Inputs!$A:$A,Inputs!H:H,,0)</f>
        <v>20</v>
      </c>
      <c r="I49" s="57">
        <f>_xlfn.XLOOKUP($A49,Inputs!$A:$A,Inputs!I:I,,0)</f>
        <v>30</v>
      </c>
      <c r="J49" s="57">
        <f>_xlfn.XLOOKUP($A49,Inputs!$A:$A,Inputs!J:J,,0)</f>
        <v>22</v>
      </c>
      <c r="K49" s="57">
        <f>_xlfn.XLOOKUP($A49,Inputs!$A:$A,Inputs!K:K,,0)</f>
        <v>32</v>
      </c>
      <c r="L49" s="57">
        <f>_xlfn.XLOOKUP($A49,Inputs!$A:$A,Inputs!L:L,,0)</f>
        <v>0</v>
      </c>
      <c r="M49" s="57">
        <f>_xlfn.XLOOKUP($A49,Inputs!$A:$A,Inputs!M:M,,0)</f>
        <v>21</v>
      </c>
    </row>
    <row r="50" spans="1:13">
      <c r="A50" s="741" t="s">
        <v>462</v>
      </c>
      <c r="B50" s="57">
        <f>_xlfn.XLOOKUP($A50,Inputs!$A:$A,Inputs!B:B,,0)</f>
        <v>0</v>
      </c>
      <c r="C50" s="57">
        <f>_xlfn.XLOOKUP($A50,Inputs!$A:$A,Inputs!C:C,,0)</f>
        <v>0</v>
      </c>
      <c r="D50" s="57">
        <f>_xlfn.XLOOKUP($A50,Inputs!$A:$A,Inputs!D:D,,0)</f>
        <v>0</v>
      </c>
      <c r="E50" s="57">
        <f>_xlfn.XLOOKUP($A50,Inputs!$A:$A,Inputs!E:E,,0)</f>
        <v>0</v>
      </c>
      <c r="F50" s="57">
        <f>_xlfn.XLOOKUP($A50,Inputs!$A:$A,Inputs!F:F,,0)</f>
        <v>0</v>
      </c>
      <c r="G50" s="57">
        <f>_xlfn.XLOOKUP($A50,Inputs!$A:$A,Inputs!G:G,,0)</f>
        <v>0</v>
      </c>
      <c r="H50" s="57">
        <f>_xlfn.XLOOKUP($A50,Inputs!$A:$A,Inputs!H:H,,0)</f>
        <v>0</v>
      </c>
      <c r="I50" s="57">
        <f>_xlfn.XLOOKUP($A50,Inputs!$A:$A,Inputs!I:I,,0)</f>
        <v>0</v>
      </c>
      <c r="J50" s="57">
        <f>_xlfn.XLOOKUP($A50,Inputs!$A:$A,Inputs!J:J,,0)</f>
        <v>0</v>
      </c>
      <c r="K50" s="57">
        <f>_xlfn.XLOOKUP($A50,Inputs!$A:$A,Inputs!K:K,,0)</f>
        <v>0</v>
      </c>
      <c r="L50" s="57">
        <f>_xlfn.XLOOKUP($A50,Inputs!$A:$A,Inputs!L:L,,0)</f>
        <v>0</v>
      </c>
      <c r="M50" s="57">
        <f>_xlfn.XLOOKUP($A50,Inputs!$A:$A,Inputs!M:M,,0)</f>
        <v>0</v>
      </c>
    </row>
    <row r="51" spans="1:13">
      <c r="A51" s="742" t="s">
        <v>463</v>
      </c>
      <c r="B51" s="57">
        <f>_xlfn.XLOOKUP($A51,Inputs!$A:$A,Inputs!B:B,,0)</f>
        <v>2343</v>
      </c>
      <c r="C51" s="57">
        <f>_xlfn.XLOOKUP($A51,Inputs!$A:$A,Inputs!C:C,,0)</f>
        <v>2124</v>
      </c>
      <c r="D51" s="57">
        <f>_xlfn.XLOOKUP($A51,Inputs!$A:$A,Inputs!D:D,,0)</f>
        <v>1450</v>
      </c>
      <c r="E51" s="57">
        <f>_xlfn.XLOOKUP($A51,Inputs!$A:$A,Inputs!E:E,,0)</f>
        <v>1605</v>
      </c>
      <c r="F51" s="57">
        <f>_xlfn.XLOOKUP($A51,Inputs!$A:$A,Inputs!F:F,,0)</f>
        <v>1287</v>
      </c>
      <c r="G51" s="57">
        <f>_xlfn.XLOOKUP($A51,Inputs!$A:$A,Inputs!G:G,,0)</f>
        <v>911</v>
      </c>
      <c r="H51" s="57">
        <f>_xlfn.XLOOKUP($A51,Inputs!$A:$A,Inputs!H:H,,0)</f>
        <v>847</v>
      </c>
      <c r="I51" s="57">
        <f>_xlfn.XLOOKUP($A51,Inputs!$A:$A,Inputs!I:I,,0)</f>
        <v>724</v>
      </c>
      <c r="J51" s="57">
        <f>_xlfn.XLOOKUP($A51,Inputs!$A:$A,Inputs!J:J,,0)</f>
        <v>682</v>
      </c>
      <c r="K51" s="57">
        <f>_xlfn.XLOOKUP($A51,Inputs!$A:$A,Inputs!K:K,,0)</f>
        <v>534</v>
      </c>
      <c r="L51" s="57">
        <f>_xlfn.XLOOKUP($A51,Inputs!$A:$A,Inputs!L:L,,0)</f>
        <v>562</v>
      </c>
      <c r="M51" s="57">
        <f>_xlfn.XLOOKUP($A51,Inputs!$A:$A,Inputs!M:M,,0)</f>
        <v>754</v>
      </c>
    </row>
    <row r="52" spans="1:13">
      <c r="A52" s="120" t="s">
        <v>464</v>
      </c>
      <c r="B52" s="63">
        <f>_xlfn.XLOOKUP($A52,Inputs!$A:$A,Inputs!B:B,,0)</f>
        <v>2014</v>
      </c>
      <c r="C52" s="63">
        <f>_xlfn.XLOOKUP($A52,Inputs!$A:$A,Inputs!C:C,,0)</f>
        <v>1872</v>
      </c>
      <c r="D52" s="63">
        <f>_xlfn.XLOOKUP($A52,Inputs!$A:$A,Inputs!D:D,,0)</f>
        <v>1831</v>
      </c>
      <c r="E52" s="63">
        <f>_xlfn.XLOOKUP($A52,Inputs!$A:$A,Inputs!E:E,,0)</f>
        <v>1289</v>
      </c>
      <c r="F52" s="63">
        <f>_xlfn.XLOOKUP($A52,Inputs!$A:$A,Inputs!F:F,,0)</f>
        <v>1265</v>
      </c>
      <c r="G52" s="63">
        <f>_xlfn.XLOOKUP($A52,Inputs!$A:$A,Inputs!G:G,,0)</f>
        <v>371</v>
      </c>
      <c r="H52" s="63">
        <f>_xlfn.XLOOKUP($A52,Inputs!$A:$A,Inputs!H:H,,0)</f>
        <v>326</v>
      </c>
      <c r="I52" s="63">
        <f>_xlfn.XLOOKUP($A52,Inputs!$A:$A,Inputs!I:I,,0)</f>
        <v>289</v>
      </c>
      <c r="J52" s="63">
        <f>_xlfn.XLOOKUP($A52,Inputs!$A:$A,Inputs!J:J,,0)</f>
        <v>275</v>
      </c>
      <c r="K52" s="63">
        <f>_xlfn.XLOOKUP($A52,Inputs!$A:$A,Inputs!K:K,,0)</f>
        <v>232</v>
      </c>
      <c r="L52" s="63">
        <f>_xlfn.XLOOKUP($A52,Inputs!$A:$A,Inputs!L:L,,0)</f>
        <v>197</v>
      </c>
      <c r="M52" s="63">
        <f>_xlfn.XLOOKUP($A52,Inputs!$A:$A,Inputs!M:M,,0)</f>
        <v>161</v>
      </c>
    </row>
    <row r="53" spans="1:13">
      <c r="A53" s="745" t="s">
        <v>465</v>
      </c>
      <c r="B53" s="57">
        <f>_xlfn.XLOOKUP($A53,Inputs!$A:$A,Inputs!B:B,,0)</f>
        <v>35</v>
      </c>
      <c r="C53" s="57">
        <f>_xlfn.XLOOKUP($A53,Inputs!$A:$A,Inputs!C:C,,0)</f>
        <v>24</v>
      </c>
      <c r="D53" s="57">
        <f>_xlfn.XLOOKUP($A53,Inputs!$A:$A,Inputs!D:D,,0)</f>
        <v>18</v>
      </c>
      <c r="E53" s="57">
        <f>_xlfn.XLOOKUP($A53,Inputs!$A:$A,Inputs!E:E,,0)</f>
        <v>30</v>
      </c>
      <c r="F53" s="57">
        <f>_xlfn.XLOOKUP($A53,Inputs!$A:$A,Inputs!F:F,,0)</f>
        <v>28</v>
      </c>
      <c r="G53" s="57">
        <f>_xlfn.XLOOKUP($A53,Inputs!$A:$A,Inputs!G:G,,0)</f>
        <v>24</v>
      </c>
      <c r="H53" s="57">
        <f>_xlfn.XLOOKUP($A53,Inputs!$A:$A,Inputs!H:H,,0)</f>
        <v>21</v>
      </c>
      <c r="I53" s="57">
        <f>_xlfn.XLOOKUP($A53,Inputs!$A:$A,Inputs!I:I,,0)</f>
        <v>11</v>
      </c>
      <c r="J53" s="57">
        <f>_xlfn.XLOOKUP($A53,Inputs!$A:$A,Inputs!J:J,,0)</f>
        <v>20</v>
      </c>
      <c r="K53" s="57">
        <f>_xlfn.XLOOKUP($A53,Inputs!$A:$A,Inputs!K:K,,0)</f>
        <v>25</v>
      </c>
      <c r="L53" s="57">
        <f>_xlfn.XLOOKUP($A53,Inputs!$A:$A,Inputs!L:L,,0)</f>
        <v>24</v>
      </c>
      <c r="M53" s="57">
        <f>_xlfn.XLOOKUP($A53,Inputs!$A:$A,Inputs!M:M,,0)</f>
        <v>11</v>
      </c>
    </row>
    <row r="54" spans="1:13">
      <c r="A54" s="741" t="s">
        <v>466</v>
      </c>
      <c r="B54" s="57">
        <f>_xlfn.XLOOKUP($A54,Inputs!$A:$A,Inputs!B:B,,0)</f>
        <v>0</v>
      </c>
      <c r="C54" s="57">
        <f>_xlfn.XLOOKUP($A54,Inputs!$A:$A,Inputs!C:C,,0)</f>
        <v>0</v>
      </c>
      <c r="D54" s="57">
        <f>_xlfn.XLOOKUP($A54,Inputs!$A:$A,Inputs!D:D,,0)</f>
        <v>0</v>
      </c>
      <c r="E54" s="57">
        <f>_xlfn.XLOOKUP($A54,Inputs!$A:$A,Inputs!E:E,,0)</f>
        <v>0</v>
      </c>
      <c r="F54" s="57">
        <f>_xlfn.XLOOKUP($A54,Inputs!$A:$A,Inputs!F:F,,0)</f>
        <v>0</v>
      </c>
      <c r="G54" s="57">
        <f>_xlfn.XLOOKUP($A54,Inputs!$A:$A,Inputs!G:G,,0)</f>
        <v>0</v>
      </c>
      <c r="H54" s="57">
        <f>_xlfn.XLOOKUP($A54,Inputs!$A:$A,Inputs!H:H,,0)</f>
        <v>0</v>
      </c>
      <c r="I54" s="57">
        <f>_xlfn.XLOOKUP($A54,Inputs!$A:$A,Inputs!I:I,,0)</f>
        <v>0</v>
      </c>
      <c r="J54" s="57">
        <f>_xlfn.XLOOKUP($A54,Inputs!$A:$A,Inputs!J:J,,0)</f>
        <v>0</v>
      </c>
      <c r="K54" s="57">
        <f>_xlfn.XLOOKUP($A54,Inputs!$A:$A,Inputs!K:K,,0)</f>
        <v>0</v>
      </c>
      <c r="L54" s="57">
        <f>_xlfn.XLOOKUP($A54,Inputs!$A:$A,Inputs!L:L,,0)</f>
        <v>0</v>
      </c>
      <c r="M54" s="57">
        <f>_xlfn.XLOOKUP($A54,Inputs!$A:$A,Inputs!M:M,,0)</f>
        <v>0</v>
      </c>
    </row>
    <row r="55" spans="1:13">
      <c r="A55" s="742" t="s">
        <v>467</v>
      </c>
      <c r="B55" s="57">
        <f>_xlfn.XLOOKUP($A55,Inputs!$A:$A,Inputs!B:B,,0)</f>
        <v>1979</v>
      </c>
      <c r="C55" s="57">
        <f>_xlfn.XLOOKUP($A55,Inputs!$A:$A,Inputs!C:C,,0)</f>
        <v>1848</v>
      </c>
      <c r="D55" s="57">
        <f>_xlfn.XLOOKUP($A55,Inputs!$A:$A,Inputs!D:D,,0)</f>
        <v>1813</v>
      </c>
      <c r="E55" s="57">
        <f>_xlfn.XLOOKUP($A55,Inputs!$A:$A,Inputs!E:E,,0)</f>
        <v>1259</v>
      </c>
      <c r="F55" s="57">
        <f>_xlfn.XLOOKUP($A55,Inputs!$A:$A,Inputs!F:F,,0)</f>
        <v>1237</v>
      </c>
      <c r="G55" s="57">
        <f>_xlfn.XLOOKUP($A55,Inputs!$A:$A,Inputs!G:G,,0)</f>
        <v>347</v>
      </c>
      <c r="H55" s="57">
        <f>_xlfn.XLOOKUP($A55,Inputs!$A:$A,Inputs!H:H,,0)</f>
        <v>305</v>
      </c>
      <c r="I55" s="57">
        <f>_xlfn.XLOOKUP($A55,Inputs!$A:$A,Inputs!I:I,,0)</f>
        <v>278</v>
      </c>
      <c r="J55" s="57">
        <f>_xlfn.XLOOKUP($A55,Inputs!$A:$A,Inputs!J:J,,0)</f>
        <v>255</v>
      </c>
      <c r="K55" s="57">
        <f>_xlfn.XLOOKUP($A55,Inputs!$A:$A,Inputs!K:K,,0)</f>
        <v>207</v>
      </c>
      <c r="L55" s="57">
        <f>_xlfn.XLOOKUP($A55,Inputs!$A:$A,Inputs!L:L,,0)</f>
        <v>173</v>
      </c>
      <c r="M55" s="57">
        <f>_xlfn.XLOOKUP($A55,Inputs!$A:$A,Inputs!M:M,,0)</f>
        <v>150</v>
      </c>
    </row>
    <row r="56" spans="1:13">
      <c r="A56" s="120" t="s">
        <v>32</v>
      </c>
      <c r="B56" s="63">
        <f>_xlfn.XLOOKUP($A56,Inputs!$A:$A,Inputs!B:B,,0)</f>
        <v>5018</v>
      </c>
      <c r="C56" s="63">
        <f>_xlfn.XLOOKUP($A56,Inputs!$A:$A,Inputs!C:C,,0)</f>
        <v>4447</v>
      </c>
      <c r="D56" s="63">
        <f>_xlfn.XLOOKUP($A56,Inputs!$A:$A,Inputs!D:D,,0)</f>
        <v>3670</v>
      </c>
      <c r="E56" s="63">
        <f>_xlfn.XLOOKUP($A56,Inputs!$A:$A,Inputs!E:E,,0)</f>
        <v>3313</v>
      </c>
      <c r="F56" s="63">
        <f>_xlfn.XLOOKUP($A56,Inputs!$A:$A,Inputs!F:F,,0)</f>
        <v>2982</v>
      </c>
      <c r="G56" s="63">
        <f>_xlfn.XLOOKUP($A56,Inputs!$A:$A,Inputs!G:G,,0)</f>
        <v>1729</v>
      </c>
      <c r="H56" s="63">
        <f>_xlfn.XLOOKUP($A56,Inputs!$A:$A,Inputs!H:H,,0)</f>
        <v>1616</v>
      </c>
      <c r="I56" s="63">
        <f>_xlfn.XLOOKUP($A56,Inputs!$A:$A,Inputs!I:I,,0)</f>
        <v>1446</v>
      </c>
      <c r="J56" s="63">
        <f>_xlfn.XLOOKUP($A56,Inputs!$A:$A,Inputs!J:J,,0)</f>
        <v>1319</v>
      </c>
      <c r="K56" s="63">
        <f>_xlfn.XLOOKUP($A56,Inputs!$A:$A,Inputs!K:K,,0)</f>
        <v>1112</v>
      </c>
      <c r="L56" s="63">
        <f>_xlfn.XLOOKUP($A56,Inputs!$A:$A,Inputs!L:L,,0)</f>
        <v>1061</v>
      </c>
      <c r="M56" s="63">
        <f>_xlfn.XLOOKUP($A56,Inputs!$A:$A,Inputs!M:M,,0)</f>
        <v>936</v>
      </c>
    </row>
    <row r="57" spans="1:13">
      <c r="A57"/>
      <c r="B57"/>
      <c r="C57"/>
      <c r="D57"/>
      <c r="E57"/>
      <c r="F57"/>
      <c r="G57"/>
      <c r="H57"/>
      <c r="I57"/>
      <c r="J57"/>
      <c r="K57"/>
      <c r="L57"/>
      <c r="M57"/>
    </row>
    <row r="58" spans="1:13">
      <c r="A58" s="120" t="s">
        <v>233</v>
      </c>
      <c r="B58" s="63">
        <f t="shared" ref="B58:M58" si="20">B49+B53+B50+B54</f>
        <v>37</v>
      </c>
      <c r="C58" s="63">
        <f t="shared" si="20"/>
        <v>25</v>
      </c>
      <c r="D58" s="63">
        <f t="shared" si="20"/>
        <v>34</v>
      </c>
      <c r="E58" s="63">
        <f t="shared" si="20"/>
        <v>43</v>
      </c>
      <c r="F58" s="63">
        <f t="shared" si="20"/>
        <v>42</v>
      </c>
      <c r="G58" s="63">
        <f t="shared" si="20"/>
        <v>45</v>
      </c>
      <c r="H58" s="63">
        <f t="shared" si="20"/>
        <v>41</v>
      </c>
      <c r="I58" s="63">
        <f t="shared" si="20"/>
        <v>41</v>
      </c>
      <c r="J58" s="63">
        <f t="shared" si="20"/>
        <v>42</v>
      </c>
      <c r="K58" s="63">
        <f t="shared" si="20"/>
        <v>57</v>
      </c>
      <c r="L58" s="63">
        <f t="shared" si="20"/>
        <v>24</v>
      </c>
      <c r="M58" s="63">
        <f t="shared" si="20"/>
        <v>32</v>
      </c>
    </row>
    <row r="59" spans="1:13">
      <c r="A59" s="745" t="s">
        <v>49</v>
      </c>
      <c r="B59" s="59">
        <f t="shared" ref="B59:M59" si="21">IFERROR(B58/B44,"-")</f>
        <v>2.1192508161979495E-3</v>
      </c>
      <c r="C59" s="59">
        <f t="shared" si="21"/>
        <v>1.8054452227919404E-3</v>
      </c>
      <c r="D59" s="59">
        <f t="shared" si="21"/>
        <v>3.0766446475432086E-3</v>
      </c>
      <c r="E59" s="59">
        <f t="shared" si="21"/>
        <v>4.3517862564517763E-3</v>
      </c>
      <c r="F59" s="59">
        <f t="shared" si="21"/>
        <v>4.9692380501656416E-3</v>
      </c>
      <c r="G59" s="59">
        <f t="shared" si="21"/>
        <v>6.648936170212766E-3</v>
      </c>
      <c r="H59" s="59">
        <f t="shared" si="21"/>
        <v>6.8344724120686781E-3</v>
      </c>
      <c r="I59" s="59">
        <f t="shared" si="21"/>
        <v>7.9028527370855819E-3</v>
      </c>
      <c r="J59" s="59">
        <f t="shared" si="21"/>
        <v>8.8087248322147645E-3</v>
      </c>
      <c r="K59" s="59">
        <f t="shared" si="21"/>
        <v>1.4474352463179279E-2</v>
      </c>
      <c r="L59" s="59">
        <f t="shared" si="21"/>
        <v>7.046388725778039E-3</v>
      </c>
      <c r="M59" s="59">
        <f t="shared" si="21"/>
        <v>9.852216748768473E-3</v>
      </c>
    </row>
    <row r="60" spans="1:13">
      <c r="A60" s="120" t="s">
        <v>468</v>
      </c>
      <c r="B60" s="63" t="e">
        <f t="shared" ref="B60:M60" si="22">B58-B39</f>
        <v>#VALUE!</v>
      </c>
      <c r="C60" s="63" t="e">
        <f t="shared" si="22"/>
        <v>#VALUE!</v>
      </c>
      <c r="D60" s="63">
        <f t="shared" si="22"/>
        <v>34</v>
      </c>
      <c r="E60" s="63" t="e">
        <f t="shared" si="22"/>
        <v>#VALUE!</v>
      </c>
      <c r="F60" s="63" t="e">
        <f t="shared" si="22"/>
        <v>#VALUE!</v>
      </c>
      <c r="G60" s="63">
        <f t="shared" si="22"/>
        <v>-2887</v>
      </c>
      <c r="H60" s="63">
        <f t="shared" si="22"/>
        <v>-2288</v>
      </c>
      <c r="I60" s="63">
        <f t="shared" si="22"/>
        <v>-1548</v>
      </c>
      <c r="J60" s="63">
        <f t="shared" si="22"/>
        <v>-1400</v>
      </c>
      <c r="K60" s="63">
        <f t="shared" si="22"/>
        <v>-997</v>
      </c>
      <c r="L60" s="63">
        <f t="shared" si="22"/>
        <v>-673</v>
      </c>
      <c r="M60" s="63">
        <f t="shared" si="22"/>
        <v>-1016</v>
      </c>
    </row>
    <row r="61" spans="1:13">
      <c r="A61"/>
      <c r="B61"/>
      <c r="C61"/>
      <c r="D61"/>
      <c r="E61"/>
      <c r="F61"/>
      <c r="G61"/>
      <c r="H61"/>
      <c r="I61"/>
      <c r="J61"/>
      <c r="K61"/>
      <c r="L61"/>
      <c r="M61"/>
    </row>
    <row r="62" spans="1:13" s="50" customFormat="1">
      <c r="A62" s="120" t="s">
        <v>469</v>
      </c>
      <c r="B62" s="63">
        <f>_xlfn.XLOOKUP($A62,Inputs!$A:$A,Inputs!B:B,,0)</f>
        <v>16</v>
      </c>
      <c r="C62" s="63">
        <f>_xlfn.XLOOKUP($A62,Inputs!$A:$A,Inputs!C:C,,0)</f>
        <v>12</v>
      </c>
      <c r="D62" s="63">
        <f>_xlfn.XLOOKUP($A62,Inputs!$A:$A,Inputs!D:D,,0)</f>
        <v>11</v>
      </c>
      <c r="E62" s="63">
        <f>_xlfn.XLOOKUP($A62,Inputs!$A:$A,Inputs!E:E,,0)</f>
        <v>8</v>
      </c>
      <c r="F62" s="63">
        <f>_xlfn.XLOOKUP($A62,Inputs!$A:$A,Inputs!F:F,,0)</f>
        <v>5</v>
      </c>
      <c r="G62" s="63">
        <f>_xlfn.XLOOKUP($A62,Inputs!$A:$A,Inputs!G:G,,0)</f>
        <v>7</v>
      </c>
      <c r="H62" s="63">
        <f>_xlfn.XLOOKUP($A62,Inputs!$A:$A,Inputs!H:H,,0)</f>
        <v>2</v>
      </c>
      <c r="I62" s="63">
        <f>_xlfn.XLOOKUP($A62,Inputs!$A:$A,Inputs!I:I,,0)</f>
        <v>7</v>
      </c>
      <c r="J62" s="63">
        <f>_xlfn.XLOOKUP($A62,Inputs!$A:$A,Inputs!J:J,,0)</f>
        <v>10</v>
      </c>
      <c r="K62" s="63">
        <f>_xlfn.XLOOKUP($A62,Inputs!$A:$A,Inputs!K:K,,0)</f>
        <v>16</v>
      </c>
      <c r="L62" s="63">
        <f>_xlfn.XLOOKUP($A62,Inputs!$A:$A,Inputs!L:L,,0)</f>
        <v>14</v>
      </c>
      <c r="M62" s="63">
        <f>_xlfn.XLOOKUP($A62,Inputs!$A:$A,Inputs!M:M,,0)</f>
        <v>13</v>
      </c>
    </row>
    <row r="63" spans="1:13">
      <c r="A63"/>
      <c r="B63"/>
      <c r="C63"/>
      <c r="D63"/>
      <c r="E63"/>
      <c r="F63"/>
      <c r="G63"/>
      <c r="H63"/>
      <c r="I63"/>
      <c r="J63"/>
      <c r="K63"/>
      <c r="L63"/>
      <c r="M63"/>
    </row>
    <row r="64" spans="1:13">
      <c r="A64" s="120" t="s">
        <v>470</v>
      </c>
      <c r="B64" s="63">
        <f>_xlfn.XLOOKUP($A64,Inputs!$A:$A,Inputs!B:B,,0)</f>
        <v>12425</v>
      </c>
      <c r="C64" s="63">
        <f>_xlfn.XLOOKUP($A64,Inputs!$A:$A,Inputs!C:C,,0)</f>
        <v>9388</v>
      </c>
      <c r="D64" s="63">
        <f>_xlfn.XLOOKUP($A64,Inputs!$A:$A,Inputs!D:D,,0)</f>
        <v>7370</v>
      </c>
      <c r="E64" s="63">
        <f>_xlfn.XLOOKUP($A64,Inputs!$A:$A,Inputs!E:E,,0)</f>
        <v>6560</v>
      </c>
      <c r="F64" s="63">
        <f>_xlfn.XLOOKUP($A64,Inputs!$A:$A,Inputs!F:F,,0)</f>
        <v>5465</v>
      </c>
      <c r="G64" s="63">
        <f>_xlfn.XLOOKUP($A64,Inputs!$A:$A,Inputs!G:G,,0)</f>
        <v>5032</v>
      </c>
      <c r="H64" s="63">
        <f>_xlfn.XLOOKUP($A64,Inputs!$A:$A,Inputs!H:H,,0)</f>
        <v>4381</v>
      </c>
      <c r="I64" s="63">
        <f>_xlfn.XLOOKUP($A64,Inputs!$A:$A,Inputs!I:I,,0)</f>
        <v>3735</v>
      </c>
      <c r="J64" s="63">
        <f>_xlfn.XLOOKUP($A64,Inputs!$A:$A,Inputs!J:J,,0)</f>
        <v>3439</v>
      </c>
      <c r="K64" s="63">
        <f>_xlfn.XLOOKUP($A64,Inputs!$A:$A,Inputs!K:K,,0)</f>
        <v>2810</v>
      </c>
      <c r="L64" s="63">
        <f>_xlfn.XLOOKUP($A64,Inputs!$A:$A,Inputs!L:L,,0)</f>
        <v>2331</v>
      </c>
      <c r="M64" s="63">
        <f>_xlfn.XLOOKUP($A64,Inputs!$A:$A,Inputs!M:M,,0)</f>
        <v>2299</v>
      </c>
    </row>
    <row r="65" spans="1:235">
      <c r="A65"/>
      <c r="K65" s="46"/>
      <c r="L65" s="46"/>
      <c r="M65" s="46"/>
    </row>
    <row r="66" spans="1:235" ht="21">
      <c r="A66" s="1040" t="s">
        <v>471</v>
      </c>
      <c r="B66" s="1040"/>
      <c r="C66" s="1040"/>
      <c r="D66" s="1040"/>
      <c r="E66" s="1040"/>
      <c r="F66" s="1040"/>
      <c r="G66" s="1040"/>
      <c r="H66" s="1040"/>
      <c r="I66" s="1040"/>
      <c r="J66" s="1040"/>
      <c r="K66" s="1040"/>
      <c r="L66" s="1040"/>
      <c r="M66" s="1040"/>
    </row>
    <row r="67" spans="1:235">
      <c r="A67" s="120" t="s">
        <v>472</v>
      </c>
      <c r="B67" s="63">
        <f>_xlfn.XLOOKUP($A67,Inputs!$A:$A,Inputs!B:B,,0)</f>
        <v>4185</v>
      </c>
      <c r="C67" s="63">
        <f>_xlfn.XLOOKUP($A67,Inputs!$A:$A,Inputs!C:C,,0)</f>
        <v>3406</v>
      </c>
      <c r="D67" s="63">
        <f>_xlfn.XLOOKUP($A67,Inputs!$A:$A,Inputs!D:D,,0)</f>
        <v>1642</v>
      </c>
      <c r="E67" s="63">
        <f>_xlfn.XLOOKUP($A67,Inputs!$A:$A,Inputs!E:E,,0)</f>
        <v>2087</v>
      </c>
      <c r="F67" s="63">
        <f>_xlfn.XLOOKUP($A67,Inputs!$A:$A,Inputs!F:F,,0)</f>
        <v>1940</v>
      </c>
      <c r="G67" s="63">
        <f>_xlfn.XLOOKUP($A67,Inputs!$A:$A,Inputs!G:G,,0)</f>
        <v>1606</v>
      </c>
      <c r="H67" s="63">
        <f>_xlfn.XLOOKUP($A67,Inputs!$A:$A,Inputs!H:H,,0)</f>
        <v>1474</v>
      </c>
      <c r="I67" s="63">
        <f>_xlfn.XLOOKUP($A67,Inputs!$A:$A,Inputs!I:I,,0)</f>
        <v>1188</v>
      </c>
      <c r="J67" s="63">
        <f>_xlfn.XLOOKUP($A67,Inputs!$A:$A,Inputs!J:J,,0)</f>
        <v>967</v>
      </c>
      <c r="K67" s="63">
        <f>_xlfn.XLOOKUP($A67,Inputs!$A:$A,Inputs!K:K,,0)</f>
        <v>897</v>
      </c>
      <c r="L67" s="63">
        <f>_xlfn.XLOOKUP($A67,Inputs!$A:$A,Inputs!L:L,,0)</f>
        <v>771</v>
      </c>
      <c r="M67" s="63">
        <f>_xlfn.XLOOKUP($A67,Inputs!$A:$A,Inputs!M:M,,0)</f>
        <v>736</v>
      </c>
    </row>
    <row r="68" spans="1:235">
      <c r="A68" s="120" t="s">
        <v>473</v>
      </c>
      <c r="B68" s="63">
        <f>_xlfn.XLOOKUP($A68,Inputs!$A:$A,Inputs!B:B,,0)</f>
        <v>-579</v>
      </c>
      <c r="C68" s="63">
        <f>_xlfn.XLOOKUP($A68,Inputs!$A:$A,Inputs!C:C,,0)</f>
        <v>-669</v>
      </c>
      <c r="D68" s="63">
        <f>_xlfn.XLOOKUP($A68,Inputs!$A:$A,Inputs!D:D,,0)</f>
        <v>-432</v>
      </c>
      <c r="E68" s="63">
        <f>_xlfn.XLOOKUP($A68,Inputs!$A:$A,Inputs!E:E,,0)</f>
        <v>-471</v>
      </c>
      <c r="F68" s="63">
        <f>_xlfn.XLOOKUP($A68,Inputs!$A:$A,Inputs!F:F,,0)</f>
        <v>-239</v>
      </c>
      <c r="G68" s="63">
        <f>_xlfn.XLOOKUP($A68,Inputs!$A:$A,Inputs!G:G,,0)</f>
        <v>-347</v>
      </c>
      <c r="H68" s="63">
        <f>_xlfn.XLOOKUP($A68,Inputs!$A:$A,Inputs!H:H,,0)</f>
        <v>-220</v>
      </c>
      <c r="I68" s="63">
        <f>_xlfn.XLOOKUP($A68,Inputs!$A:$A,Inputs!I:I,,0)</f>
        <v>-241</v>
      </c>
      <c r="J68" s="63">
        <f>_xlfn.XLOOKUP($A68,Inputs!$A:$A,Inputs!J:J,,0)</f>
        <v>-315</v>
      </c>
      <c r="K68" s="63">
        <f>_xlfn.XLOOKUP($A68,Inputs!$A:$A,Inputs!K:K,,0)</f>
        <v>-261</v>
      </c>
      <c r="L68" s="63">
        <f>_xlfn.XLOOKUP($A68,Inputs!$A:$A,Inputs!L:L,,0)</f>
        <v>-359</v>
      </c>
      <c r="M68" s="63">
        <f>_xlfn.XLOOKUP($A68,Inputs!$A:$A,Inputs!M:M,,0)</f>
        <v>-68</v>
      </c>
    </row>
    <row r="69" spans="1:235">
      <c r="A69" s="742" t="s">
        <v>452</v>
      </c>
      <c r="B69" s="57">
        <f>_xlfn.XLOOKUP($A69,Inputs!$A:$A,Inputs!B:B,,0)</f>
        <v>-518</v>
      </c>
      <c r="C69" s="57">
        <f>_xlfn.XLOOKUP($A69,Inputs!$A:$A,Inputs!C:C,,0)</f>
        <v>-532</v>
      </c>
      <c r="D69" s="57">
        <f>_xlfn.XLOOKUP($A69,Inputs!$A:$A,Inputs!D:D,,0)</f>
        <v>-448</v>
      </c>
      <c r="E69" s="57">
        <f>_xlfn.XLOOKUP($A69,Inputs!$A:$A,Inputs!E:E,,0)</f>
        <v>-478</v>
      </c>
      <c r="F69" s="57">
        <f>_xlfn.XLOOKUP($A69,Inputs!$A:$A,Inputs!F:F,,0)</f>
        <v>-317</v>
      </c>
      <c r="G69" s="57">
        <f>_xlfn.XLOOKUP($A69,Inputs!$A:$A,Inputs!G:G,,0)</f>
        <v>-265</v>
      </c>
      <c r="H69" s="57">
        <f>_xlfn.XLOOKUP($A69,Inputs!$A:$A,Inputs!H:H,,0)</f>
        <v>-262</v>
      </c>
      <c r="I69" s="57">
        <f>_xlfn.XLOOKUP($A69,Inputs!$A:$A,Inputs!I:I,,0)</f>
        <v>-274</v>
      </c>
      <c r="J69" s="57">
        <f>_xlfn.XLOOKUP($A69,Inputs!$A:$A,Inputs!J:J,,0)</f>
        <v>-279</v>
      </c>
      <c r="K69" s="57">
        <f>_xlfn.XLOOKUP($A69,Inputs!$A:$A,Inputs!K:K,,0)</f>
        <v>-211</v>
      </c>
      <c r="L69" s="57">
        <f>_xlfn.XLOOKUP($A69,Inputs!$A:$A,Inputs!L:L,,0)</f>
        <v>-263</v>
      </c>
      <c r="M69" s="57">
        <f>_xlfn.XLOOKUP($A69,Inputs!$A:$A,Inputs!M:M,,0)</f>
        <v>-185</v>
      </c>
    </row>
    <row r="70" spans="1:235">
      <c r="A70" s="742" t="s">
        <v>453</v>
      </c>
      <c r="B70" s="57">
        <f>_xlfn.XLOOKUP($A70,Inputs!$A:$A,Inputs!B:B,,0)</f>
        <v>-166</v>
      </c>
      <c r="C70" s="57">
        <f>_xlfn.XLOOKUP($A70,Inputs!$A:$A,Inputs!C:C,,0)</f>
        <v>-198</v>
      </c>
      <c r="D70" s="57">
        <f>_xlfn.XLOOKUP($A70,Inputs!$A:$A,Inputs!D:D,,0)</f>
        <v>-108</v>
      </c>
      <c r="E70" s="57">
        <f>_xlfn.XLOOKUP($A70,Inputs!$A:$A,Inputs!E:E,,0)</f>
        <v>-89</v>
      </c>
      <c r="F70" s="57">
        <f>_xlfn.XLOOKUP($A70,Inputs!$A:$A,Inputs!F:F,,0)</f>
        <v>-88</v>
      </c>
      <c r="G70" s="57">
        <f>_xlfn.XLOOKUP($A70,Inputs!$A:$A,Inputs!G:G,,0)</f>
        <v>-148</v>
      </c>
      <c r="H70" s="57">
        <f>_xlfn.XLOOKUP($A70,Inputs!$A:$A,Inputs!H:H,,0)</f>
        <v>-36</v>
      </c>
      <c r="I70" s="57">
        <f>_xlfn.XLOOKUP($A70,Inputs!$A:$A,Inputs!I:I,,0)</f>
        <v>-14</v>
      </c>
      <c r="J70" s="57">
        <f>_xlfn.XLOOKUP($A70,Inputs!$A:$A,Inputs!J:J,,0)</f>
        <v>-46</v>
      </c>
      <c r="K70" s="57">
        <f>_xlfn.XLOOKUP($A70,Inputs!$A:$A,Inputs!K:K,,0)</f>
        <v>-72</v>
      </c>
      <c r="L70" s="57">
        <f>_xlfn.XLOOKUP($A70,Inputs!$A:$A,Inputs!L:L,,0)</f>
        <v>-135</v>
      </c>
      <c r="M70" s="57">
        <f>_xlfn.XLOOKUP($A70,Inputs!$A:$A,Inputs!M:M,,0)</f>
        <v>-49</v>
      </c>
      <c r="IA70" s="46"/>
    </row>
    <row r="71" spans="1:235">
      <c r="A71" s="120" t="s">
        <v>474</v>
      </c>
      <c r="B71" s="63">
        <f>_xlfn.XLOOKUP($A71,Inputs!$A:$A,Inputs!B:B,,0)</f>
        <v>-1237</v>
      </c>
      <c r="C71" s="63">
        <f>_xlfn.XLOOKUP($A71,Inputs!$A:$A,Inputs!C:C,,0)</f>
        <v>-869</v>
      </c>
      <c r="D71" s="63">
        <f>_xlfn.XLOOKUP($A71,Inputs!$A:$A,Inputs!D:D,,0)</f>
        <v>-810</v>
      </c>
      <c r="E71" s="63">
        <f>_xlfn.XLOOKUP($A71,Inputs!$A:$A,Inputs!E:E,,0)</f>
        <v>-743</v>
      </c>
      <c r="F71" s="63">
        <f>_xlfn.XLOOKUP($A71,Inputs!$A:$A,Inputs!F:F,,0)</f>
        <v>-1200</v>
      </c>
      <c r="G71" s="63">
        <f>_xlfn.XLOOKUP($A71,Inputs!$A:$A,Inputs!G:G,,0)</f>
        <v>-591</v>
      </c>
      <c r="H71" s="63">
        <f>_xlfn.XLOOKUP($A71,Inputs!$A:$A,Inputs!H:H,,0)</f>
        <v>-471</v>
      </c>
      <c r="I71" s="63">
        <f>_xlfn.XLOOKUP($A71,Inputs!$A:$A,Inputs!I:I,,0)</f>
        <v>-837</v>
      </c>
      <c r="J71" s="63">
        <f>_xlfn.XLOOKUP($A71,Inputs!$A:$A,Inputs!J:J,,0)</f>
        <v>-300</v>
      </c>
      <c r="K71" s="63">
        <f>_xlfn.XLOOKUP($A71,Inputs!$A:$A,Inputs!K:K,,0)</f>
        <v>-281</v>
      </c>
      <c r="L71" s="63">
        <f>_xlfn.XLOOKUP($A71,Inputs!$A:$A,Inputs!L:L,,0)</f>
        <v>-763</v>
      </c>
      <c r="M71" s="63">
        <f>_xlfn.XLOOKUP($A71,Inputs!$A:$A,Inputs!M:M,,0)</f>
        <v>-452</v>
      </c>
      <c r="IA71" s="46"/>
    </row>
    <row r="72" spans="1:235">
      <c r="A72" s="742" t="s">
        <v>407</v>
      </c>
      <c r="B72" s="57">
        <f>_xlfn.XLOOKUP($A72,Inputs!$A:$A,Inputs!B:B,,0)</f>
        <v>-845</v>
      </c>
      <c r="C72" s="57">
        <f>_xlfn.XLOOKUP($A72,Inputs!$A:$A,Inputs!C:C,,0)</f>
        <v>-485</v>
      </c>
      <c r="D72" s="57">
        <f>_xlfn.XLOOKUP($A72,Inputs!$A:$A,Inputs!D:D,,0)</f>
        <v>-485.1</v>
      </c>
      <c r="E72" s="57">
        <f>_xlfn.XLOOKUP($A72,Inputs!$A:$A,Inputs!E:E,,0)</f>
        <v>-486.6</v>
      </c>
      <c r="F72" s="57">
        <f>_xlfn.XLOOKUP($A72,Inputs!$A:$A,Inputs!F:F,,0)</f>
        <v>-958.3</v>
      </c>
      <c r="G72" s="57">
        <f>_xlfn.XLOOKUP($A72,Inputs!$A:$A,Inputs!G:G,,0)</f>
        <v>-401.9</v>
      </c>
      <c r="H72" s="57">
        <f>_xlfn.XLOOKUP($A72,Inputs!$A:$A,Inputs!H:H,,0)</f>
        <v>-360.1</v>
      </c>
      <c r="I72" s="57">
        <f>_xlfn.XLOOKUP($A72,Inputs!$A:$A,Inputs!I:I,,0)</f>
        <v>-840.2</v>
      </c>
      <c r="J72" s="57">
        <f>_xlfn.XLOOKUP($A72,Inputs!$A:$A,Inputs!J:J,,0)</f>
        <v>-294.89999999999998</v>
      </c>
      <c r="K72" s="57">
        <f>_xlfn.XLOOKUP($A72,Inputs!$A:$A,Inputs!K:K,,0)</f>
        <v>-273.3</v>
      </c>
      <c r="L72" s="57">
        <f>_xlfn.XLOOKUP($A72,Inputs!$A:$A,Inputs!L:L,,0)</f>
        <v>-742.3</v>
      </c>
      <c r="M72" s="57">
        <f>_xlfn.XLOOKUP($A72,Inputs!$A:$A,Inputs!M:M,,0)</f>
        <v>-167.3</v>
      </c>
      <c r="IA72" s="46"/>
    </row>
    <row r="73" spans="1:235">
      <c r="A73" s="742" t="s">
        <v>449</v>
      </c>
      <c r="B73" s="57">
        <f>_xlfn.XLOOKUP($A73,Inputs!$A:$A,Inputs!B:B,,0)</f>
        <v>0</v>
      </c>
      <c r="C73" s="57">
        <f>_xlfn.XLOOKUP($A73,Inputs!$A:$A,Inputs!C:C,,0)</f>
        <v>0</v>
      </c>
      <c r="D73" s="57">
        <f>_xlfn.XLOOKUP($A73,Inputs!$A:$A,Inputs!D:D,,0)</f>
        <v>0</v>
      </c>
      <c r="E73" s="57">
        <f>_xlfn.XLOOKUP($A73,Inputs!$A:$A,Inputs!E:E,,0)</f>
        <v>0</v>
      </c>
      <c r="F73" s="57">
        <f>_xlfn.XLOOKUP($A73,Inputs!$A:$A,Inputs!F:F,,0)</f>
        <v>0</v>
      </c>
      <c r="G73" s="57">
        <f>_xlfn.XLOOKUP($A73,Inputs!$A:$A,Inputs!G:G,,0)</f>
        <v>0</v>
      </c>
      <c r="H73" s="57">
        <f>_xlfn.XLOOKUP($A73,Inputs!$A:$A,Inputs!H:H,,0)</f>
        <v>0</v>
      </c>
      <c r="I73" s="57">
        <f>_xlfn.XLOOKUP($A73,Inputs!$A:$A,Inputs!I:I,,0)</f>
        <v>0</v>
      </c>
      <c r="J73" s="57">
        <f>_xlfn.XLOOKUP($A73,Inputs!$A:$A,Inputs!J:J,,0)</f>
        <v>0</v>
      </c>
      <c r="K73" s="57">
        <f>_xlfn.XLOOKUP($A73,Inputs!$A:$A,Inputs!K:K,,0)</f>
        <v>0</v>
      </c>
      <c r="L73" s="57">
        <f>_xlfn.XLOOKUP($A73,Inputs!$A:$A,Inputs!L:L,,0)</f>
        <v>0</v>
      </c>
      <c r="M73" s="57">
        <f>_xlfn.XLOOKUP($A73,Inputs!$A:$A,Inputs!M:M,,0)</f>
        <v>0</v>
      </c>
    </row>
    <row r="74" spans="1:235">
      <c r="A74" s="120" t="s">
        <v>475</v>
      </c>
      <c r="B74" s="63">
        <f>_xlfn.XLOOKUP($A74,Inputs!$A:$A,Inputs!B:B,,0)</f>
        <v>0</v>
      </c>
      <c r="C74" s="63">
        <f>_xlfn.XLOOKUP($A74,Inputs!$A:$A,Inputs!C:C,,0)</f>
        <v>0</v>
      </c>
      <c r="D74" s="63">
        <f>_xlfn.XLOOKUP($A74,Inputs!$A:$A,Inputs!D:D,,0)</f>
        <v>0</v>
      </c>
      <c r="E74" s="63">
        <f>_xlfn.XLOOKUP($A74,Inputs!$A:$A,Inputs!E:E,,0)</f>
        <v>0</v>
      </c>
      <c r="F74" s="63">
        <f>_xlfn.XLOOKUP($A74,Inputs!$A:$A,Inputs!F:F,,0)</f>
        <v>0</v>
      </c>
      <c r="G74" s="63">
        <f>_xlfn.XLOOKUP($A74,Inputs!$A:$A,Inputs!G:G,,0)</f>
        <v>0</v>
      </c>
      <c r="H74" s="63">
        <f>_xlfn.XLOOKUP($A74,Inputs!$A:$A,Inputs!H:H,,0)</f>
        <v>0</v>
      </c>
      <c r="I74" s="63">
        <f>_xlfn.XLOOKUP($A74,Inputs!$A:$A,Inputs!I:I,,0)</f>
        <v>0</v>
      </c>
      <c r="J74" s="63">
        <f>_xlfn.XLOOKUP($A74,Inputs!$A:$A,Inputs!J:J,,0)</f>
        <v>0</v>
      </c>
      <c r="K74" s="63">
        <f>_xlfn.XLOOKUP($A74,Inputs!$A:$A,Inputs!K:K,,0)</f>
        <v>0</v>
      </c>
      <c r="L74" s="63">
        <f>_xlfn.XLOOKUP($A74,Inputs!$A:$A,Inputs!L:L,,0)</f>
        <v>0</v>
      </c>
      <c r="M74" s="63">
        <f>_xlfn.XLOOKUP($A74,Inputs!$A:$A,Inputs!M:M,,0)</f>
        <v>0</v>
      </c>
    </row>
    <row r="75" spans="1:235">
      <c r="A75" s="120" t="s">
        <v>476</v>
      </c>
      <c r="B75" s="63">
        <f>_xlfn.XLOOKUP($A75,Inputs!$A:$A,Inputs!B:B,,0)</f>
        <v>2369</v>
      </c>
      <c r="C75" s="63">
        <f>_xlfn.XLOOKUP($A75,Inputs!$A:$A,Inputs!C:C,,0)</f>
        <v>1868</v>
      </c>
      <c r="D75" s="63">
        <f>_xlfn.XLOOKUP($A75,Inputs!$A:$A,Inputs!D:D,,0)</f>
        <v>400</v>
      </c>
      <c r="E75" s="63">
        <f>_xlfn.XLOOKUP($A75,Inputs!$A:$A,Inputs!E:E,,0)</f>
        <v>873</v>
      </c>
      <c r="F75" s="63">
        <f>_xlfn.XLOOKUP($A75,Inputs!$A:$A,Inputs!F:F,,0)</f>
        <v>501</v>
      </c>
      <c r="G75" s="63">
        <f>_xlfn.XLOOKUP($A75,Inputs!$A:$A,Inputs!G:G,,0)</f>
        <v>668</v>
      </c>
      <c r="H75" s="63">
        <f>_xlfn.XLOOKUP($A75,Inputs!$A:$A,Inputs!H:H,,0)</f>
        <v>783</v>
      </c>
      <c r="I75" s="63">
        <f>_xlfn.XLOOKUP($A75,Inputs!$A:$A,Inputs!I:I,,0)</f>
        <v>110</v>
      </c>
      <c r="J75" s="63">
        <f>_xlfn.XLOOKUP($A75,Inputs!$A:$A,Inputs!J:J,,0)</f>
        <v>352</v>
      </c>
      <c r="K75" s="63">
        <f>_xlfn.XLOOKUP($A75,Inputs!$A:$A,Inputs!K:K,,0)</f>
        <v>355</v>
      </c>
      <c r="L75" s="63">
        <f>_xlfn.XLOOKUP($A75,Inputs!$A:$A,Inputs!L:L,,0)</f>
        <v>-351</v>
      </c>
      <c r="M75" s="63">
        <f>_xlfn.XLOOKUP($A75,Inputs!$A:$A,Inputs!M:M,,0)</f>
        <v>216</v>
      </c>
    </row>
    <row r="76" spans="1:235">
      <c r="A76"/>
      <c r="K76" s="46"/>
      <c r="L76" s="46"/>
      <c r="M76" s="46"/>
    </row>
    <row r="77" spans="1:235" ht="21">
      <c r="A77" s="1040" t="s">
        <v>477</v>
      </c>
      <c r="B77" s="1040"/>
      <c r="C77" s="1040"/>
      <c r="D77" s="1040"/>
      <c r="E77" s="1040"/>
      <c r="F77" s="1040"/>
      <c r="G77" s="1040"/>
      <c r="H77" s="1040"/>
      <c r="I77" s="1040"/>
      <c r="J77" s="1040"/>
      <c r="K77" s="1040"/>
      <c r="L77" s="1040"/>
      <c r="M77" s="1040"/>
    </row>
    <row r="78" spans="1:235">
      <c r="A78" s="741" t="s">
        <v>478</v>
      </c>
      <c r="B78" s="57" t="e">
        <f>_xlfn.XLOOKUP($A78,Inputs!$A:$A,Inputs!B:B,,0)</f>
        <v>#N/A</v>
      </c>
      <c r="C78" s="57" t="e">
        <f>_xlfn.XLOOKUP($A78,Inputs!$A:$A,Inputs!C:C,,0)</f>
        <v>#N/A</v>
      </c>
      <c r="D78" s="57" t="e">
        <f>_xlfn.XLOOKUP($A78,Inputs!$A:$A,Inputs!D:D,,0)</f>
        <v>#N/A</v>
      </c>
      <c r="E78" s="57" t="e">
        <f>_xlfn.XLOOKUP($A78,Inputs!$A:$A,Inputs!E:E,,0)</f>
        <v>#N/A</v>
      </c>
      <c r="F78" s="57" t="e">
        <f>_xlfn.XLOOKUP($A78,Inputs!$A:$A,Inputs!F:F,,0)</f>
        <v>#N/A</v>
      </c>
      <c r="G78" s="57" t="e">
        <f>_xlfn.XLOOKUP($A78,Inputs!$A:$A,Inputs!G:G,,0)</f>
        <v>#N/A</v>
      </c>
      <c r="H78" s="57" t="e">
        <f>_xlfn.XLOOKUP($A78,Inputs!$A:$A,Inputs!H:H,,0)</f>
        <v>#N/A</v>
      </c>
      <c r="I78" s="57" t="e">
        <f>_xlfn.XLOOKUP($A78,Inputs!$A:$A,Inputs!I:I,,0)</f>
        <v>#N/A</v>
      </c>
      <c r="J78" s="57" t="e">
        <f>_xlfn.XLOOKUP($A78,Inputs!$A:$A,Inputs!J:J,,0)</f>
        <v>#N/A</v>
      </c>
      <c r="K78" s="57" t="e">
        <f>_xlfn.XLOOKUP($A78,Inputs!$A:$A,Inputs!K:K,,0)</f>
        <v>#N/A</v>
      </c>
      <c r="L78" s="57" t="e">
        <f>_xlfn.XLOOKUP($A78,Inputs!$A:$A,Inputs!L:L,,0)</f>
        <v>#N/A</v>
      </c>
      <c r="M78" s="57" t="e">
        <f>_xlfn.XLOOKUP($A78,Inputs!$A:$A,Inputs!M:M,,0)</f>
        <v>#N/A</v>
      </c>
    </row>
    <row r="79" spans="1:235">
      <c r="A79" s="745" t="s">
        <v>479</v>
      </c>
      <c r="B79" s="57" t="e">
        <f>_xlfn.XLOOKUP($A79,Inputs!$A:$A,Inputs!B:B,,0)</f>
        <v>#N/A</v>
      </c>
      <c r="C79" s="57" t="e">
        <f>_xlfn.XLOOKUP($A79,Inputs!$A:$A,Inputs!C:C,,0)</f>
        <v>#N/A</v>
      </c>
      <c r="D79" s="57" t="e">
        <f>_xlfn.XLOOKUP($A79,Inputs!$A:$A,Inputs!D:D,,0)</f>
        <v>#N/A</v>
      </c>
      <c r="E79" s="57" t="e">
        <f>_xlfn.XLOOKUP($A79,Inputs!$A:$A,Inputs!E:E,,0)</f>
        <v>#N/A</v>
      </c>
      <c r="F79" s="57" t="e">
        <f>_xlfn.XLOOKUP($A79,Inputs!$A:$A,Inputs!F:F,,0)</f>
        <v>#N/A</v>
      </c>
      <c r="G79" s="57" t="e">
        <f>_xlfn.XLOOKUP($A79,Inputs!$A:$A,Inputs!G:G,,0)</f>
        <v>#N/A</v>
      </c>
      <c r="H79" s="57" t="e">
        <f>_xlfn.XLOOKUP($A79,Inputs!$A:$A,Inputs!H:H,,0)</f>
        <v>#N/A</v>
      </c>
      <c r="I79" s="57" t="e">
        <f>_xlfn.XLOOKUP($A79,Inputs!$A:$A,Inputs!I:I,,0)</f>
        <v>#N/A</v>
      </c>
      <c r="J79" s="57" t="e">
        <f>_xlfn.XLOOKUP($A79,Inputs!$A:$A,Inputs!J:J,,0)</f>
        <v>#N/A</v>
      </c>
      <c r="K79" s="57" t="e">
        <f>_xlfn.XLOOKUP($A79,Inputs!$A:$A,Inputs!K:K,,0)</f>
        <v>#N/A</v>
      </c>
      <c r="L79" s="57" t="e">
        <f>_xlfn.XLOOKUP($A79,Inputs!$A:$A,Inputs!L:L,,0)</f>
        <v>#N/A</v>
      </c>
      <c r="M79" s="57" t="e">
        <f>_xlfn.XLOOKUP($A79,Inputs!$A:$A,Inputs!M:M,,0)</f>
        <v>#N/A</v>
      </c>
    </row>
    <row r="80" spans="1:235">
      <c r="A80" s="741" t="s">
        <v>29</v>
      </c>
      <c r="B80" s="57">
        <f>_xlfn.XLOOKUP($A80,Inputs!$A:$A,Inputs!B:B,,0)</f>
        <v>0</v>
      </c>
      <c r="C80" s="57" t="str">
        <f>_xlfn.XLOOKUP($A80,Inputs!$A:$A,Inputs!C:C,,0)</f>
        <v>Yahoo finance</v>
      </c>
      <c r="D80" s="57">
        <f>_xlfn.XLOOKUP($A80,Inputs!$A:$A,Inputs!D:D,,0)</f>
        <v>0</v>
      </c>
      <c r="E80" s="57">
        <f>_xlfn.XLOOKUP($A80,Inputs!$A:$A,Inputs!E:E,,0)</f>
        <v>0</v>
      </c>
      <c r="F80" s="57">
        <f>_xlfn.XLOOKUP($A80,Inputs!$A:$A,Inputs!F:F,,0)</f>
        <v>0</v>
      </c>
      <c r="G80" s="57">
        <f>_xlfn.XLOOKUP($A80,Inputs!$A:$A,Inputs!G:G,,0)</f>
        <v>0</v>
      </c>
      <c r="H80" s="57">
        <f>_xlfn.XLOOKUP($A80,Inputs!$A:$A,Inputs!H:H,,0)</f>
        <v>0</v>
      </c>
      <c r="I80" s="57">
        <f>_xlfn.XLOOKUP($A80,Inputs!$A:$A,Inputs!I:I,,0)</f>
        <v>0</v>
      </c>
      <c r="J80" s="57">
        <f>_xlfn.XLOOKUP($A80,Inputs!$A:$A,Inputs!J:J,,0)</f>
        <v>0</v>
      </c>
      <c r="K80" s="57">
        <f>_xlfn.XLOOKUP($A80,Inputs!$A:$A,Inputs!K:K,,0)</f>
        <v>0</v>
      </c>
      <c r="L80" s="57">
        <f>_xlfn.XLOOKUP($A80,Inputs!$A:$A,Inputs!L:L,,0)</f>
        <v>0</v>
      </c>
      <c r="M80" s="57">
        <f>_xlfn.XLOOKUP($A80,Inputs!$A:$A,Inputs!M:M,,0)</f>
        <v>0</v>
      </c>
    </row>
    <row r="81" spans="1:13">
      <c r="A81" s="745" t="s">
        <v>33</v>
      </c>
      <c r="B81" s="57">
        <f>_xlfn.XLOOKUP($A81,Inputs!$A:$A,Inputs!B:B,,0)</f>
        <v>0</v>
      </c>
      <c r="C81" s="57" t="str">
        <f>_xlfn.XLOOKUP($A81,Inputs!$A:$A,Inputs!C:C,,0)</f>
        <v>Yahoo finance</v>
      </c>
      <c r="D81" s="57">
        <f>_xlfn.XLOOKUP($A81,Inputs!$A:$A,Inputs!D:D,,0)</f>
        <v>0</v>
      </c>
      <c r="E81" s="57">
        <f>_xlfn.XLOOKUP($A81,Inputs!$A:$A,Inputs!E:E,,0)</f>
        <v>0</v>
      </c>
      <c r="F81" s="57">
        <f>_xlfn.XLOOKUP($A81,Inputs!$A:$A,Inputs!F:F,,0)</f>
        <v>0</v>
      </c>
      <c r="G81" s="57">
        <f>_xlfn.XLOOKUP($A81,Inputs!$A:$A,Inputs!G:G,,0)</f>
        <v>0</v>
      </c>
      <c r="H81" s="57">
        <f>_xlfn.XLOOKUP($A81,Inputs!$A:$A,Inputs!H:H,,0)</f>
        <v>0</v>
      </c>
      <c r="I81" s="57">
        <f>_xlfn.XLOOKUP($A81,Inputs!$A:$A,Inputs!I:I,,0)</f>
        <v>0</v>
      </c>
      <c r="J81" s="57">
        <f>_xlfn.XLOOKUP($A81,Inputs!$A:$A,Inputs!J:J,,0)</f>
        <v>0</v>
      </c>
      <c r="K81" s="57">
        <f>_xlfn.XLOOKUP($A81,Inputs!$A:$A,Inputs!K:K,,0)</f>
        <v>0</v>
      </c>
      <c r="L81" s="57">
        <f>_xlfn.XLOOKUP($A81,Inputs!$A:$A,Inputs!L:L,,0)</f>
        <v>0</v>
      </c>
      <c r="M81" s="57">
        <f>_xlfn.XLOOKUP($A81,Inputs!$A:$A,Inputs!M:M,,0)</f>
        <v>0</v>
      </c>
    </row>
    <row r="82" spans="1:13">
      <c r="A82" s="741" t="s">
        <v>480</v>
      </c>
      <c r="B82" s="57">
        <f>_xlfn.XLOOKUP($A82,Inputs!$A:$A,Inputs!B:B,,0)</f>
        <v>0</v>
      </c>
      <c r="C82" s="57" t="str">
        <f>_xlfn.XLOOKUP($A82,Inputs!$A:$A,Inputs!C:C,,0)</f>
        <v>10-K</v>
      </c>
      <c r="D82" s="57">
        <f>_xlfn.XLOOKUP($A82,Inputs!$A:$A,Inputs!D:D,,0)</f>
        <v>0</v>
      </c>
      <c r="E82" s="57">
        <f>_xlfn.XLOOKUP($A82,Inputs!$A:$A,Inputs!E:E,,0)</f>
        <v>0</v>
      </c>
      <c r="F82" s="57">
        <f>_xlfn.XLOOKUP($A82,Inputs!$A:$A,Inputs!F:F,,0)</f>
        <v>0</v>
      </c>
      <c r="G82" s="57">
        <f>_xlfn.XLOOKUP($A82,Inputs!$A:$A,Inputs!G:G,,0)</f>
        <v>0</v>
      </c>
      <c r="H82" s="57">
        <f>_xlfn.XLOOKUP($A82,Inputs!$A:$A,Inputs!H:H,,0)</f>
        <v>0</v>
      </c>
      <c r="I82" s="57">
        <f>_xlfn.XLOOKUP($A82,Inputs!$A:$A,Inputs!I:I,,0)</f>
        <v>0</v>
      </c>
      <c r="J82" s="57">
        <f>_xlfn.XLOOKUP($A82,Inputs!$A:$A,Inputs!J:J,,0)</f>
        <v>0</v>
      </c>
      <c r="K82" s="57">
        <f>_xlfn.XLOOKUP($A82,Inputs!$A:$A,Inputs!K:K,,0)</f>
        <v>0</v>
      </c>
      <c r="L82" s="57">
        <f>_xlfn.XLOOKUP($A82,Inputs!$A:$A,Inputs!L:L,,0)</f>
        <v>0</v>
      </c>
      <c r="M82" s="57">
        <f>_xlfn.XLOOKUP($A82,Inputs!$A:$A,Inputs!M:M,,0)</f>
        <v>0</v>
      </c>
    </row>
    <row r="83" spans="1:13">
      <c r="A83" s="741" t="s">
        <v>481</v>
      </c>
      <c r="B83" s="57" t="e">
        <f>_xlfn.XLOOKUP($A83,Inputs!$A:$A,Inputs!B:B,,0)</f>
        <v>#N/A</v>
      </c>
      <c r="C83" s="57" t="e">
        <f>_xlfn.XLOOKUP($A83,Inputs!$A:$A,Inputs!C:C,,0)</f>
        <v>#N/A</v>
      </c>
      <c r="D83" s="57" t="e">
        <f>_xlfn.XLOOKUP($A83,Inputs!$A:$A,Inputs!D:D,,0)</f>
        <v>#N/A</v>
      </c>
      <c r="E83" s="57" t="e">
        <f>_xlfn.XLOOKUP($A83,Inputs!$A:$A,Inputs!E:E,,0)</f>
        <v>#N/A</v>
      </c>
      <c r="F83" s="57" t="e">
        <f>_xlfn.XLOOKUP($A83,Inputs!$A:$A,Inputs!F:F,,0)</f>
        <v>#N/A</v>
      </c>
      <c r="G83" s="57" t="e">
        <f>_xlfn.XLOOKUP($A83,Inputs!$A:$A,Inputs!G:G,,0)</f>
        <v>#N/A</v>
      </c>
      <c r="H83" s="57" t="e">
        <f>_xlfn.XLOOKUP($A83,Inputs!$A:$A,Inputs!H:H,,0)</f>
        <v>#N/A</v>
      </c>
      <c r="I83" s="57" t="e">
        <f>_xlfn.XLOOKUP($A83,Inputs!$A:$A,Inputs!I:I,,0)</f>
        <v>#N/A</v>
      </c>
      <c r="J83" s="57" t="e">
        <f>_xlfn.XLOOKUP($A83,Inputs!$A:$A,Inputs!J:J,,0)</f>
        <v>#N/A</v>
      </c>
      <c r="K83" s="57" t="e">
        <f>_xlfn.XLOOKUP($A83,Inputs!$A:$A,Inputs!K:K,,0)</f>
        <v>#N/A</v>
      </c>
      <c r="L83" s="57" t="e">
        <f>_xlfn.XLOOKUP($A83,Inputs!$A:$A,Inputs!L:L,,0)</f>
        <v>#N/A</v>
      </c>
      <c r="M83" s="57" t="e">
        <f>_xlfn.XLOOKUP($A83,Inputs!$A:$A,Inputs!M:M,,0)</f>
        <v>#N/A</v>
      </c>
    </row>
    <row r="84" spans="1:13">
      <c r="A84" s="745" t="s">
        <v>482</v>
      </c>
      <c r="B84" s="57">
        <f>_xlfn.XLOOKUP($A84,Inputs!$A:$A,Inputs!B:B,,0)</f>
        <v>0</v>
      </c>
      <c r="C84" s="57" t="str">
        <f>_xlfn.XLOOKUP($A84,Inputs!$A:$A,Inputs!C:C,,0)</f>
        <v>Yahoo Finance</v>
      </c>
      <c r="D84" s="57">
        <f>_xlfn.XLOOKUP($A84,Inputs!$A:$A,Inputs!D:D,,0)</f>
        <v>0</v>
      </c>
      <c r="E84" s="57">
        <f>_xlfn.XLOOKUP($A84,Inputs!$A:$A,Inputs!E:E,,0)</f>
        <v>0</v>
      </c>
      <c r="F84" s="57">
        <f>_xlfn.XLOOKUP($A84,Inputs!$A:$A,Inputs!F:F,,0)</f>
        <v>0</v>
      </c>
      <c r="G84" s="57">
        <f>_xlfn.XLOOKUP($A84,Inputs!$A:$A,Inputs!G:G,,0)</f>
        <v>0</v>
      </c>
      <c r="H84" s="57">
        <f>_xlfn.XLOOKUP($A84,Inputs!$A:$A,Inputs!H:H,,0)</f>
        <v>0</v>
      </c>
      <c r="I84" s="57">
        <f>_xlfn.XLOOKUP($A84,Inputs!$A:$A,Inputs!I:I,,0)</f>
        <v>0</v>
      </c>
      <c r="J84" s="57">
        <f>_xlfn.XLOOKUP($A84,Inputs!$A:$A,Inputs!J:J,,0)</f>
        <v>0</v>
      </c>
      <c r="K84" s="57">
        <f>_xlfn.XLOOKUP($A84,Inputs!$A:$A,Inputs!K:K,,0)</f>
        <v>0</v>
      </c>
      <c r="L84" s="57">
        <f>_xlfn.XLOOKUP($A84,Inputs!$A:$A,Inputs!L:L,,0)</f>
        <v>0</v>
      </c>
      <c r="M84" s="57">
        <f>_xlfn.XLOOKUP($A84,Inputs!$A:$A,Inputs!M:M,,0)</f>
        <v>0</v>
      </c>
    </row>
    <row r="85" spans="1:13">
      <c r="A85"/>
      <c r="B85" s="48"/>
      <c r="C85" s="48"/>
      <c r="D85" s="48"/>
      <c r="E85" s="48"/>
      <c r="F85" s="48"/>
      <c r="G85" s="48"/>
      <c r="H85" s="48"/>
      <c r="I85" s="48"/>
      <c r="J85" s="48"/>
      <c r="K85" s="48"/>
      <c r="L85" s="48"/>
      <c r="M85" s="48"/>
    </row>
    <row r="86" spans="1:13">
      <c r="A86"/>
      <c r="B86" s="47">
        <v>2020</v>
      </c>
      <c r="C86" s="47">
        <v>2021</v>
      </c>
      <c r="D86" s="47">
        <v>2022</v>
      </c>
      <c r="G86" s="47"/>
      <c r="H86" s="48"/>
      <c r="I86" s="48"/>
      <c r="J86" s="48"/>
      <c r="K86" s="48"/>
      <c r="L86" s="48"/>
      <c r="M86" s="48"/>
    </row>
    <row r="87" spans="1:13">
      <c r="A87" s="741" t="s">
        <v>483</v>
      </c>
      <c r="B87" s="61">
        <v>0</v>
      </c>
      <c r="C87" s="61">
        <v>0</v>
      </c>
      <c r="D87" s="62">
        <v>0</v>
      </c>
      <c r="G87" s="48"/>
      <c r="H87" s="48"/>
      <c r="I87" s="48"/>
      <c r="J87" s="48"/>
      <c r="K87" s="48"/>
      <c r="L87" s="48"/>
      <c r="M87" s="48"/>
    </row>
    <row r="88" spans="1:13">
      <c r="A88" s="745" t="s">
        <v>484</v>
      </c>
      <c r="B88" s="61">
        <v>0</v>
      </c>
      <c r="C88" s="61">
        <v>0</v>
      </c>
      <c r="D88" s="62">
        <v>0</v>
      </c>
    </row>
    <row r="89" spans="1:13">
      <c r="A89"/>
    </row>
    <row r="90" spans="1:13">
      <c r="A90" s="14" t="s">
        <v>485</v>
      </c>
      <c r="B90" s="47" t="s">
        <v>486</v>
      </c>
      <c r="C90" s="47" t="s">
        <v>487</v>
      </c>
      <c r="D90" s="47" t="s">
        <v>488</v>
      </c>
      <c r="E90" s="47" t="s">
        <v>489</v>
      </c>
      <c r="G90" s="47"/>
    </row>
    <row r="91" spans="1:13">
      <c r="A91"/>
      <c r="B91" s="64" t="e">
        <f>VLOOKUP($A91,Inputs!$A$5:$M$98,MATCH(B$4,Inputs!$B$5:$M$5,0)+1,FALSE)</f>
        <v>#REF!</v>
      </c>
      <c r="C91" s="64" t="e">
        <f>VLOOKUP($A91,Inputs!$A$5:$M$98,MATCH(C$4,Inputs!$B$5:$M$5,0)+1,FALSE)</f>
        <v>#REF!</v>
      </c>
      <c r="D91" s="64" t="e">
        <f>VLOOKUP($A91,Inputs!$A$5:$M$98,MATCH(D$4,Inputs!$B$5:$M$5,0)+1,FALSE)</f>
        <v>#REF!</v>
      </c>
      <c r="E91" s="64" t="e">
        <f>VLOOKUP($A91,Inputs!$A$5:$M$98,MATCH(E$4,Inputs!$B$5:$M$5,0)+1,FALSE)</f>
        <v>#REF!</v>
      </c>
    </row>
    <row r="92" spans="1:13">
      <c r="A92"/>
      <c r="B92" s="65"/>
      <c r="C92" s="65"/>
      <c r="D92" s="2"/>
      <c r="E92" s="65"/>
      <c r="F92" s="2"/>
    </row>
    <row r="93" spans="1:13">
      <c r="A93"/>
      <c r="B93" s="65"/>
      <c r="C93" s="65"/>
      <c r="D93" s="2"/>
      <c r="E93" s="65"/>
      <c r="F93" s="2"/>
    </row>
    <row r="94" spans="1:13">
      <c r="A94"/>
      <c r="B94" s="65"/>
      <c r="C94" s="65"/>
      <c r="D94" s="2"/>
      <c r="E94" s="65"/>
      <c r="F94" s="2"/>
    </row>
    <row r="95" spans="1:13">
      <c r="A95"/>
      <c r="B95" s="65"/>
      <c r="C95" s="65"/>
      <c r="D95" s="2"/>
      <c r="E95" s="65"/>
      <c r="F95" s="2"/>
    </row>
    <row r="96" spans="1:13">
      <c r="A96"/>
      <c r="B96" s="65"/>
      <c r="C96" s="65"/>
      <c r="D96" s="2"/>
      <c r="E96" s="65"/>
      <c r="F96" s="2"/>
    </row>
    <row r="97" spans="1:6">
      <c r="A97"/>
      <c r="B97" s="65"/>
      <c r="C97" s="65"/>
      <c r="D97" s="2"/>
      <c r="E97" s="65"/>
      <c r="F97" s="2"/>
    </row>
    <row r="98" spans="1:6">
      <c r="A98"/>
      <c r="B98" s="65"/>
      <c r="C98" s="65"/>
      <c r="D98" s="2"/>
      <c r="E98" s="65"/>
      <c r="F98" s="2"/>
    </row>
    <row r="99" spans="1:6">
      <c r="A99"/>
      <c r="B99" s="65"/>
      <c r="C99" s="65"/>
      <c r="D99" s="2"/>
      <c r="E99" s="65"/>
      <c r="F99" s="2"/>
    </row>
  </sheetData>
  <mergeCells count="7">
    <mergeCell ref="A77:M77"/>
    <mergeCell ref="A1:M1"/>
    <mergeCell ref="A2:M2"/>
    <mergeCell ref="A3:M3"/>
    <mergeCell ref="A38:M38"/>
    <mergeCell ref="A47:M47"/>
    <mergeCell ref="A66:M66"/>
  </mergeCells>
  <pageMargins left="0.7" right="0.7" top="0.75" bottom="0.75" header="0.3" footer="0.3"/>
  <pageSetup paperSize="9" orientation="portrait" horizontalDpi="4294967293" verticalDpi="0"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BBE39-AA8C-416A-BD40-1FFD3C1649A8}">
  <dimension ref="B2:AA128"/>
  <sheetViews>
    <sheetView topLeftCell="J1" workbookViewId="0"/>
  </sheetViews>
  <sheetFormatPr defaultColWidth="8.85546875" defaultRowHeight="13.15"/>
  <cols>
    <col min="1" max="9" width="0" hidden="1" customWidth="1"/>
    <col min="11" max="11" width="21.85546875" bestFit="1" customWidth="1"/>
  </cols>
  <sheetData>
    <row r="2" spans="2:27">
      <c r="E2" s="11" t="s">
        <v>490</v>
      </c>
      <c r="F2" s="11" t="s">
        <v>491</v>
      </c>
      <c r="H2" s="11" t="s">
        <v>276</v>
      </c>
      <c r="K2" s="1043" t="s">
        <v>490</v>
      </c>
      <c r="L2" s="1045" t="s">
        <v>492</v>
      </c>
      <c r="M2" s="1046"/>
      <c r="N2" s="1046"/>
      <c r="O2" s="1046"/>
      <c r="P2" s="1047"/>
      <c r="Q2" s="1046" t="s">
        <v>273</v>
      </c>
      <c r="R2" s="1046"/>
      <c r="S2" s="1046"/>
      <c r="T2" s="1046"/>
      <c r="U2" s="1046"/>
      <c r="V2" s="1046"/>
      <c r="W2" s="1046"/>
      <c r="X2" s="1046"/>
      <c r="Y2" s="1046"/>
      <c r="Z2" s="1046"/>
      <c r="AA2" s="1047"/>
    </row>
    <row r="3" spans="2:27">
      <c r="E3" t="s">
        <v>493</v>
      </c>
      <c r="F3" t="s">
        <v>494</v>
      </c>
      <c r="H3" s="11" t="s">
        <v>267</v>
      </c>
      <c r="K3" s="1044"/>
      <c r="L3" s="74" t="s">
        <v>495</v>
      </c>
      <c r="M3" s="91" t="s">
        <v>496</v>
      </c>
      <c r="N3" s="91" t="s">
        <v>497</v>
      </c>
      <c r="O3" s="91" t="s">
        <v>498</v>
      </c>
      <c r="P3" s="92" t="s">
        <v>499</v>
      </c>
      <c r="Q3" s="91" t="s">
        <v>500</v>
      </c>
      <c r="R3" s="91" t="s">
        <v>501</v>
      </c>
      <c r="S3" s="91" t="s">
        <v>281</v>
      </c>
      <c r="T3" s="91" t="s">
        <v>502</v>
      </c>
      <c r="U3" s="91" t="s">
        <v>503</v>
      </c>
      <c r="V3" s="91" t="s">
        <v>504</v>
      </c>
      <c r="W3" s="91" t="s">
        <v>505</v>
      </c>
      <c r="X3" s="91" t="s">
        <v>506</v>
      </c>
      <c r="Y3" s="91" t="s">
        <v>507</v>
      </c>
      <c r="Z3" s="91" t="s">
        <v>508</v>
      </c>
      <c r="AA3" s="92" t="s">
        <v>299</v>
      </c>
    </row>
    <row r="4" spans="2:27">
      <c r="B4" s="75"/>
      <c r="E4" t="s">
        <v>493</v>
      </c>
      <c r="F4" t="s">
        <v>509</v>
      </c>
      <c r="H4" s="11" t="s">
        <v>312</v>
      </c>
      <c r="K4" s="93" t="s">
        <v>493</v>
      </c>
      <c r="L4" s="94" t="s">
        <v>276</v>
      </c>
      <c r="M4" t="s">
        <v>276</v>
      </c>
      <c r="N4" t="s">
        <v>267</v>
      </c>
      <c r="O4" t="s">
        <v>276</v>
      </c>
      <c r="P4" s="95" t="s">
        <v>276</v>
      </c>
      <c r="Q4" t="s">
        <v>267</v>
      </c>
      <c r="R4" t="s">
        <v>267</v>
      </c>
      <c r="S4" t="s">
        <v>276</v>
      </c>
      <c r="T4" t="s">
        <v>276</v>
      </c>
      <c r="U4" t="s">
        <v>312</v>
      </c>
      <c r="V4" t="s">
        <v>276</v>
      </c>
      <c r="W4" t="s">
        <v>276</v>
      </c>
      <c r="X4" t="s">
        <v>276</v>
      </c>
      <c r="Y4" t="s">
        <v>276</v>
      </c>
      <c r="Z4" t="s">
        <v>276</v>
      </c>
      <c r="AA4" s="95" t="s">
        <v>267</v>
      </c>
    </row>
    <row r="5" spans="2:27" ht="13.9">
      <c r="B5" s="87" t="s">
        <v>253</v>
      </c>
      <c r="E5" t="s">
        <v>493</v>
      </c>
      <c r="F5" t="s">
        <v>510</v>
      </c>
      <c r="H5" s="11" t="s">
        <v>511</v>
      </c>
      <c r="K5" s="93" t="s">
        <v>239</v>
      </c>
      <c r="L5" s="94" t="s">
        <v>276</v>
      </c>
      <c r="M5" t="s">
        <v>276</v>
      </c>
      <c r="N5" t="s">
        <v>267</v>
      </c>
      <c r="O5" t="s">
        <v>267</v>
      </c>
      <c r="P5" s="95" t="s">
        <v>276</v>
      </c>
      <c r="Q5" t="s">
        <v>267</v>
      </c>
      <c r="R5" t="s">
        <v>267</v>
      </c>
      <c r="S5" t="s">
        <v>276</v>
      </c>
      <c r="T5" t="s">
        <v>276</v>
      </c>
      <c r="U5" t="s">
        <v>267</v>
      </c>
      <c r="V5" t="s">
        <v>267</v>
      </c>
      <c r="W5" t="s">
        <v>267</v>
      </c>
      <c r="X5" t="s">
        <v>312</v>
      </c>
      <c r="Y5" t="s">
        <v>276</v>
      </c>
      <c r="Z5" t="s">
        <v>312</v>
      </c>
      <c r="AA5" s="95" t="s">
        <v>276</v>
      </c>
    </row>
    <row r="6" spans="2:27">
      <c r="B6" s="89" t="s">
        <v>512</v>
      </c>
      <c r="E6" t="s">
        <v>493</v>
      </c>
      <c r="F6" t="s">
        <v>513</v>
      </c>
      <c r="K6" s="93" t="s">
        <v>514</v>
      </c>
      <c r="L6" s="94" t="s">
        <v>312</v>
      </c>
      <c r="M6" t="s">
        <v>511</v>
      </c>
      <c r="N6" t="s">
        <v>312</v>
      </c>
      <c r="O6" t="s">
        <v>312</v>
      </c>
      <c r="P6" s="95" t="s">
        <v>312</v>
      </c>
      <c r="Q6" t="s">
        <v>267</v>
      </c>
      <c r="R6" t="s">
        <v>312</v>
      </c>
      <c r="S6" t="s">
        <v>312</v>
      </c>
      <c r="T6" t="s">
        <v>276</v>
      </c>
      <c r="U6" t="s">
        <v>267</v>
      </c>
      <c r="V6" t="s">
        <v>267</v>
      </c>
      <c r="W6" t="s">
        <v>276</v>
      </c>
      <c r="X6" t="s">
        <v>312</v>
      </c>
      <c r="Y6" t="s">
        <v>276</v>
      </c>
      <c r="Z6" t="s">
        <v>511</v>
      </c>
      <c r="AA6" s="95" t="s">
        <v>276</v>
      </c>
    </row>
    <row r="7" spans="2:27">
      <c r="B7" s="89" t="s">
        <v>515</v>
      </c>
      <c r="E7" t="s">
        <v>493</v>
      </c>
      <c r="F7" t="s">
        <v>516</v>
      </c>
      <c r="K7" s="93" t="s">
        <v>497</v>
      </c>
      <c r="L7" s="94" t="s">
        <v>511</v>
      </c>
      <c r="M7" t="s">
        <v>511</v>
      </c>
      <c r="N7" t="s">
        <v>267</v>
      </c>
      <c r="O7" t="s">
        <v>511</v>
      </c>
      <c r="P7" s="95" t="s">
        <v>312</v>
      </c>
      <c r="Q7" t="s">
        <v>312</v>
      </c>
      <c r="R7" t="s">
        <v>267</v>
      </c>
      <c r="S7" t="s">
        <v>267</v>
      </c>
      <c r="T7" t="s">
        <v>267</v>
      </c>
      <c r="U7" t="s">
        <v>267</v>
      </c>
      <c r="V7" t="s">
        <v>312</v>
      </c>
      <c r="W7" t="s">
        <v>267</v>
      </c>
      <c r="X7" t="s">
        <v>267</v>
      </c>
      <c r="Y7" t="s">
        <v>312</v>
      </c>
      <c r="Z7" t="s">
        <v>312</v>
      </c>
      <c r="AA7" s="95" t="s">
        <v>276</v>
      </c>
    </row>
    <row r="8" spans="2:27">
      <c r="B8" s="89"/>
      <c r="K8" s="93" t="s">
        <v>517</v>
      </c>
      <c r="L8" s="94" t="s">
        <v>276</v>
      </c>
      <c r="M8" t="s">
        <v>276</v>
      </c>
      <c r="N8" t="s">
        <v>276</v>
      </c>
      <c r="O8" t="s">
        <v>267</v>
      </c>
      <c r="P8" s="95" t="s">
        <v>267</v>
      </c>
      <c r="Q8" t="s">
        <v>276</v>
      </c>
      <c r="R8" t="s">
        <v>267</v>
      </c>
      <c r="S8" t="s">
        <v>267</v>
      </c>
      <c r="T8" t="s">
        <v>312</v>
      </c>
      <c r="U8" t="s">
        <v>267</v>
      </c>
      <c r="V8" t="s">
        <v>276</v>
      </c>
      <c r="W8" t="s">
        <v>276</v>
      </c>
      <c r="X8" t="s">
        <v>267</v>
      </c>
      <c r="Y8" t="s">
        <v>267</v>
      </c>
      <c r="Z8" t="s">
        <v>312</v>
      </c>
      <c r="AA8" s="95" t="s">
        <v>276</v>
      </c>
    </row>
    <row r="9" spans="2:27">
      <c r="B9" s="89" t="s">
        <v>261</v>
      </c>
      <c r="E9" t="s">
        <v>493</v>
      </c>
      <c r="F9" t="s">
        <v>518</v>
      </c>
      <c r="K9" s="93" t="s">
        <v>519</v>
      </c>
      <c r="L9" s="94" t="s">
        <v>276</v>
      </c>
      <c r="M9" t="s">
        <v>276</v>
      </c>
      <c r="N9" t="s">
        <v>276</v>
      </c>
      <c r="O9" t="s">
        <v>276</v>
      </c>
      <c r="P9" s="95" t="s">
        <v>276</v>
      </c>
      <c r="Q9" t="s">
        <v>276</v>
      </c>
      <c r="R9" t="s">
        <v>276</v>
      </c>
      <c r="S9" t="s">
        <v>267</v>
      </c>
      <c r="T9" t="s">
        <v>312</v>
      </c>
      <c r="U9" t="s">
        <v>267</v>
      </c>
      <c r="V9" t="s">
        <v>276</v>
      </c>
      <c r="W9" t="s">
        <v>276</v>
      </c>
      <c r="X9" t="s">
        <v>276</v>
      </c>
      <c r="Y9" t="s">
        <v>276</v>
      </c>
      <c r="Z9" t="s">
        <v>267</v>
      </c>
      <c r="AA9" s="95" t="s">
        <v>276</v>
      </c>
    </row>
    <row r="10" spans="2:27">
      <c r="B10" s="89"/>
      <c r="K10" s="93" t="s">
        <v>520</v>
      </c>
      <c r="L10" s="94" t="s">
        <v>276</v>
      </c>
      <c r="M10" t="s">
        <v>267</v>
      </c>
      <c r="N10" t="s">
        <v>276</v>
      </c>
      <c r="O10" t="s">
        <v>267</v>
      </c>
      <c r="P10" s="95" t="s">
        <v>312</v>
      </c>
      <c r="Q10" t="s">
        <v>276</v>
      </c>
      <c r="R10" t="s">
        <v>276</v>
      </c>
      <c r="S10" t="s">
        <v>276</v>
      </c>
      <c r="T10" t="s">
        <v>276</v>
      </c>
      <c r="U10" t="s">
        <v>276</v>
      </c>
      <c r="V10" t="s">
        <v>276</v>
      </c>
      <c r="W10" t="s">
        <v>276</v>
      </c>
      <c r="X10" t="s">
        <v>276</v>
      </c>
      <c r="Y10" t="s">
        <v>267</v>
      </c>
      <c r="Z10" t="s">
        <v>276</v>
      </c>
      <c r="AA10" s="95" t="s">
        <v>276</v>
      </c>
    </row>
    <row r="11" spans="2:27">
      <c r="B11" s="89" t="s">
        <v>266</v>
      </c>
      <c r="E11" t="s">
        <v>493</v>
      </c>
      <c r="F11" t="s">
        <v>521</v>
      </c>
      <c r="K11" s="93" t="s">
        <v>522</v>
      </c>
      <c r="L11" s="94" t="s">
        <v>276</v>
      </c>
      <c r="M11" t="s">
        <v>267</v>
      </c>
      <c r="N11" t="s">
        <v>276</v>
      </c>
      <c r="O11" t="s">
        <v>276</v>
      </c>
      <c r="P11" s="95" t="s">
        <v>276</v>
      </c>
      <c r="Q11" t="s">
        <v>276</v>
      </c>
      <c r="R11" t="s">
        <v>276</v>
      </c>
      <c r="S11" t="s">
        <v>267</v>
      </c>
      <c r="T11" t="s">
        <v>276</v>
      </c>
      <c r="U11" t="s">
        <v>312</v>
      </c>
      <c r="V11" t="s">
        <v>276</v>
      </c>
      <c r="W11" t="s">
        <v>276</v>
      </c>
      <c r="X11" t="s">
        <v>276</v>
      </c>
      <c r="Y11" t="s">
        <v>276</v>
      </c>
      <c r="Z11" t="s">
        <v>276</v>
      </c>
      <c r="AA11" s="95" t="s">
        <v>276</v>
      </c>
    </row>
    <row r="12" spans="2:27">
      <c r="B12" s="88" t="s">
        <v>523</v>
      </c>
      <c r="E12" t="s">
        <v>493</v>
      </c>
      <c r="F12" t="s">
        <v>524</v>
      </c>
      <c r="K12" s="93" t="s">
        <v>525</v>
      </c>
      <c r="L12" s="94" t="s">
        <v>511</v>
      </c>
      <c r="M12" t="s">
        <v>511</v>
      </c>
      <c r="N12" t="s">
        <v>511</v>
      </c>
      <c r="O12" t="s">
        <v>312</v>
      </c>
      <c r="P12" s="95" t="s">
        <v>312</v>
      </c>
      <c r="Q12" t="s">
        <v>276</v>
      </c>
      <c r="R12" t="s">
        <v>267</v>
      </c>
      <c r="S12" t="s">
        <v>312</v>
      </c>
      <c r="T12" t="s">
        <v>511</v>
      </c>
      <c r="U12" t="s">
        <v>267</v>
      </c>
      <c r="V12" t="s">
        <v>511</v>
      </c>
      <c r="W12" t="s">
        <v>267</v>
      </c>
      <c r="X12" t="s">
        <v>511</v>
      </c>
      <c r="Y12" t="s">
        <v>511</v>
      </c>
      <c r="Z12" t="s">
        <v>511</v>
      </c>
      <c r="AA12" s="95" t="s">
        <v>312</v>
      </c>
    </row>
    <row r="13" spans="2:27" ht="13.9">
      <c r="B13" s="87" t="s">
        <v>273</v>
      </c>
      <c r="E13" t="s">
        <v>493</v>
      </c>
      <c r="F13" t="s">
        <v>526</v>
      </c>
      <c r="K13" s="93" t="s">
        <v>527</v>
      </c>
      <c r="L13" s="94" t="s">
        <v>267</v>
      </c>
      <c r="M13" t="s">
        <v>276</v>
      </c>
      <c r="N13" t="s">
        <v>312</v>
      </c>
      <c r="O13" t="s">
        <v>276</v>
      </c>
      <c r="P13" s="95" t="s">
        <v>276</v>
      </c>
      <c r="Q13" t="s">
        <v>276</v>
      </c>
      <c r="R13" t="s">
        <v>276</v>
      </c>
      <c r="S13" t="s">
        <v>276</v>
      </c>
      <c r="T13" t="s">
        <v>276</v>
      </c>
      <c r="U13" t="s">
        <v>312</v>
      </c>
      <c r="V13" t="s">
        <v>276</v>
      </c>
      <c r="W13" t="s">
        <v>276</v>
      </c>
      <c r="X13" t="s">
        <v>276</v>
      </c>
      <c r="Y13" t="s">
        <v>276</v>
      </c>
      <c r="Z13" t="s">
        <v>267</v>
      </c>
      <c r="AA13" s="95" t="s">
        <v>511</v>
      </c>
    </row>
    <row r="14" spans="2:27">
      <c r="B14" s="79" t="s">
        <v>528</v>
      </c>
      <c r="E14" t="s">
        <v>493</v>
      </c>
      <c r="F14" t="s">
        <v>529</v>
      </c>
      <c r="K14" s="93" t="s">
        <v>530</v>
      </c>
      <c r="L14" s="94" t="s">
        <v>511</v>
      </c>
      <c r="M14" t="s">
        <v>511</v>
      </c>
      <c r="N14" t="s">
        <v>511</v>
      </c>
      <c r="O14" t="s">
        <v>511</v>
      </c>
      <c r="P14" s="95" t="s">
        <v>312</v>
      </c>
      <c r="Q14" t="s">
        <v>312</v>
      </c>
      <c r="R14" t="s">
        <v>312</v>
      </c>
      <c r="S14" t="s">
        <v>267</v>
      </c>
      <c r="T14" t="s">
        <v>312</v>
      </c>
      <c r="U14" t="s">
        <v>276</v>
      </c>
      <c r="V14" t="s">
        <v>511</v>
      </c>
      <c r="W14" t="s">
        <v>267</v>
      </c>
      <c r="X14" t="s">
        <v>267</v>
      </c>
      <c r="Y14" t="s">
        <v>511</v>
      </c>
      <c r="Z14" t="s">
        <v>312</v>
      </c>
      <c r="AA14" s="95" t="s">
        <v>267</v>
      </c>
    </row>
    <row r="15" spans="2:27">
      <c r="B15" s="79" t="s">
        <v>531</v>
      </c>
      <c r="E15" t="s">
        <v>239</v>
      </c>
      <c r="F15" t="s">
        <v>532</v>
      </c>
      <c r="K15" s="93" t="s">
        <v>533</v>
      </c>
      <c r="L15" s="94" t="s">
        <v>276</v>
      </c>
      <c r="M15" t="s">
        <v>276</v>
      </c>
      <c r="N15" t="s">
        <v>267</v>
      </c>
      <c r="O15" t="s">
        <v>276</v>
      </c>
      <c r="P15" s="95" t="s">
        <v>276</v>
      </c>
      <c r="Q15" t="s">
        <v>267</v>
      </c>
      <c r="R15" t="s">
        <v>276</v>
      </c>
      <c r="S15" t="s">
        <v>276</v>
      </c>
      <c r="T15" t="s">
        <v>276</v>
      </c>
      <c r="U15" t="s">
        <v>312</v>
      </c>
      <c r="V15" t="s">
        <v>276</v>
      </c>
      <c r="W15" t="s">
        <v>267</v>
      </c>
      <c r="X15" t="s">
        <v>276</v>
      </c>
      <c r="Y15" t="s">
        <v>267</v>
      </c>
      <c r="Z15" t="s">
        <v>276</v>
      </c>
      <c r="AA15" s="95" t="s">
        <v>276</v>
      </c>
    </row>
    <row r="16" spans="2:27">
      <c r="B16" s="82" t="s">
        <v>534</v>
      </c>
      <c r="E16" t="s">
        <v>239</v>
      </c>
      <c r="F16" t="s">
        <v>535</v>
      </c>
      <c r="K16" s="96" t="s">
        <v>536</v>
      </c>
      <c r="L16" s="97" t="s">
        <v>511</v>
      </c>
      <c r="M16" s="98" t="s">
        <v>312</v>
      </c>
      <c r="N16" s="98" t="s">
        <v>312</v>
      </c>
      <c r="O16" s="98" t="s">
        <v>267</v>
      </c>
      <c r="P16" s="99" t="s">
        <v>312</v>
      </c>
      <c r="Q16" s="98" t="s">
        <v>276</v>
      </c>
      <c r="R16" s="98" t="s">
        <v>267</v>
      </c>
      <c r="S16" s="98" t="s">
        <v>267</v>
      </c>
      <c r="T16" s="98" t="s">
        <v>276</v>
      </c>
      <c r="U16" s="98" t="s">
        <v>267</v>
      </c>
      <c r="V16" s="98" t="s">
        <v>267</v>
      </c>
      <c r="W16" s="98" t="s">
        <v>267</v>
      </c>
      <c r="X16" s="98" t="s">
        <v>267</v>
      </c>
      <c r="Y16" s="98" t="s">
        <v>276</v>
      </c>
      <c r="Z16" s="98" t="s">
        <v>267</v>
      </c>
      <c r="AA16" s="99" t="s">
        <v>276</v>
      </c>
    </row>
    <row r="17" spans="2:22">
      <c r="B17" s="82" t="s">
        <v>537</v>
      </c>
      <c r="E17" t="s">
        <v>239</v>
      </c>
      <c r="F17" t="s">
        <v>538</v>
      </c>
    </row>
    <row r="18" spans="2:22" hidden="1">
      <c r="B18" s="79" t="s">
        <v>539</v>
      </c>
      <c r="E18" t="s">
        <v>239</v>
      </c>
      <c r="F18" t="s">
        <v>540</v>
      </c>
    </row>
    <row r="19" spans="2:22" hidden="1">
      <c r="B19" s="79" t="s">
        <v>541</v>
      </c>
      <c r="E19" t="s">
        <v>239</v>
      </c>
      <c r="F19" t="s">
        <v>542</v>
      </c>
      <c r="L19" s="100" t="s">
        <v>493</v>
      </c>
      <c r="M19" s="101" t="s">
        <v>239</v>
      </c>
      <c r="N19" s="101" t="s">
        <v>514</v>
      </c>
      <c r="O19" s="101" t="s">
        <v>497</v>
      </c>
      <c r="P19" s="101" t="s">
        <v>519</v>
      </c>
      <c r="Q19" s="101" t="s">
        <v>522</v>
      </c>
      <c r="R19" s="101" t="s">
        <v>525</v>
      </c>
      <c r="S19" s="101" t="s">
        <v>527</v>
      </c>
      <c r="T19" s="101" t="s">
        <v>530</v>
      </c>
      <c r="U19" s="101" t="s">
        <v>533</v>
      </c>
      <c r="V19" s="102" t="s">
        <v>536</v>
      </c>
    </row>
    <row r="20" spans="2:22" hidden="1">
      <c r="B20" s="79" t="s">
        <v>292</v>
      </c>
      <c r="E20" t="s">
        <v>239</v>
      </c>
      <c r="F20" t="s">
        <v>543</v>
      </c>
      <c r="L20" s="94" t="s">
        <v>494</v>
      </c>
      <c r="M20" t="s">
        <v>532</v>
      </c>
      <c r="N20" t="s">
        <v>544</v>
      </c>
      <c r="O20" t="s">
        <v>545</v>
      </c>
      <c r="P20" t="s">
        <v>546</v>
      </c>
      <c r="Q20" t="s">
        <v>547</v>
      </c>
      <c r="R20" t="s">
        <v>548</v>
      </c>
      <c r="S20" t="s">
        <v>549</v>
      </c>
      <c r="T20" t="s">
        <v>550</v>
      </c>
      <c r="U20" t="s">
        <v>551</v>
      </c>
      <c r="V20" s="95" t="s">
        <v>552</v>
      </c>
    </row>
    <row r="21" spans="2:22" hidden="1">
      <c r="B21" s="79" t="s">
        <v>294</v>
      </c>
      <c r="E21" t="s">
        <v>239</v>
      </c>
      <c r="F21" t="s">
        <v>553</v>
      </c>
      <c r="L21" s="94" t="s">
        <v>509</v>
      </c>
      <c r="M21" t="s">
        <v>535</v>
      </c>
      <c r="N21" t="s">
        <v>554</v>
      </c>
      <c r="O21" t="s">
        <v>555</v>
      </c>
      <c r="P21" t="s">
        <v>556</v>
      </c>
      <c r="Q21" t="s">
        <v>557</v>
      </c>
      <c r="R21" t="s">
        <v>558</v>
      </c>
      <c r="S21" t="s">
        <v>559</v>
      </c>
      <c r="T21" t="s">
        <v>560</v>
      </c>
      <c r="U21" t="s">
        <v>561</v>
      </c>
      <c r="V21" s="95" t="s">
        <v>562</v>
      </c>
    </row>
    <row r="22" spans="2:22" hidden="1">
      <c r="B22" s="79" t="s">
        <v>296</v>
      </c>
      <c r="E22" t="s">
        <v>239</v>
      </c>
      <c r="F22" t="s">
        <v>563</v>
      </c>
      <c r="L22" s="94" t="s">
        <v>510</v>
      </c>
      <c r="M22" t="s">
        <v>538</v>
      </c>
      <c r="N22" t="s">
        <v>564</v>
      </c>
      <c r="O22" t="s">
        <v>565</v>
      </c>
      <c r="P22" t="s">
        <v>566</v>
      </c>
      <c r="Q22" t="s">
        <v>567</v>
      </c>
      <c r="R22" t="s">
        <v>568</v>
      </c>
      <c r="S22" t="s">
        <v>569</v>
      </c>
      <c r="T22" t="s">
        <v>570</v>
      </c>
      <c r="U22" t="s">
        <v>571</v>
      </c>
      <c r="V22" s="95" t="s">
        <v>572</v>
      </c>
    </row>
    <row r="23" spans="2:22" hidden="1">
      <c r="B23" s="79" t="s">
        <v>298</v>
      </c>
      <c r="E23" t="s">
        <v>239</v>
      </c>
      <c r="F23" t="s">
        <v>573</v>
      </c>
      <c r="L23" s="94" t="s">
        <v>513</v>
      </c>
      <c r="M23" t="s">
        <v>540</v>
      </c>
      <c r="N23" t="s">
        <v>574</v>
      </c>
      <c r="O23" t="s">
        <v>575</v>
      </c>
      <c r="P23" t="s">
        <v>576</v>
      </c>
      <c r="Q23" t="s">
        <v>577</v>
      </c>
      <c r="R23" t="s">
        <v>578</v>
      </c>
      <c r="S23" t="s">
        <v>579</v>
      </c>
      <c r="T23" t="s">
        <v>580</v>
      </c>
      <c r="U23" t="s">
        <v>581</v>
      </c>
      <c r="V23" s="95" t="s">
        <v>582</v>
      </c>
    </row>
    <row r="24" spans="2:22" hidden="1">
      <c r="B24" s="81" t="s">
        <v>299</v>
      </c>
      <c r="E24" t="s">
        <v>239</v>
      </c>
      <c r="F24" t="s">
        <v>583</v>
      </c>
      <c r="L24" s="94" t="s">
        <v>516</v>
      </c>
      <c r="M24" t="s">
        <v>542</v>
      </c>
      <c r="N24" t="s">
        <v>584</v>
      </c>
      <c r="O24" t="s">
        <v>585</v>
      </c>
      <c r="P24" t="s">
        <v>586</v>
      </c>
      <c r="Q24" t="s">
        <v>587</v>
      </c>
      <c r="R24" t="s">
        <v>588</v>
      </c>
      <c r="S24" t="s">
        <v>589</v>
      </c>
      <c r="T24" t="s">
        <v>590</v>
      </c>
      <c r="U24" t="s">
        <v>591</v>
      </c>
      <c r="V24" s="95" t="s">
        <v>592</v>
      </c>
    </row>
    <row r="25" spans="2:22" hidden="1">
      <c r="E25" t="s">
        <v>239</v>
      </c>
      <c r="F25" t="s">
        <v>593</v>
      </c>
      <c r="L25" s="94" t="s">
        <v>518</v>
      </c>
      <c r="M25" t="s">
        <v>543</v>
      </c>
      <c r="N25" t="s">
        <v>594</v>
      </c>
      <c r="P25" t="s">
        <v>595</v>
      </c>
      <c r="Q25" t="s">
        <v>596</v>
      </c>
      <c r="R25" t="s">
        <v>597</v>
      </c>
      <c r="S25" t="s">
        <v>598</v>
      </c>
      <c r="T25" t="s">
        <v>599</v>
      </c>
      <c r="U25" t="s">
        <v>600</v>
      </c>
      <c r="V25" s="95"/>
    </row>
    <row r="26" spans="2:22" hidden="1">
      <c r="E26" t="s">
        <v>239</v>
      </c>
      <c r="F26" t="s">
        <v>601</v>
      </c>
      <c r="L26" s="94" t="s">
        <v>521</v>
      </c>
      <c r="M26" t="s">
        <v>553</v>
      </c>
      <c r="N26" t="s">
        <v>602</v>
      </c>
      <c r="P26" t="s">
        <v>603</v>
      </c>
      <c r="Q26" t="s">
        <v>604</v>
      </c>
      <c r="R26" t="s">
        <v>605</v>
      </c>
      <c r="S26" t="s">
        <v>606</v>
      </c>
      <c r="T26" t="s">
        <v>607</v>
      </c>
      <c r="U26" t="s">
        <v>608</v>
      </c>
      <c r="V26" s="95"/>
    </row>
    <row r="27" spans="2:22" hidden="1">
      <c r="E27" t="s">
        <v>239</v>
      </c>
      <c r="F27" t="s">
        <v>609</v>
      </c>
      <c r="L27" s="94" t="s">
        <v>524</v>
      </c>
      <c r="M27" t="s">
        <v>563</v>
      </c>
      <c r="N27" t="s">
        <v>610</v>
      </c>
      <c r="P27" t="s">
        <v>611</v>
      </c>
      <c r="Q27" t="s">
        <v>612</v>
      </c>
      <c r="R27" t="s">
        <v>613</v>
      </c>
      <c r="S27" t="s">
        <v>614</v>
      </c>
      <c r="T27" t="s">
        <v>615</v>
      </c>
      <c r="U27" t="s">
        <v>616</v>
      </c>
      <c r="V27" s="95"/>
    </row>
    <row r="28" spans="2:22" hidden="1">
      <c r="E28" t="s">
        <v>239</v>
      </c>
      <c r="F28" t="s">
        <v>617</v>
      </c>
      <c r="L28" s="94" t="s">
        <v>526</v>
      </c>
      <c r="M28" t="s">
        <v>573</v>
      </c>
      <c r="N28" t="s">
        <v>618</v>
      </c>
      <c r="P28" t="s">
        <v>619</v>
      </c>
      <c r="Q28" t="s">
        <v>620</v>
      </c>
      <c r="R28" t="s">
        <v>621</v>
      </c>
      <c r="S28" t="s">
        <v>622</v>
      </c>
      <c r="T28" t="s">
        <v>623</v>
      </c>
      <c r="V28" s="95"/>
    </row>
    <row r="29" spans="2:22" hidden="1">
      <c r="E29" t="s">
        <v>239</v>
      </c>
      <c r="F29" t="s">
        <v>624</v>
      </c>
      <c r="L29" s="97" t="s">
        <v>529</v>
      </c>
      <c r="M29" s="98" t="s">
        <v>583</v>
      </c>
      <c r="N29" s="98" t="s">
        <v>625</v>
      </c>
      <c r="O29" s="98"/>
      <c r="P29" s="98" t="s">
        <v>626</v>
      </c>
      <c r="Q29" s="98" t="s">
        <v>627</v>
      </c>
      <c r="R29" s="98" t="s">
        <v>628</v>
      </c>
      <c r="S29" s="98" t="s">
        <v>629</v>
      </c>
      <c r="T29" s="98" t="s">
        <v>630</v>
      </c>
      <c r="U29" s="98"/>
      <c r="V29" s="99"/>
    </row>
    <row r="30" spans="2:22" hidden="1">
      <c r="E30" t="s">
        <v>239</v>
      </c>
      <c r="F30" t="s">
        <v>631</v>
      </c>
      <c r="M30" t="s">
        <v>593</v>
      </c>
      <c r="N30" t="s">
        <v>632</v>
      </c>
      <c r="P30" t="s">
        <v>633</v>
      </c>
      <c r="R30" t="s">
        <v>634</v>
      </c>
      <c r="S30" t="s">
        <v>635</v>
      </c>
      <c r="T30" t="s">
        <v>636</v>
      </c>
    </row>
    <row r="31" spans="2:22" hidden="1">
      <c r="E31" t="s">
        <v>239</v>
      </c>
      <c r="F31" t="s">
        <v>637</v>
      </c>
      <c r="M31" t="s">
        <v>601</v>
      </c>
      <c r="N31" t="s">
        <v>638</v>
      </c>
      <c r="P31" t="s">
        <v>639</v>
      </c>
      <c r="R31" t="s">
        <v>640</v>
      </c>
      <c r="S31" t="s">
        <v>641</v>
      </c>
    </row>
    <row r="32" spans="2:22" hidden="1">
      <c r="E32" t="s">
        <v>239</v>
      </c>
      <c r="F32" t="s">
        <v>642</v>
      </c>
      <c r="M32" t="s">
        <v>609</v>
      </c>
      <c r="P32" t="s">
        <v>643</v>
      </c>
      <c r="R32" t="s">
        <v>644</v>
      </c>
      <c r="S32" t="s">
        <v>645</v>
      </c>
    </row>
    <row r="33" spans="5:18" hidden="1">
      <c r="E33" t="s">
        <v>239</v>
      </c>
      <c r="F33" t="s">
        <v>646</v>
      </c>
      <c r="M33" t="s">
        <v>617</v>
      </c>
      <c r="R33" t="s">
        <v>647</v>
      </c>
    </row>
    <row r="34" spans="5:18" hidden="1">
      <c r="E34" t="s">
        <v>239</v>
      </c>
      <c r="F34" t="s">
        <v>648</v>
      </c>
      <c r="M34" t="s">
        <v>624</v>
      </c>
      <c r="R34" t="s">
        <v>649</v>
      </c>
    </row>
    <row r="35" spans="5:18" hidden="1">
      <c r="E35" t="s">
        <v>514</v>
      </c>
      <c r="F35" t="s">
        <v>544</v>
      </c>
      <c r="M35" t="s">
        <v>631</v>
      </c>
      <c r="R35" t="s">
        <v>650</v>
      </c>
    </row>
    <row r="36" spans="5:18" hidden="1">
      <c r="E36" t="s">
        <v>514</v>
      </c>
      <c r="F36" t="s">
        <v>554</v>
      </c>
      <c r="M36" t="s">
        <v>637</v>
      </c>
      <c r="R36" t="s">
        <v>651</v>
      </c>
    </row>
    <row r="37" spans="5:18" hidden="1">
      <c r="E37" t="s">
        <v>514</v>
      </c>
      <c r="F37" t="s">
        <v>564</v>
      </c>
      <c r="M37" t="s">
        <v>642</v>
      </c>
    </row>
    <row r="38" spans="5:18" hidden="1">
      <c r="E38" t="s">
        <v>514</v>
      </c>
      <c r="F38" t="s">
        <v>574</v>
      </c>
      <c r="M38" t="s">
        <v>646</v>
      </c>
    </row>
    <row r="39" spans="5:18" hidden="1">
      <c r="E39" t="s">
        <v>514</v>
      </c>
      <c r="F39" t="s">
        <v>584</v>
      </c>
      <c r="M39" t="s">
        <v>648</v>
      </c>
    </row>
    <row r="40" spans="5:18" hidden="1">
      <c r="E40" t="s">
        <v>514</v>
      </c>
      <c r="F40" t="s">
        <v>594</v>
      </c>
    </row>
    <row r="41" spans="5:18" hidden="1">
      <c r="E41" t="s">
        <v>514</v>
      </c>
      <c r="F41" t="s">
        <v>602</v>
      </c>
    </row>
    <row r="42" spans="5:18">
      <c r="E42" t="s">
        <v>514</v>
      </c>
      <c r="F42" t="s">
        <v>610</v>
      </c>
    </row>
    <row r="43" spans="5:18">
      <c r="E43" t="s">
        <v>514</v>
      </c>
      <c r="F43" t="s">
        <v>618</v>
      </c>
    </row>
    <row r="44" spans="5:18">
      <c r="E44" t="s">
        <v>514</v>
      </c>
      <c r="F44" t="s">
        <v>625</v>
      </c>
    </row>
    <row r="45" spans="5:18">
      <c r="E45" t="s">
        <v>514</v>
      </c>
      <c r="F45" t="s">
        <v>632</v>
      </c>
    </row>
    <row r="46" spans="5:18">
      <c r="E46" t="s">
        <v>514</v>
      </c>
      <c r="F46" t="s">
        <v>638</v>
      </c>
    </row>
    <row r="47" spans="5:18">
      <c r="E47" t="s">
        <v>497</v>
      </c>
      <c r="F47" t="s">
        <v>545</v>
      </c>
    </row>
    <row r="48" spans="5:18">
      <c r="E48" t="s">
        <v>497</v>
      </c>
      <c r="F48" t="s">
        <v>555</v>
      </c>
    </row>
    <row r="49" spans="5:6">
      <c r="E49" t="s">
        <v>497</v>
      </c>
      <c r="F49" t="s">
        <v>565</v>
      </c>
    </row>
    <row r="50" spans="5:6">
      <c r="E50" t="s">
        <v>497</v>
      </c>
      <c r="F50" t="s">
        <v>575</v>
      </c>
    </row>
    <row r="51" spans="5:6">
      <c r="E51" t="s">
        <v>497</v>
      </c>
      <c r="F51" t="s">
        <v>585</v>
      </c>
    </row>
    <row r="52" spans="5:6">
      <c r="E52" t="s">
        <v>519</v>
      </c>
      <c r="F52" t="s">
        <v>546</v>
      </c>
    </row>
    <row r="53" spans="5:6">
      <c r="E53" t="s">
        <v>519</v>
      </c>
      <c r="F53" t="s">
        <v>556</v>
      </c>
    </row>
    <row r="54" spans="5:6">
      <c r="E54" t="s">
        <v>519</v>
      </c>
      <c r="F54" t="s">
        <v>566</v>
      </c>
    </row>
    <row r="55" spans="5:6">
      <c r="E55" t="s">
        <v>519</v>
      </c>
      <c r="F55" t="s">
        <v>576</v>
      </c>
    </row>
    <row r="56" spans="5:6">
      <c r="E56" t="s">
        <v>519</v>
      </c>
      <c r="F56" t="s">
        <v>586</v>
      </c>
    </row>
    <row r="57" spans="5:6">
      <c r="E57" t="s">
        <v>519</v>
      </c>
      <c r="F57" t="s">
        <v>595</v>
      </c>
    </row>
    <row r="58" spans="5:6">
      <c r="E58" t="s">
        <v>519</v>
      </c>
      <c r="F58" t="s">
        <v>603</v>
      </c>
    </row>
    <row r="59" spans="5:6">
      <c r="E59" t="s">
        <v>519</v>
      </c>
      <c r="F59" t="s">
        <v>611</v>
      </c>
    </row>
    <row r="60" spans="5:6">
      <c r="E60" t="s">
        <v>519</v>
      </c>
      <c r="F60" t="s">
        <v>619</v>
      </c>
    </row>
    <row r="61" spans="5:6">
      <c r="E61" t="s">
        <v>519</v>
      </c>
      <c r="F61" t="s">
        <v>626</v>
      </c>
    </row>
    <row r="62" spans="5:6">
      <c r="E62" t="s">
        <v>519</v>
      </c>
      <c r="F62" t="s">
        <v>633</v>
      </c>
    </row>
    <row r="63" spans="5:6">
      <c r="E63" t="s">
        <v>519</v>
      </c>
      <c r="F63" t="s">
        <v>639</v>
      </c>
    </row>
    <row r="64" spans="5:6">
      <c r="E64" t="s">
        <v>519</v>
      </c>
      <c r="F64" t="s">
        <v>643</v>
      </c>
    </row>
    <row r="65" spans="5:6">
      <c r="E65" t="s">
        <v>522</v>
      </c>
      <c r="F65" t="s">
        <v>547</v>
      </c>
    </row>
    <row r="66" spans="5:6">
      <c r="E66" t="s">
        <v>522</v>
      </c>
      <c r="F66" t="s">
        <v>557</v>
      </c>
    </row>
    <row r="67" spans="5:6">
      <c r="E67" t="s">
        <v>522</v>
      </c>
      <c r="F67" t="s">
        <v>567</v>
      </c>
    </row>
    <row r="68" spans="5:6">
      <c r="E68" t="s">
        <v>522</v>
      </c>
      <c r="F68" t="s">
        <v>577</v>
      </c>
    </row>
    <row r="69" spans="5:6">
      <c r="E69" t="s">
        <v>522</v>
      </c>
      <c r="F69" t="s">
        <v>587</v>
      </c>
    </row>
    <row r="70" spans="5:6">
      <c r="E70" t="s">
        <v>522</v>
      </c>
      <c r="F70" t="s">
        <v>596</v>
      </c>
    </row>
    <row r="71" spans="5:6">
      <c r="E71" t="s">
        <v>522</v>
      </c>
      <c r="F71" t="s">
        <v>604</v>
      </c>
    </row>
    <row r="72" spans="5:6">
      <c r="E72" t="s">
        <v>522</v>
      </c>
      <c r="F72" t="s">
        <v>612</v>
      </c>
    </row>
    <row r="73" spans="5:6">
      <c r="E73" t="s">
        <v>522</v>
      </c>
      <c r="F73" t="s">
        <v>620</v>
      </c>
    </row>
    <row r="74" spans="5:6">
      <c r="E74" t="s">
        <v>522</v>
      </c>
      <c r="F74" t="s">
        <v>627</v>
      </c>
    </row>
    <row r="75" spans="5:6">
      <c r="E75" t="s">
        <v>525</v>
      </c>
      <c r="F75" t="s">
        <v>548</v>
      </c>
    </row>
    <row r="76" spans="5:6">
      <c r="E76" t="s">
        <v>525</v>
      </c>
      <c r="F76" t="s">
        <v>558</v>
      </c>
    </row>
    <row r="77" spans="5:6">
      <c r="E77" t="s">
        <v>525</v>
      </c>
      <c r="F77" t="s">
        <v>568</v>
      </c>
    </row>
    <row r="78" spans="5:6">
      <c r="E78" t="s">
        <v>525</v>
      </c>
      <c r="F78" t="s">
        <v>578</v>
      </c>
    </row>
    <row r="79" spans="5:6">
      <c r="E79" t="s">
        <v>525</v>
      </c>
      <c r="F79" t="s">
        <v>588</v>
      </c>
    </row>
    <row r="80" spans="5:6">
      <c r="E80" t="s">
        <v>525</v>
      </c>
      <c r="F80" t="s">
        <v>597</v>
      </c>
    </row>
    <row r="81" spans="5:6">
      <c r="E81" t="s">
        <v>525</v>
      </c>
      <c r="F81" t="s">
        <v>605</v>
      </c>
    </row>
    <row r="82" spans="5:6">
      <c r="E82" t="s">
        <v>525</v>
      </c>
      <c r="F82" t="s">
        <v>613</v>
      </c>
    </row>
    <row r="83" spans="5:6">
      <c r="E83" t="s">
        <v>525</v>
      </c>
      <c r="F83" t="s">
        <v>621</v>
      </c>
    </row>
    <row r="84" spans="5:6">
      <c r="E84" t="s">
        <v>525</v>
      </c>
      <c r="F84" t="s">
        <v>628</v>
      </c>
    </row>
    <row r="85" spans="5:6">
      <c r="E85" t="s">
        <v>525</v>
      </c>
      <c r="F85" t="s">
        <v>634</v>
      </c>
    </row>
    <row r="86" spans="5:6">
      <c r="E86" t="s">
        <v>525</v>
      </c>
      <c r="F86" t="s">
        <v>640</v>
      </c>
    </row>
    <row r="87" spans="5:6">
      <c r="E87" t="s">
        <v>525</v>
      </c>
      <c r="F87" t="s">
        <v>644</v>
      </c>
    </row>
    <row r="88" spans="5:6">
      <c r="E88" t="s">
        <v>525</v>
      </c>
      <c r="F88" t="s">
        <v>647</v>
      </c>
    </row>
    <row r="89" spans="5:6">
      <c r="E89" t="s">
        <v>525</v>
      </c>
      <c r="F89" t="s">
        <v>649</v>
      </c>
    </row>
    <row r="90" spans="5:6">
      <c r="E90" t="s">
        <v>525</v>
      </c>
      <c r="F90" t="s">
        <v>650</v>
      </c>
    </row>
    <row r="91" spans="5:6">
      <c r="E91" t="s">
        <v>525</v>
      </c>
      <c r="F91" t="s">
        <v>651</v>
      </c>
    </row>
    <row r="92" spans="5:6">
      <c r="E92" t="s">
        <v>527</v>
      </c>
      <c r="F92" t="s">
        <v>549</v>
      </c>
    </row>
    <row r="93" spans="5:6">
      <c r="E93" t="s">
        <v>527</v>
      </c>
      <c r="F93" t="s">
        <v>559</v>
      </c>
    </row>
    <row r="94" spans="5:6">
      <c r="E94" t="s">
        <v>527</v>
      </c>
      <c r="F94" t="s">
        <v>569</v>
      </c>
    </row>
    <row r="95" spans="5:6">
      <c r="E95" t="s">
        <v>527</v>
      </c>
      <c r="F95" t="s">
        <v>579</v>
      </c>
    </row>
    <row r="96" spans="5:6">
      <c r="E96" t="s">
        <v>527</v>
      </c>
      <c r="F96" t="s">
        <v>589</v>
      </c>
    </row>
    <row r="97" spans="5:6">
      <c r="E97" t="s">
        <v>527</v>
      </c>
      <c r="F97" t="s">
        <v>598</v>
      </c>
    </row>
    <row r="98" spans="5:6">
      <c r="E98" t="s">
        <v>527</v>
      </c>
      <c r="F98" t="s">
        <v>606</v>
      </c>
    </row>
    <row r="99" spans="5:6">
      <c r="E99" t="s">
        <v>527</v>
      </c>
      <c r="F99" t="s">
        <v>614</v>
      </c>
    </row>
    <row r="100" spans="5:6">
      <c r="E100" t="s">
        <v>527</v>
      </c>
      <c r="F100" t="s">
        <v>622</v>
      </c>
    </row>
    <row r="101" spans="5:6">
      <c r="E101" t="s">
        <v>527</v>
      </c>
      <c r="F101" t="s">
        <v>629</v>
      </c>
    </row>
    <row r="102" spans="5:6">
      <c r="E102" t="s">
        <v>527</v>
      </c>
      <c r="F102" t="s">
        <v>635</v>
      </c>
    </row>
    <row r="103" spans="5:6">
      <c r="E103" t="s">
        <v>527</v>
      </c>
      <c r="F103" t="s">
        <v>641</v>
      </c>
    </row>
    <row r="104" spans="5:6">
      <c r="E104" t="s">
        <v>527</v>
      </c>
      <c r="F104" t="s">
        <v>645</v>
      </c>
    </row>
    <row r="105" spans="5:6">
      <c r="E105" t="s">
        <v>530</v>
      </c>
      <c r="F105" t="s">
        <v>550</v>
      </c>
    </row>
    <row r="106" spans="5:6">
      <c r="E106" t="s">
        <v>530</v>
      </c>
      <c r="F106" t="s">
        <v>560</v>
      </c>
    </row>
    <row r="107" spans="5:6">
      <c r="E107" t="s">
        <v>530</v>
      </c>
      <c r="F107" t="s">
        <v>570</v>
      </c>
    </row>
    <row r="108" spans="5:6">
      <c r="E108" t="s">
        <v>530</v>
      </c>
      <c r="F108" t="s">
        <v>580</v>
      </c>
    </row>
    <row r="109" spans="5:6">
      <c r="E109" t="s">
        <v>530</v>
      </c>
      <c r="F109" t="s">
        <v>590</v>
      </c>
    </row>
    <row r="110" spans="5:6">
      <c r="E110" t="s">
        <v>530</v>
      </c>
      <c r="F110" t="s">
        <v>599</v>
      </c>
    </row>
    <row r="111" spans="5:6">
      <c r="E111" t="s">
        <v>530</v>
      </c>
      <c r="F111" t="s">
        <v>607</v>
      </c>
    </row>
    <row r="112" spans="5:6">
      <c r="E112" t="s">
        <v>530</v>
      </c>
      <c r="F112" t="s">
        <v>615</v>
      </c>
    </row>
    <row r="113" spans="5:6">
      <c r="E113" t="s">
        <v>530</v>
      </c>
      <c r="F113" t="s">
        <v>623</v>
      </c>
    </row>
    <row r="114" spans="5:6">
      <c r="E114" t="s">
        <v>530</v>
      </c>
      <c r="F114" t="s">
        <v>630</v>
      </c>
    </row>
    <row r="115" spans="5:6">
      <c r="E115" t="s">
        <v>530</v>
      </c>
      <c r="F115" t="s">
        <v>636</v>
      </c>
    </row>
    <row r="116" spans="5:6">
      <c r="E116" t="s">
        <v>533</v>
      </c>
      <c r="F116" t="s">
        <v>551</v>
      </c>
    </row>
    <row r="117" spans="5:6">
      <c r="E117" t="s">
        <v>533</v>
      </c>
      <c r="F117" t="s">
        <v>561</v>
      </c>
    </row>
    <row r="118" spans="5:6">
      <c r="E118" t="s">
        <v>533</v>
      </c>
      <c r="F118" t="s">
        <v>571</v>
      </c>
    </row>
    <row r="119" spans="5:6">
      <c r="E119" t="s">
        <v>533</v>
      </c>
      <c r="F119" t="s">
        <v>581</v>
      </c>
    </row>
    <row r="120" spans="5:6">
      <c r="E120" t="s">
        <v>533</v>
      </c>
      <c r="F120" t="s">
        <v>591</v>
      </c>
    </row>
    <row r="121" spans="5:6">
      <c r="E121" t="s">
        <v>533</v>
      </c>
      <c r="F121" t="s">
        <v>600</v>
      </c>
    </row>
    <row r="122" spans="5:6">
      <c r="E122" t="s">
        <v>533</v>
      </c>
      <c r="F122" t="s">
        <v>608</v>
      </c>
    </row>
    <row r="123" spans="5:6">
      <c r="E123" t="s">
        <v>533</v>
      </c>
      <c r="F123" t="s">
        <v>616</v>
      </c>
    </row>
    <row r="124" spans="5:6">
      <c r="E124" t="s">
        <v>536</v>
      </c>
      <c r="F124" t="s">
        <v>552</v>
      </c>
    </row>
    <row r="125" spans="5:6">
      <c r="E125" t="s">
        <v>536</v>
      </c>
      <c r="F125" t="s">
        <v>562</v>
      </c>
    </row>
    <row r="126" spans="5:6">
      <c r="E126" t="s">
        <v>536</v>
      </c>
      <c r="F126" t="s">
        <v>572</v>
      </c>
    </row>
    <row r="127" spans="5:6">
      <c r="E127" t="s">
        <v>536</v>
      </c>
      <c r="F127" t="s">
        <v>582</v>
      </c>
    </row>
    <row r="128" spans="5:6">
      <c r="E128" t="s">
        <v>536</v>
      </c>
      <c r="F128" t="s">
        <v>592</v>
      </c>
    </row>
  </sheetData>
  <mergeCells count="3">
    <mergeCell ref="K2:K3"/>
    <mergeCell ref="L2:P2"/>
    <mergeCell ref="Q2:AA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A7115-0CBC-4ABB-BE5B-970F623C3B18}">
  <dimension ref="A1:EV100"/>
  <sheetViews>
    <sheetView workbookViewId="0">
      <pane xSplit="1" ySplit="5" topLeftCell="D6" activePane="bottomRight" state="frozen"/>
      <selection pane="bottomRight" activeCell="D63" sqref="D63"/>
      <selection pane="bottomLeft"/>
      <selection pane="topRight"/>
    </sheetView>
  </sheetViews>
  <sheetFormatPr defaultColWidth="10.42578125" defaultRowHeight="13.9"/>
  <cols>
    <col min="1" max="1" width="40.140625" style="23" bestFit="1" customWidth="1"/>
    <col min="2" max="5" width="13.42578125" style="23" customWidth="1"/>
    <col min="6" max="6" width="13.140625" style="23" customWidth="1"/>
    <col min="7" max="9" width="13.85546875" style="23" customWidth="1"/>
    <col min="10" max="10" width="14.140625" style="23" customWidth="1"/>
    <col min="11" max="11" width="15.140625" style="25" customWidth="1"/>
    <col min="12" max="12" width="17" style="25" customWidth="1"/>
    <col min="13" max="13" width="14.140625" style="23" customWidth="1"/>
    <col min="14" max="14" width="21.42578125" style="23" bestFit="1" customWidth="1"/>
    <col min="15" max="15" width="32.140625" style="23" customWidth="1"/>
    <col min="16" max="16" width="11.42578125" style="23" customWidth="1"/>
    <col min="17" max="23" width="0" style="23" hidden="1" customWidth="1"/>
    <col min="24" max="24" width="15.42578125" style="23" bestFit="1" customWidth="1"/>
    <col min="25" max="25" width="17.42578125" style="23" bestFit="1" customWidth="1"/>
    <col min="26" max="33" width="0" style="23" hidden="1" customWidth="1"/>
    <col min="34" max="16384" width="10.42578125" style="23"/>
  </cols>
  <sheetData>
    <row r="1" spans="1:33">
      <c r="B1" s="52"/>
      <c r="C1" s="52"/>
      <c r="D1" s="52"/>
      <c r="E1" s="52"/>
      <c r="F1" s="52"/>
      <c r="G1" s="52"/>
      <c r="H1" s="52"/>
      <c r="I1" s="52"/>
      <c r="J1" s="52"/>
      <c r="K1" s="52"/>
      <c r="L1" s="52"/>
      <c r="M1" s="52"/>
      <c r="N1"/>
      <c r="O1"/>
    </row>
    <row r="2" spans="1:33">
      <c r="G2" s="1048" t="s">
        <v>652</v>
      </c>
      <c r="H2" s="1048"/>
      <c r="I2" s="1048"/>
      <c r="J2" s="1048"/>
      <c r="K2" s="26"/>
      <c r="L2" s="26"/>
      <c r="M2" s="26"/>
      <c r="N2" s="26"/>
      <c r="O2" s="26"/>
    </row>
    <row r="3" spans="1:33">
      <c r="G3" s="23" t="s">
        <v>653</v>
      </c>
      <c r="H3" s="23" t="e" vm="1">
        <v>#VALUE!</v>
      </c>
      <c r="M3"/>
      <c r="N3"/>
      <c r="O3"/>
    </row>
    <row r="4" spans="1:33">
      <c r="D4" s="1048" t="s">
        <v>654</v>
      </c>
      <c r="E4" s="1048"/>
      <c r="F4" s="1048"/>
      <c r="G4" s="1048"/>
      <c r="H4" s="1048"/>
      <c r="I4" s="1048"/>
      <c r="J4" s="1048"/>
      <c r="K4" s="1048"/>
      <c r="L4" s="1048"/>
      <c r="M4" s="1048"/>
      <c r="N4"/>
      <c r="O4"/>
    </row>
    <row r="5" spans="1:33">
      <c r="A5" s="52" t="s">
        <v>655</v>
      </c>
      <c r="B5" s="388">
        <v>2022</v>
      </c>
      <c r="C5" s="388">
        <f>B5-1</f>
        <v>2021</v>
      </c>
      <c r="D5" s="388">
        <f t="shared" ref="D5:M5" si="0">C5-1</f>
        <v>2020</v>
      </c>
      <c r="E5" s="388">
        <f t="shared" si="0"/>
        <v>2019</v>
      </c>
      <c r="F5" s="388">
        <f t="shared" si="0"/>
        <v>2018</v>
      </c>
      <c r="G5" s="388">
        <f t="shared" si="0"/>
        <v>2017</v>
      </c>
      <c r="H5" s="388">
        <f t="shared" si="0"/>
        <v>2016</v>
      </c>
      <c r="I5" s="388">
        <f t="shared" si="0"/>
        <v>2015</v>
      </c>
      <c r="J5" s="388">
        <f t="shared" si="0"/>
        <v>2014</v>
      </c>
      <c r="K5" s="388">
        <f t="shared" si="0"/>
        <v>2013</v>
      </c>
      <c r="L5" s="388">
        <f t="shared" si="0"/>
        <v>2012</v>
      </c>
      <c r="M5" s="388">
        <f t="shared" si="0"/>
        <v>2011</v>
      </c>
      <c r="N5"/>
      <c r="O5"/>
      <c r="Q5" s="10" t="s">
        <v>656</v>
      </c>
      <c r="R5" s="1049" t="s">
        <v>657</v>
      </c>
      <c r="S5" s="1049"/>
      <c r="T5" s="23" t="s">
        <v>658</v>
      </c>
      <c r="Z5" s="52">
        <v>2016</v>
      </c>
      <c r="AA5" s="52">
        <v>2015</v>
      </c>
      <c r="AB5" s="52">
        <v>2014</v>
      </c>
      <c r="AC5" s="52">
        <v>2013</v>
      </c>
      <c r="AD5" s="52">
        <v>2012</v>
      </c>
      <c r="AE5" s="52">
        <v>2011</v>
      </c>
      <c r="AF5" s="52">
        <v>2010</v>
      </c>
      <c r="AG5" s="52">
        <v>2009</v>
      </c>
    </row>
    <row r="6" spans="1:33">
      <c r="A6" s="27" t="s">
        <v>82</v>
      </c>
      <c r="B6" s="287">
        <v>11602</v>
      </c>
      <c r="C6" s="287">
        <v>8982</v>
      </c>
      <c r="D6" s="287">
        <v>6389</v>
      </c>
      <c r="E6" s="287">
        <v>6883</v>
      </c>
      <c r="F6" s="287">
        <v>5966</v>
      </c>
      <c r="G6" s="287">
        <v>5549</v>
      </c>
      <c r="H6" s="389">
        <v>5202</v>
      </c>
      <c r="I6" s="287">
        <v>4841</v>
      </c>
      <c r="J6" s="287">
        <v>4119</v>
      </c>
      <c r="K6" s="287">
        <v>3755</v>
      </c>
      <c r="L6" s="287">
        <v>3484</v>
      </c>
      <c r="M6" s="287">
        <v>2841</v>
      </c>
      <c r="N6" s="29" t="s">
        <v>659</v>
      </c>
      <c r="O6" t="s">
        <v>660</v>
      </c>
      <c r="P6"/>
      <c r="Q6" s="23" t="s">
        <v>661</v>
      </c>
      <c r="R6" s="23" t="s">
        <v>661</v>
      </c>
      <c r="X6" s="30"/>
      <c r="Y6" s="30"/>
      <c r="Z6" s="28">
        <v>38537</v>
      </c>
      <c r="AA6" s="28">
        <v>47011</v>
      </c>
      <c r="AB6" s="28">
        <v>55184</v>
      </c>
      <c r="AC6" s="28">
        <v>55656</v>
      </c>
      <c r="AD6" s="28">
        <v>65875</v>
      </c>
      <c r="AE6" s="28">
        <v>60138</v>
      </c>
      <c r="AF6" s="28">
        <v>42588</v>
      </c>
      <c r="AG6" s="28">
        <v>32396</v>
      </c>
    </row>
    <row r="7" spans="1:33">
      <c r="A7" s="27" t="s">
        <v>440</v>
      </c>
      <c r="B7" s="287">
        <v>8213</v>
      </c>
      <c r="C7" s="287">
        <v>6402</v>
      </c>
      <c r="D7" s="287">
        <v>4376</v>
      </c>
      <c r="E7" s="287">
        <v>4759</v>
      </c>
      <c r="F7" s="287">
        <v>4174</v>
      </c>
      <c r="G7" s="287">
        <v>3890</v>
      </c>
      <c r="H7" s="390">
        <v>3520</v>
      </c>
      <c r="I7" s="391">
        <v>3199</v>
      </c>
      <c r="J7" s="287">
        <v>2753</v>
      </c>
      <c r="K7" s="287">
        <v>2585</v>
      </c>
      <c r="L7" s="287">
        <v>2373</v>
      </c>
      <c r="M7" s="287">
        <v>1955</v>
      </c>
      <c r="N7" s="29" t="s">
        <v>659</v>
      </c>
      <c r="O7" t="str">
        <f>+A7</f>
        <v>Gross Profit</v>
      </c>
      <c r="P7"/>
      <c r="Q7" s="23" t="s">
        <v>661</v>
      </c>
      <c r="R7" s="23" t="s">
        <v>662</v>
      </c>
      <c r="Z7" s="32">
        <f>Z6-28044</f>
        <v>10493</v>
      </c>
      <c r="AA7" s="32">
        <f>AA6-33546</f>
        <v>13465</v>
      </c>
      <c r="AB7" s="32">
        <f>AB6-40718</f>
        <v>14466</v>
      </c>
      <c r="AC7" s="32">
        <f>AC6-40727</f>
        <v>14929</v>
      </c>
      <c r="AD7" s="33">
        <f>+AD6-47055</f>
        <v>18820</v>
      </c>
      <c r="AE7" s="33">
        <f>+AE6-43578</f>
        <v>16560</v>
      </c>
      <c r="AF7" s="33">
        <f>+AF6-30367</f>
        <v>12221</v>
      </c>
      <c r="AG7" s="33">
        <f>+AG6-23886</f>
        <v>8510</v>
      </c>
    </row>
    <row r="8" spans="1:33">
      <c r="A8" s="27" t="s">
        <v>220</v>
      </c>
      <c r="B8" s="287">
        <v>4697</v>
      </c>
      <c r="C8" s="287">
        <v>3530</v>
      </c>
      <c r="D8" s="287">
        <v>2073</v>
      </c>
      <c r="E8" s="287">
        <v>2339</v>
      </c>
      <c r="F8" s="287">
        <v>2128</v>
      </c>
      <c r="G8" s="287">
        <v>1922</v>
      </c>
      <c r="H8" s="390">
        <v>1697</v>
      </c>
      <c r="I8" s="391">
        <v>1541</v>
      </c>
      <c r="J8" s="391">
        <v>1299</v>
      </c>
      <c r="K8" s="391">
        <v>1218</v>
      </c>
      <c r="L8" s="391">
        <v>1119</v>
      </c>
      <c r="M8" s="391">
        <v>885</v>
      </c>
      <c r="N8" s="29" t="s">
        <v>659</v>
      </c>
      <c r="O8" t="s">
        <v>220</v>
      </c>
      <c r="P8"/>
      <c r="Q8" s="23" t="s">
        <v>661</v>
      </c>
      <c r="R8" s="34" t="s">
        <v>663</v>
      </c>
      <c r="Z8" s="32">
        <f>Z7-4383</f>
        <v>6110</v>
      </c>
      <c r="AA8" s="32">
        <f>AA7-4951</f>
        <v>8514</v>
      </c>
      <c r="AB8" s="32">
        <f>AB7-6529</f>
        <v>7937</v>
      </c>
      <c r="AC8" s="32">
        <f>AC7-5547</f>
        <v>9382</v>
      </c>
      <c r="AD8" s="33">
        <f>AD7-5919-2466-797-580-485</f>
        <v>8573</v>
      </c>
      <c r="AE8" s="33">
        <f>+AE7-5203-2297-826-1081</f>
        <v>7153</v>
      </c>
      <c r="AF8" s="33">
        <f>+AF7-4248-1905-914-1191</f>
        <v>3963</v>
      </c>
      <c r="AG8" s="33">
        <f>+AG7-3645-1421-1045-1822</f>
        <v>577</v>
      </c>
    </row>
    <row r="9" spans="1:33">
      <c r="A9" s="27" t="s">
        <v>444</v>
      </c>
      <c r="B9" s="287">
        <v>3389</v>
      </c>
      <c r="C9" s="287">
        <v>2580</v>
      </c>
      <c r="D9" s="287">
        <v>2013</v>
      </c>
      <c r="E9" s="287">
        <v>2125</v>
      </c>
      <c r="F9" s="287">
        <v>1792</v>
      </c>
      <c r="G9" s="287">
        <v>1659</v>
      </c>
      <c r="H9" s="287">
        <v>1682</v>
      </c>
      <c r="I9" s="287">
        <v>1643</v>
      </c>
      <c r="J9" s="287">
        <v>1366</v>
      </c>
      <c r="K9" s="287">
        <v>1170</v>
      </c>
      <c r="L9" s="287">
        <v>1111</v>
      </c>
      <c r="M9" s="287">
        <v>886</v>
      </c>
      <c r="N9" s="29" t="s">
        <v>659</v>
      </c>
      <c r="O9" t="s">
        <v>664</v>
      </c>
      <c r="P9"/>
      <c r="Q9" s="23" t="s">
        <v>661</v>
      </c>
      <c r="R9" s="23" t="s">
        <v>665</v>
      </c>
      <c r="S9" s="23" t="s">
        <v>666</v>
      </c>
      <c r="T9" s="23" t="s">
        <v>667</v>
      </c>
      <c r="U9" s="23" t="s">
        <v>668</v>
      </c>
      <c r="V9" s="23" t="s">
        <v>669</v>
      </c>
      <c r="Z9" s="32">
        <f>1853+596+595+1904+6+8</f>
        <v>4962</v>
      </c>
      <c r="AA9" s="32">
        <f>2119+587+2023+11</f>
        <v>4740</v>
      </c>
      <c r="AB9" s="32">
        <f>2380+624+1619-8+16</f>
        <v>4631</v>
      </c>
      <c r="AC9" s="32">
        <f>2046+727+981+6+14</f>
        <v>3774</v>
      </c>
      <c r="AD9" s="33">
        <f>-14+41</f>
        <v>27</v>
      </c>
      <c r="AE9" s="32">
        <v>53</v>
      </c>
      <c r="AF9" s="32">
        <f>58+24</f>
        <v>82</v>
      </c>
      <c r="AG9" s="32">
        <f>12-68</f>
        <v>-56</v>
      </c>
    </row>
    <row r="10" spans="1:33">
      <c r="A10" s="27" t="s">
        <v>221</v>
      </c>
      <c r="B10" s="287"/>
      <c r="C10" s="287"/>
      <c r="D10" s="287"/>
      <c r="E10" s="287"/>
      <c r="F10" s="287"/>
      <c r="G10" s="287"/>
      <c r="H10" s="390"/>
      <c r="I10" s="391"/>
      <c r="J10" s="287"/>
      <c r="K10" s="287"/>
      <c r="L10" s="287"/>
      <c r="M10" s="287"/>
      <c r="N10" s="29" t="s">
        <v>659</v>
      </c>
      <c r="O10" t="s">
        <v>670</v>
      </c>
      <c r="P10"/>
      <c r="Q10" s="23" t="s">
        <v>661</v>
      </c>
      <c r="R10" s="23" t="s">
        <v>671</v>
      </c>
      <c r="Z10" s="32">
        <f>505+518</f>
        <v>1023</v>
      </c>
      <c r="AA10" s="32">
        <f>507-161</f>
        <v>346</v>
      </c>
      <c r="AB10" s="32">
        <f>484-322</f>
        <v>162</v>
      </c>
      <c r="AC10" s="32">
        <f>465+35</f>
        <v>500</v>
      </c>
      <c r="AD10" s="33">
        <f>467-130</f>
        <v>337</v>
      </c>
      <c r="AE10" s="32">
        <f>396+32</f>
        <v>428</v>
      </c>
      <c r="AF10" s="32">
        <f>343-130</f>
        <v>213</v>
      </c>
      <c r="AG10" s="32">
        <f>389-381</f>
        <v>8</v>
      </c>
    </row>
    <row r="11" spans="1:33">
      <c r="A11" s="27" t="s">
        <v>222</v>
      </c>
      <c r="B11" s="287"/>
      <c r="C11" s="287"/>
      <c r="D11" s="287"/>
      <c r="E11" s="287"/>
      <c r="F11" s="287"/>
      <c r="G11" s="287"/>
      <c r="H11" s="390"/>
      <c r="I11" s="391"/>
      <c r="J11" s="287"/>
      <c r="K11" s="287"/>
      <c r="L11" s="287"/>
      <c r="M11" s="287"/>
      <c r="N11" s="29" t="s">
        <v>659</v>
      </c>
      <c r="O11" t="s">
        <v>222</v>
      </c>
      <c r="P11"/>
      <c r="Q11" s="23" t="s">
        <v>661</v>
      </c>
      <c r="R11" s="23" t="s">
        <v>672</v>
      </c>
      <c r="Z11" s="28">
        <v>192</v>
      </c>
      <c r="AA11" s="28">
        <v>916</v>
      </c>
      <c r="AB11" s="28">
        <v>692</v>
      </c>
      <c r="AC11" s="28">
        <v>1319</v>
      </c>
      <c r="AD11" s="31">
        <f>2528</f>
        <v>2528</v>
      </c>
      <c r="AE11" s="28">
        <f>1720</f>
        <v>1720</v>
      </c>
      <c r="AF11" s="28">
        <f>968</f>
        <v>968</v>
      </c>
      <c r="AG11" s="28">
        <f>-270</f>
        <v>-270</v>
      </c>
    </row>
    <row r="12" spans="1:33">
      <c r="A12" s="27" t="s">
        <v>223</v>
      </c>
      <c r="B12" s="287">
        <v>3367</v>
      </c>
      <c r="C12" s="287">
        <v>2446</v>
      </c>
      <c r="D12" s="287">
        <v>1385</v>
      </c>
      <c r="E12" s="287">
        <v>1528</v>
      </c>
      <c r="F12" s="287">
        <v>1406</v>
      </c>
      <c r="G12" s="287">
        <v>1222</v>
      </c>
      <c r="H12" s="389">
        <v>1100</v>
      </c>
      <c r="I12" s="287">
        <v>973</v>
      </c>
      <c r="J12" s="287">
        <v>859</v>
      </c>
      <c r="K12" s="287">
        <v>790</v>
      </c>
      <c r="L12" s="287">
        <v>740</v>
      </c>
      <c r="M12" s="287">
        <v>594</v>
      </c>
      <c r="N12" s="29" t="s">
        <v>659</v>
      </c>
      <c r="O12" t="s">
        <v>223</v>
      </c>
      <c r="P12"/>
      <c r="Q12" s="23" t="s">
        <v>673</v>
      </c>
      <c r="R12" s="23" t="s">
        <v>674</v>
      </c>
      <c r="Z12" s="28">
        <v>-67</v>
      </c>
      <c r="AA12" s="28">
        <v>2512</v>
      </c>
      <c r="AB12" s="28">
        <v>2452</v>
      </c>
      <c r="AC12" s="28">
        <v>3789</v>
      </c>
      <c r="AD12" s="28">
        <v>5681</v>
      </c>
      <c r="AE12" s="28">
        <f>4928+24</f>
        <v>4952</v>
      </c>
      <c r="AF12" s="28">
        <v>2700</v>
      </c>
      <c r="AG12" s="28">
        <v>895</v>
      </c>
    </row>
    <row r="13" spans="1:33">
      <c r="B13" s="392">
        <f>SUM(B8:B11)</f>
        <v>8086</v>
      </c>
      <c r="C13" s="392">
        <f t="shared" ref="C13:M13" si="1">SUM(C8:C11)</f>
        <v>6110</v>
      </c>
      <c r="D13" s="392">
        <f t="shared" si="1"/>
        <v>4086</v>
      </c>
      <c r="E13" s="392">
        <f t="shared" si="1"/>
        <v>4464</v>
      </c>
      <c r="F13" s="392">
        <f t="shared" si="1"/>
        <v>3920</v>
      </c>
      <c r="G13" s="392">
        <f t="shared" si="1"/>
        <v>3581</v>
      </c>
      <c r="H13" s="392">
        <f t="shared" si="1"/>
        <v>3379</v>
      </c>
      <c r="I13" s="392">
        <f t="shared" si="1"/>
        <v>3184</v>
      </c>
      <c r="J13" s="392">
        <f t="shared" si="1"/>
        <v>2665</v>
      </c>
      <c r="K13" s="392">
        <f t="shared" si="1"/>
        <v>2388</v>
      </c>
      <c r="L13" s="392">
        <f t="shared" si="1"/>
        <v>2230</v>
      </c>
      <c r="M13" s="392">
        <f t="shared" si="1"/>
        <v>1771</v>
      </c>
      <c r="N13"/>
      <c r="O13"/>
      <c r="P13"/>
      <c r="Z13" s="25">
        <f t="shared" ref="Z13:AG13" si="2">Z8-Z10-Z9-Z11</f>
        <v>-67</v>
      </c>
      <c r="AA13" s="25">
        <f t="shared" si="2"/>
        <v>2512</v>
      </c>
      <c r="AB13" s="25">
        <f t="shared" si="2"/>
        <v>2452</v>
      </c>
      <c r="AC13" s="25">
        <f t="shared" si="2"/>
        <v>3789</v>
      </c>
      <c r="AD13" s="25">
        <f t="shared" si="2"/>
        <v>5681</v>
      </c>
      <c r="AE13" s="25">
        <f t="shared" si="2"/>
        <v>4952</v>
      </c>
      <c r="AF13" s="25">
        <f t="shared" si="2"/>
        <v>2700</v>
      </c>
      <c r="AG13" s="25">
        <f t="shared" si="2"/>
        <v>895</v>
      </c>
    </row>
    <row r="14" spans="1:33">
      <c r="A14" s="52" t="s">
        <v>675</v>
      </c>
      <c r="B14" s="393">
        <f>B12-B13</f>
        <v>-4719</v>
      </c>
      <c r="C14" s="393">
        <f t="shared" ref="C14:M14" si="3">C12-C13</f>
        <v>-3664</v>
      </c>
      <c r="D14" s="393">
        <f t="shared" si="3"/>
        <v>-2701</v>
      </c>
      <c r="E14" s="393">
        <f t="shared" si="3"/>
        <v>-2936</v>
      </c>
      <c r="F14" s="393">
        <f t="shared" si="3"/>
        <v>-2514</v>
      </c>
      <c r="G14" s="393">
        <f t="shared" si="3"/>
        <v>-2359</v>
      </c>
      <c r="H14" s="393">
        <f t="shared" si="3"/>
        <v>-2279</v>
      </c>
      <c r="I14" s="393">
        <f t="shared" si="3"/>
        <v>-2211</v>
      </c>
      <c r="J14" s="393">
        <f t="shared" si="3"/>
        <v>-1806</v>
      </c>
      <c r="K14" s="393">
        <f t="shared" si="3"/>
        <v>-1598</v>
      </c>
      <c r="L14" s="393">
        <f t="shared" si="3"/>
        <v>-1490</v>
      </c>
      <c r="M14" s="393">
        <f t="shared" si="3"/>
        <v>-1177</v>
      </c>
      <c r="N14"/>
      <c r="O14"/>
      <c r="P14"/>
      <c r="Z14" s="36">
        <f t="shared" ref="Z14:AG14" si="4">Z12-Z13</f>
        <v>0</v>
      </c>
      <c r="AA14" s="36">
        <f t="shared" si="4"/>
        <v>0</v>
      </c>
      <c r="AB14" s="36">
        <f t="shared" si="4"/>
        <v>0</v>
      </c>
      <c r="AC14" s="36">
        <f t="shared" si="4"/>
        <v>0</v>
      </c>
      <c r="AD14" s="36">
        <f t="shared" si="4"/>
        <v>0</v>
      </c>
      <c r="AE14" s="36">
        <f t="shared" si="4"/>
        <v>0</v>
      </c>
      <c r="AF14" s="36">
        <f t="shared" si="4"/>
        <v>0</v>
      </c>
      <c r="AG14" s="36">
        <f t="shared" si="4"/>
        <v>0</v>
      </c>
    </row>
    <row r="15" spans="1:33">
      <c r="A15"/>
      <c r="B15" s="397"/>
      <c r="C15" s="397"/>
      <c r="D15" s="397"/>
      <c r="E15" s="397"/>
      <c r="F15" s="397"/>
      <c r="G15" s="397"/>
      <c r="H15" s="397"/>
      <c r="I15" s="397"/>
      <c r="J15" s="397"/>
      <c r="K15" s="397"/>
      <c r="L15" s="397"/>
      <c r="M15" s="397"/>
      <c r="N15"/>
      <c r="O15"/>
      <c r="P15"/>
      <c r="Z15" s="28"/>
      <c r="AA15" s="28"/>
      <c r="AB15" s="28"/>
      <c r="AC15" s="28"/>
      <c r="AD15" s="28"/>
      <c r="AE15" s="28"/>
      <c r="AF15" s="28"/>
      <c r="AG15" s="28"/>
    </row>
    <row r="16" spans="1:33">
      <c r="A16" s="27" t="s">
        <v>676</v>
      </c>
      <c r="B16" s="394">
        <v>105</v>
      </c>
      <c r="C16" s="394">
        <v>105</v>
      </c>
      <c r="D16" s="394">
        <v>104</v>
      </c>
      <c r="E16" s="394">
        <v>104</v>
      </c>
      <c r="F16" s="394">
        <v>104</v>
      </c>
      <c r="G16" s="394">
        <v>104</v>
      </c>
      <c r="H16" s="395">
        <v>105</v>
      </c>
      <c r="I16" s="394">
        <v>104</v>
      </c>
      <c r="J16" s="394">
        <v>104</v>
      </c>
      <c r="K16" s="394">
        <v>104</v>
      </c>
      <c r="L16" s="394">
        <v>104</v>
      </c>
      <c r="M16" s="394">
        <v>105</v>
      </c>
      <c r="N16" s="29"/>
      <c r="O16"/>
      <c r="P16"/>
      <c r="Z16" s="28"/>
      <c r="AA16" s="28"/>
      <c r="AB16" s="28"/>
      <c r="AC16" s="28"/>
      <c r="AD16" s="28"/>
      <c r="AE16" s="28"/>
      <c r="AF16" s="28"/>
      <c r="AG16" s="28"/>
    </row>
    <row r="17" spans="1:152">
      <c r="A17" s="27" t="s">
        <v>677</v>
      </c>
      <c r="B17" s="394"/>
      <c r="C17" s="394"/>
      <c r="D17" s="394"/>
      <c r="E17" s="394"/>
      <c r="F17" s="394"/>
      <c r="G17" s="394"/>
      <c r="H17" s="395"/>
      <c r="I17" s="394"/>
      <c r="J17" s="394"/>
      <c r="K17" s="394"/>
      <c r="L17" s="394"/>
      <c r="M17" s="394"/>
      <c r="N17" s="29"/>
      <c r="O17"/>
      <c r="P17"/>
      <c r="Z17" s="28"/>
      <c r="AA17" s="28"/>
      <c r="AB17" s="28"/>
      <c r="AC17" s="28"/>
      <c r="AD17" s="28"/>
      <c r="AE17" s="28"/>
      <c r="AF17" s="28"/>
      <c r="AG17" s="28"/>
    </row>
    <row r="18" spans="1:152" customFormat="1" ht="13.15">
      <c r="B18" s="397"/>
      <c r="C18" s="397"/>
      <c r="D18" s="397"/>
      <c r="E18" s="397"/>
      <c r="F18" s="397"/>
      <c r="G18" s="397"/>
      <c r="H18" s="397"/>
      <c r="I18" s="397"/>
      <c r="J18" s="397"/>
      <c r="K18" s="397"/>
      <c r="L18" s="397"/>
      <c r="M18" s="397"/>
    </row>
    <row r="19" spans="1:152">
      <c r="A19" s="27" t="s">
        <v>678</v>
      </c>
      <c r="B19" s="287"/>
      <c r="C19" s="287"/>
      <c r="D19" s="287"/>
      <c r="E19" s="287"/>
      <c r="F19" s="287"/>
      <c r="G19" s="287"/>
      <c r="H19" s="389"/>
      <c r="I19" s="287"/>
      <c r="J19" s="287"/>
      <c r="K19" s="287"/>
      <c r="L19" s="287"/>
      <c r="M19" s="287"/>
      <c r="N19" s="29"/>
      <c r="O19"/>
      <c r="P19"/>
      <c r="Z19" s="28"/>
      <c r="AA19" s="28"/>
      <c r="AB19" s="28"/>
      <c r="AC19" s="28"/>
      <c r="AD19" s="28"/>
      <c r="AE19" s="28"/>
      <c r="AF19" s="28"/>
      <c r="AG19" s="28"/>
    </row>
    <row r="20" spans="1:152">
      <c r="A20" s="10" t="s">
        <v>679</v>
      </c>
      <c r="B20" s="287"/>
      <c r="C20" s="287"/>
      <c r="D20" s="287"/>
      <c r="E20" s="287"/>
      <c r="F20" s="287"/>
      <c r="G20" s="287"/>
      <c r="H20" s="389"/>
      <c r="I20" s="287"/>
      <c r="J20" s="287"/>
      <c r="K20" s="287"/>
      <c r="L20" s="287"/>
      <c r="M20" s="287"/>
      <c r="N20" s="29"/>
      <c r="O20"/>
      <c r="P20"/>
      <c r="Z20" s="28"/>
      <c r="AA20" s="28"/>
      <c r="AB20" s="28"/>
      <c r="AC20" s="28"/>
      <c r="AD20" s="28"/>
      <c r="AE20" s="28"/>
      <c r="AF20" s="28"/>
      <c r="AG20" s="28"/>
    </row>
    <row r="21" spans="1:152" customFormat="1" ht="13.15">
      <c r="B21" s="397"/>
      <c r="C21" s="397"/>
      <c r="D21" s="397"/>
      <c r="E21" s="397"/>
      <c r="F21" s="397"/>
      <c r="G21" s="397"/>
      <c r="H21" s="397"/>
      <c r="I21" s="397"/>
      <c r="J21" s="397"/>
      <c r="K21" s="397"/>
      <c r="L21" s="397"/>
      <c r="M21" s="397"/>
    </row>
    <row r="22" spans="1:152">
      <c r="A22" s="23" t="s">
        <v>445</v>
      </c>
      <c r="B22" s="392" t="e">
        <f t="shared" ref="B22:J22" si="5">B23-C23</f>
        <v>#VALUE!</v>
      </c>
      <c r="C22" s="392" t="e">
        <f t="shared" si="5"/>
        <v>#VALUE!</v>
      </c>
      <c r="D22" s="392" t="e">
        <f>D23-E23</f>
        <v>#VALUE!</v>
      </c>
      <c r="E22" s="392" t="e">
        <f t="shared" si="5"/>
        <v>#VALUE!</v>
      </c>
      <c r="F22" s="392" t="e">
        <f t="shared" si="5"/>
        <v>#VALUE!</v>
      </c>
      <c r="G22" s="392">
        <f t="shared" si="5"/>
        <v>-13</v>
      </c>
      <c r="H22" s="392">
        <f t="shared" si="5"/>
        <v>-155</v>
      </c>
      <c r="I22" s="392">
        <f>I23-J23</f>
        <v>43</v>
      </c>
      <c r="J22" s="392">
        <f t="shared" si="5"/>
        <v>-9</v>
      </c>
      <c r="K22" s="392">
        <f>K23-L23</f>
        <v>73</v>
      </c>
      <c r="L22" s="392">
        <f>L23-M23</f>
        <v>194</v>
      </c>
      <c r="M22" s="392">
        <f>M23-N23</f>
        <v>48</v>
      </c>
      <c r="N22" s="35" t="s">
        <v>680</v>
      </c>
      <c r="O22" t="s">
        <v>681</v>
      </c>
      <c r="P22"/>
      <c r="Q22" s="23" t="s">
        <v>673</v>
      </c>
      <c r="Z22" s="28"/>
      <c r="AA22" s="28"/>
      <c r="AB22" s="28"/>
      <c r="AC22" s="28"/>
      <c r="AD22" s="31"/>
      <c r="AE22" s="28"/>
      <c r="AF22" s="28"/>
      <c r="AG22" s="28"/>
    </row>
    <row r="23" spans="1:152">
      <c r="A23" s="27" t="s">
        <v>682</v>
      </c>
      <c r="B23" s="287" t="e">
        <f t="shared" ref="B23" si="6">B27-B42-B28</f>
        <v>#VALUE!</v>
      </c>
      <c r="C23" s="287" t="e">
        <f t="shared" ref="C23:M23" si="7">C27-C42-C28</f>
        <v>#VALUE!</v>
      </c>
      <c r="D23" s="287">
        <f t="shared" si="7"/>
        <v>4811</v>
      </c>
      <c r="E23" s="287" t="e">
        <f t="shared" si="7"/>
        <v>#VALUE!</v>
      </c>
      <c r="F23" s="287" t="e">
        <f t="shared" si="7"/>
        <v>#VALUE!</v>
      </c>
      <c r="G23" s="287">
        <f t="shared" si="7"/>
        <v>181</v>
      </c>
      <c r="H23" s="287">
        <f t="shared" si="7"/>
        <v>194</v>
      </c>
      <c r="I23" s="287">
        <f t="shared" si="7"/>
        <v>349</v>
      </c>
      <c r="J23" s="287">
        <f t="shared" si="7"/>
        <v>306</v>
      </c>
      <c r="K23" s="287">
        <f t="shared" si="7"/>
        <v>315</v>
      </c>
      <c r="L23" s="287">
        <f t="shared" si="7"/>
        <v>242</v>
      </c>
      <c r="M23" s="287">
        <f t="shared" si="7"/>
        <v>48</v>
      </c>
      <c r="N23" s="35"/>
      <c r="O23"/>
      <c r="P23"/>
      <c r="Z23" s="28"/>
      <c r="AA23" s="28"/>
      <c r="AB23" s="28"/>
      <c r="AC23" s="28"/>
      <c r="AD23" s="31"/>
      <c r="AE23" s="28"/>
      <c r="AF23" s="28"/>
      <c r="AG23" s="28"/>
    </row>
    <row r="24" spans="1:152">
      <c r="A24" s="7">
        <v>2625</v>
      </c>
      <c r="B24" s="398">
        <v>2625</v>
      </c>
      <c r="C24" s="398">
        <v>2625</v>
      </c>
      <c r="D24" s="398">
        <v>2625</v>
      </c>
      <c r="E24" s="398">
        <v>2625</v>
      </c>
      <c r="F24" s="398">
        <v>2625</v>
      </c>
      <c r="G24" s="398">
        <v>2625</v>
      </c>
      <c r="H24" s="398">
        <v>2625</v>
      </c>
      <c r="I24" s="398">
        <v>2625</v>
      </c>
      <c r="J24" s="398">
        <v>2625</v>
      </c>
      <c r="K24" s="398">
        <v>2625</v>
      </c>
      <c r="L24" s="398">
        <v>2625</v>
      </c>
      <c r="M24" s="398">
        <v>2625</v>
      </c>
      <c r="N24" s="7">
        <v>2625</v>
      </c>
      <c r="O24"/>
      <c r="P24"/>
      <c r="Q24" s="23" t="s">
        <v>673</v>
      </c>
      <c r="R24" s="23" t="s">
        <v>683</v>
      </c>
      <c r="T24" s="23" t="s">
        <v>684</v>
      </c>
      <c r="Z24" s="28">
        <v>1799</v>
      </c>
      <c r="AA24" s="28">
        <v>1757</v>
      </c>
      <c r="AB24" s="28">
        <v>1620</v>
      </c>
      <c r="AC24" s="28">
        <v>1111</v>
      </c>
      <c r="AD24" s="28">
        <v>1617</v>
      </c>
      <c r="AE24" s="28">
        <v>1159</v>
      </c>
      <c r="AF24" s="28">
        <v>1084</v>
      </c>
      <c r="AG24" s="28">
        <v>1029</v>
      </c>
    </row>
    <row r="25" spans="1:152">
      <c r="A25" s="52" t="s">
        <v>367</v>
      </c>
      <c r="B25" s="398">
        <v>2625</v>
      </c>
      <c r="C25" s="398">
        <v>2625</v>
      </c>
      <c r="D25" s="398">
        <v>2625</v>
      </c>
      <c r="E25" s="398">
        <v>2625</v>
      </c>
      <c r="F25" s="398">
        <v>2625</v>
      </c>
      <c r="G25" s="398">
        <v>2625</v>
      </c>
      <c r="H25" s="398">
        <v>2625</v>
      </c>
      <c r="I25" s="398">
        <v>2625</v>
      </c>
      <c r="J25" s="398">
        <v>2625</v>
      </c>
      <c r="K25" s="398">
        <v>2625</v>
      </c>
      <c r="L25" s="398">
        <v>2625</v>
      </c>
      <c r="M25" s="398">
        <v>2625</v>
      </c>
      <c r="N25" s="7">
        <v>2625</v>
      </c>
      <c r="O25"/>
      <c r="P25"/>
      <c r="Q25" s="23" t="s">
        <v>673</v>
      </c>
      <c r="R25" s="23" t="s">
        <v>685</v>
      </c>
      <c r="S25" s="23" t="s">
        <v>686</v>
      </c>
      <c r="T25" s="23" t="s">
        <v>687</v>
      </c>
      <c r="Z25" s="28">
        <v>23</v>
      </c>
      <c r="AA25" s="28">
        <f>-33+2025</f>
        <v>1992</v>
      </c>
      <c r="AB25" s="28">
        <v>3817</v>
      </c>
      <c r="AC25" s="28">
        <v>1776</v>
      </c>
      <c r="AD25" s="28">
        <v>-244</v>
      </c>
      <c r="AE25" s="28">
        <v>-312</v>
      </c>
      <c r="AF25" s="28">
        <v>-449</v>
      </c>
      <c r="AG25" s="28">
        <v>-110</v>
      </c>
    </row>
    <row r="26" spans="1:152">
      <c r="A26" s="107" t="s">
        <v>688</v>
      </c>
      <c r="B26" s="470"/>
      <c r="C26" s="470"/>
      <c r="D26" s="470"/>
      <c r="E26" s="470"/>
      <c r="F26" s="470"/>
      <c r="G26" s="470"/>
      <c r="H26" s="470"/>
      <c r="I26" s="470"/>
      <c r="J26" s="470"/>
      <c r="K26" s="470"/>
      <c r="L26" s="470"/>
      <c r="M26" s="470"/>
      <c r="N26" s="7">
        <v>1922</v>
      </c>
      <c r="O26" s="7">
        <v>2625</v>
      </c>
      <c r="P26"/>
      <c r="Z26" s="28"/>
      <c r="AA26" s="28"/>
      <c r="AB26" s="28"/>
      <c r="AC26" s="28"/>
      <c r="AD26" s="28"/>
      <c r="AE26" s="28"/>
      <c r="AF26" s="28"/>
      <c r="AG26" s="28"/>
    </row>
    <row r="27" spans="1:152">
      <c r="A27" s="10" t="s">
        <v>689</v>
      </c>
      <c r="B27" s="286">
        <v>11828</v>
      </c>
      <c r="C27" s="286">
        <v>8845</v>
      </c>
      <c r="D27" s="286">
        <v>6650</v>
      </c>
      <c r="E27" s="286">
        <v>6091</v>
      </c>
      <c r="F27" s="286">
        <v>4976</v>
      </c>
      <c r="G27" s="286">
        <v>4471</v>
      </c>
      <c r="H27" s="286">
        <v>3813</v>
      </c>
      <c r="I27" s="286">
        <v>3095</v>
      </c>
      <c r="J27" s="286">
        <v>2792</v>
      </c>
      <c r="K27" s="286">
        <v>2249</v>
      </c>
      <c r="L27" s="286">
        <v>1803</v>
      </c>
      <c r="M27" s="286">
        <v>1871</v>
      </c>
      <c r="N27" s="7"/>
      <c r="O27" s="7"/>
      <c r="P27"/>
      <c r="Z27" s="28"/>
      <c r="AA27" s="28"/>
      <c r="AB27" s="28"/>
      <c r="AC27" s="28"/>
      <c r="AD27" s="28"/>
      <c r="AE27" s="28"/>
      <c r="AF27" s="28"/>
      <c r="AG27" s="28"/>
    </row>
    <row r="28" spans="1:152">
      <c r="A28" s="104" t="s">
        <v>226</v>
      </c>
      <c r="B28" s="287" t="s">
        <v>690</v>
      </c>
      <c r="C28" s="287" t="s">
        <v>690</v>
      </c>
      <c r="D28" s="287">
        <v>0</v>
      </c>
      <c r="E28" s="287" t="s">
        <v>690</v>
      </c>
      <c r="F28" s="287" t="s">
        <v>690</v>
      </c>
      <c r="G28" s="287">
        <v>2932</v>
      </c>
      <c r="H28" s="287">
        <v>2329</v>
      </c>
      <c r="I28" s="287">
        <v>1589</v>
      </c>
      <c r="J28" s="287">
        <v>1442</v>
      </c>
      <c r="K28" s="287">
        <v>1054</v>
      </c>
      <c r="L28" s="287">
        <v>697</v>
      </c>
      <c r="M28" s="287">
        <v>1048</v>
      </c>
      <c r="N28" s="38" t="s">
        <v>691</v>
      </c>
      <c r="O28" t="s">
        <v>226</v>
      </c>
      <c r="P28"/>
      <c r="Z28" s="37"/>
      <c r="AA28" s="37"/>
      <c r="AB28" s="37"/>
      <c r="AC28" s="37"/>
      <c r="AD28" s="37"/>
      <c r="AE28" s="36"/>
      <c r="AF28" s="36"/>
      <c r="AG28" s="36"/>
    </row>
    <row r="29" spans="1:152">
      <c r="A29" s="105" t="s">
        <v>457</v>
      </c>
      <c r="B29" s="287">
        <v>383</v>
      </c>
      <c r="C29" s="287">
        <v>333</v>
      </c>
      <c r="D29" s="287">
        <v>250</v>
      </c>
      <c r="E29" s="287">
        <v>318</v>
      </c>
      <c r="F29" s="287">
        <v>281</v>
      </c>
      <c r="G29" s="287">
        <v>256</v>
      </c>
      <c r="H29" s="287">
        <v>307</v>
      </c>
      <c r="I29" s="287">
        <v>303</v>
      </c>
      <c r="J29" s="287">
        <v>249</v>
      </c>
      <c r="K29" s="287">
        <v>194</v>
      </c>
      <c r="L29" s="287">
        <v>207</v>
      </c>
      <c r="M29" s="287">
        <v>176</v>
      </c>
      <c r="N29" s="38" t="s">
        <v>691</v>
      </c>
      <c r="O29" t="s">
        <v>457</v>
      </c>
      <c r="P29"/>
      <c r="Z29" s="37"/>
      <c r="AA29" s="37"/>
      <c r="AB29" s="37"/>
      <c r="AC29" s="37"/>
      <c r="AD29" s="37"/>
      <c r="AE29" s="36"/>
      <c r="AF29" s="36"/>
      <c r="AG29" s="36"/>
    </row>
    <row r="30" spans="1:152">
      <c r="A30" s="104" t="s">
        <v>228</v>
      </c>
      <c r="B30" s="287">
        <v>1779</v>
      </c>
      <c r="C30" s="287">
        <v>1449</v>
      </c>
      <c r="D30" s="287">
        <v>1289</v>
      </c>
      <c r="E30" s="287">
        <v>1133</v>
      </c>
      <c r="F30" s="287">
        <v>964</v>
      </c>
      <c r="G30" s="287">
        <v>896</v>
      </c>
      <c r="H30" s="287">
        <v>915</v>
      </c>
      <c r="I30" s="287">
        <v>949</v>
      </c>
      <c r="J30" s="287">
        <v>912</v>
      </c>
      <c r="K30" s="287">
        <v>813</v>
      </c>
      <c r="L30" s="287">
        <v>727</v>
      </c>
      <c r="M30" s="287">
        <v>535</v>
      </c>
      <c r="N30" s="38" t="s">
        <v>691</v>
      </c>
      <c r="O30" t="s">
        <v>228</v>
      </c>
      <c r="P30"/>
      <c r="Q30" s="23" t="s">
        <v>692</v>
      </c>
      <c r="R30" s="23" t="s">
        <v>693</v>
      </c>
      <c r="Z30" s="28">
        <v>7168</v>
      </c>
      <c r="AA30" s="28">
        <v>6460</v>
      </c>
      <c r="AB30" s="28">
        <v>7341</v>
      </c>
      <c r="AC30" s="28">
        <v>6081</v>
      </c>
      <c r="AD30" s="28">
        <v>5490</v>
      </c>
      <c r="AE30" s="28">
        <v>3057</v>
      </c>
      <c r="AF30" s="28">
        <v>3592</v>
      </c>
      <c r="AG30" s="28">
        <v>4867</v>
      </c>
    </row>
    <row r="31" spans="1:152" s="24" customFormat="1">
      <c r="A31" s="104" t="s">
        <v>694</v>
      </c>
      <c r="B31" s="287">
        <f t="shared" ref="B31" si="8">B27-SUM(B28:B30)</f>
        <v>9666</v>
      </c>
      <c r="C31" s="287">
        <f t="shared" ref="C31:M31" si="9">C27-SUM(C28:C30)</f>
        <v>7063</v>
      </c>
      <c r="D31" s="287">
        <f t="shared" si="9"/>
        <v>5111</v>
      </c>
      <c r="E31" s="287">
        <f t="shared" si="9"/>
        <v>4640</v>
      </c>
      <c r="F31" s="287">
        <f t="shared" si="9"/>
        <v>3731</v>
      </c>
      <c r="G31" s="287">
        <f t="shared" si="9"/>
        <v>387</v>
      </c>
      <c r="H31" s="287">
        <f t="shared" si="9"/>
        <v>262</v>
      </c>
      <c r="I31" s="287">
        <f t="shared" si="9"/>
        <v>254</v>
      </c>
      <c r="J31" s="287">
        <f t="shared" si="9"/>
        <v>189</v>
      </c>
      <c r="K31" s="287">
        <f t="shared" si="9"/>
        <v>188</v>
      </c>
      <c r="L31" s="287">
        <f t="shared" si="9"/>
        <v>172</v>
      </c>
      <c r="M31" s="287">
        <f t="shared" si="9"/>
        <v>112</v>
      </c>
      <c r="N31" s="38" t="s">
        <v>691</v>
      </c>
      <c r="O31" t="s">
        <v>228</v>
      </c>
      <c r="P31"/>
      <c r="Q31" s="23" t="s">
        <v>692</v>
      </c>
      <c r="R31" s="23" t="s">
        <v>695</v>
      </c>
      <c r="S31" s="23" t="s">
        <v>696</v>
      </c>
      <c r="T31" s="23" t="s">
        <v>697</v>
      </c>
      <c r="U31" s="23"/>
      <c r="V31" s="23"/>
      <c r="W31" s="23"/>
      <c r="X31" s="23"/>
      <c r="Y31" s="23"/>
      <c r="Z31" s="32">
        <f>5981+8522+1029+13556</f>
        <v>29088</v>
      </c>
      <c r="AA31" s="32">
        <f>6695+8991+1170+13651</f>
        <v>30507</v>
      </c>
      <c r="AB31" s="32">
        <f>7737+9027+1364+14644</f>
        <v>32772</v>
      </c>
      <c r="AC31" s="32">
        <v>33499</v>
      </c>
      <c r="AD31" s="32">
        <v>33911</v>
      </c>
      <c r="AE31" s="32">
        <v>31031</v>
      </c>
      <c r="AF31" s="32">
        <v>28849</v>
      </c>
      <c r="AG31" s="32">
        <v>27162</v>
      </c>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row>
    <row r="32" spans="1:152" s="24" customFormat="1">
      <c r="A32" s="10" t="s">
        <v>698</v>
      </c>
      <c r="B32" s="286">
        <f t="shared" ref="B32:M32" si="10">B38-B27</f>
        <v>5631</v>
      </c>
      <c r="C32" s="286">
        <f t="shared" si="10"/>
        <v>5002</v>
      </c>
      <c r="D32" s="286">
        <f t="shared" si="10"/>
        <v>4401</v>
      </c>
      <c r="E32" s="286">
        <f t="shared" si="10"/>
        <v>3790</v>
      </c>
      <c r="F32" s="286">
        <f t="shared" si="10"/>
        <v>3476</v>
      </c>
      <c r="G32" s="286">
        <f t="shared" si="10"/>
        <v>2297</v>
      </c>
      <c r="H32" s="286">
        <f t="shared" si="10"/>
        <v>2186</v>
      </c>
      <c r="I32" s="286">
        <f t="shared" si="10"/>
        <v>2093</v>
      </c>
      <c r="J32" s="286">
        <f t="shared" si="10"/>
        <v>1976</v>
      </c>
      <c r="K32" s="286">
        <f t="shared" si="10"/>
        <v>1689</v>
      </c>
      <c r="L32" s="286">
        <f t="shared" si="10"/>
        <v>1603</v>
      </c>
      <c r="M32" s="286">
        <f t="shared" si="10"/>
        <v>1377</v>
      </c>
      <c r="N32" s="38"/>
      <c r="O32"/>
      <c r="P32"/>
      <c r="Q32" s="23"/>
      <c r="R32" s="23"/>
      <c r="S32" s="23"/>
      <c r="T32" s="23"/>
      <c r="U32" s="23"/>
      <c r="V32" s="23"/>
      <c r="W32" s="23"/>
      <c r="X32" s="23"/>
      <c r="Y32" s="23"/>
      <c r="Z32" s="32"/>
      <c r="AA32" s="32"/>
      <c r="AB32" s="32"/>
      <c r="AC32" s="32"/>
      <c r="AD32" s="32"/>
      <c r="AE32" s="32"/>
      <c r="AF32" s="32"/>
      <c r="AG32" s="32"/>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row>
    <row r="33" spans="1:33">
      <c r="A33" s="106" t="s">
        <v>458</v>
      </c>
      <c r="B33" s="287">
        <v>6883</v>
      </c>
      <c r="C33" s="287">
        <v>6264</v>
      </c>
      <c r="D33" s="287">
        <v>5546</v>
      </c>
      <c r="E33" s="287">
        <v>4772</v>
      </c>
      <c r="F33" s="287">
        <v>4327</v>
      </c>
      <c r="G33" s="287">
        <v>2483</v>
      </c>
      <c r="H33" s="287">
        <v>2454</v>
      </c>
      <c r="I33" s="287">
        <v>2331</v>
      </c>
      <c r="J33" s="287">
        <v>2088</v>
      </c>
      <c r="K33" s="287">
        <v>1840</v>
      </c>
      <c r="L33" s="287">
        <v>1751</v>
      </c>
      <c r="M33" s="287">
        <v>1562</v>
      </c>
      <c r="N33" s="38"/>
      <c r="O33"/>
      <c r="P33"/>
      <c r="Q33" s="23" t="s">
        <v>692</v>
      </c>
      <c r="R33" s="23" t="s">
        <v>699</v>
      </c>
      <c r="Z33" s="28">
        <v>8614</v>
      </c>
      <c r="AA33" s="28">
        <v>9700</v>
      </c>
      <c r="AB33" s="28">
        <v>12205</v>
      </c>
      <c r="AC33" s="28">
        <v>12625</v>
      </c>
      <c r="AD33" s="28">
        <v>15547</v>
      </c>
      <c r="AE33" s="28">
        <v>14544</v>
      </c>
      <c r="AF33" s="28">
        <v>9587</v>
      </c>
      <c r="AG33" s="28">
        <v>6360</v>
      </c>
    </row>
    <row r="34" spans="1:33">
      <c r="A34" s="106" t="s">
        <v>700</v>
      </c>
      <c r="B34" s="287"/>
      <c r="C34" s="287"/>
      <c r="D34" s="287"/>
      <c r="E34" s="287"/>
      <c r="F34" s="287"/>
      <c r="G34" s="287"/>
      <c r="H34" s="287"/>
      <c r="I34" s="287"/>
      <c r="J34" s="287"/>
      <c r="K34" s="287"/>
      <c r="L34" s="287"/>
      <c r="M34" s="287"/>
      <c r="N34" s="38"/>
      <c r="O34"/>
      <c r="P34"/>
      <c r="Z34" s="28"/>
      <c r="AA34" s="28"/>
      <c r="AB34" s="28"/>
      <c r="AC34" s="28"/>
      <c r="AD34" s="28"/>
      <c r="AE34" s="28"/>
      <c r="AF34" s="28"/>
      <c r="AG34" s="28"/>
    </row>
    <row r="35" spans="1:33">
      <c r="A35" s="106" t="s">
        <v>701</v>
      </c>
      <c r="B35" s="287"/>
      <c r="C35" s="287"/>
      <c r="D35" s="287"/>
      <c r="E35" s="287"/>
      <c r="F35" s="287"/>
      <c r="G35" s="287"/>
      <c r="H35" s="287"/>
      <c r="I35" s="287"/>
      <c r="J35" s="287"/>
      <c r="K35" s="287"/>
      <c r="L35" s="287"/>
      <c r="M35" s="287"/>
      <c r="N35" s="38"/>
      <c r="O35"/>
      <c r="P35"/>
      <c r="Z35" s="28"/>
      <c r="AA35" s="28"/>
      <c r="AB35" s="28"/>
      <c r="AC35" s="28"/>
      <c r="AD35" s="28"/>
      <c r="AE35" s="28"/>
      <c r="AF35" s="28"/>
      <c r="AG35" s="28"/>
    </row>
    <row r="36" spans="1:33">
      <c r="A36" s="106" t="s">
        <v>702</v>
      </c>
      <c r="B36" s="287">
        <f t="shared" ref="B36" si="11">B32-SUM(B33:B35)</f>
        <v>-1252</v>
      </c>
      <c r="C36" s="287">
        <f t="shared" ref="C36" si="12">C32-SUM(C33:C35)</f>
        <v>-1262</v>
      </c>
      <c r="D36" s="287">
        <f t="shared" ref="D36" si="13">D32-SUM(D33:D35)</f>
        <v>-1145</v>
      </c>
      <c r="E36" s="287">
        <f>E32-SUM(E33:E35)</f>
        <v>-982</v>
      </c>
      <c r="F36" s="287">
        <f t="shared" ref="F36" si="14">F32-SUM(F33:F35)</f>
        <v>-851</v>
      </c>
      <c r="G36" s="287">
        <f t="shared" ref="G36" si="15">G32-SUM(G33:G35)</f>
        <v>-186</v>
      </c>
      <c r="H36" s="287">
        <f t="shared" ref="H36" si="16">H32-SUM(H33:H35)</f>
        <v>-268</v>
      </c>
      <c r="I36" s="287">
        <f t="shared" ref="I36" si="17">I32-SUM(I33:I35)</f>
        <v>-238</v>
      </c>
      <c r="J36" s="287">
        <f t="shared" ref="J36" si="18">J32-SUM(J33:J35)</f>
        <v>-112</v>
      </c>
      <c r="K36" s="287">
        <f t="shared" ref="K36" si="19">K32-SUM(K33:K35)</f>
        <v>-151</v>
      </c>
      <c r="L36" s="287">
        <f t="shared" ref="L36" si="20">L32-SUM(L33:L35)</f>
        <v>-148</v>
      </c>
      <c r="M36" s="287">
        <f t="shared" ref="M36" si="21">M32-SUM(M33:M35)</f>
        <v>-185</v>
      </c>
      <c r="N36" s="38" t="s">
        <v>691</v>
      </c>
      <c r="O36" t="s">
        <v>458</v>
      </c>
      <c r="P36"/>
      <c r="Z36" s="28"/>
      <c r="AA36" s="28"/>
      <c r="AB36" s="28"/>
      <c r="AC36" s="28"/>
      <c r="AD36" s="28"/>
      <c r="AE36" s="28"/>
      <c r="AF36" s="28"/>
      <c r="AG36" s="28"/>
    </row>
    <row r="37" spans="1:33">
      <c r="A37" s="23" t="s">
        <v>459</v>
      </c>
      <c r="B37" s="392">
        <f>B31+B36</f>
        <v>8414</v>
      </c>
      <c r="C37" s="392">
        <f>C31+C36</f>
        <v>5801</v>
      </c>
      <c r="D37" s="392">
        <f t="shared" ref="D37:M37" si="22">D31+D36</f>
        <v>3966</v>
      </c>
      <c r="E37" s="392">
        <f t="shared" si="22"/>
        <v>3658</v>
      </c>
      <c r="F37" s="392">
        <f t="shared" si="22"/>
        <v>2880</v>
      </c>
      <c r="G37" s="392">
        <f t="shared" si="22"/>
        <v>201</v>
      </c>
      <c r="H37" s="392">
        <f t="shared" si="22"/>
        <v>-6</v>
      </c>
      <c r="I37" s="392">
        <f t="shared" si="22"/>
        <v>16</v>
      </c>
      <c r="J37" s="392">
        <f t="shared" si="22"/>
        <v>77</v>
      </c>
      <c r="K37" s="392">
        <f t="shared" si="22"/>
        <v>37</v>
      </c>
      <c r="L37" s="392">
        <f t="shared" si="22"/>
        <v>24</v>
      </c>
      <c r="M37" s="392">
        <f t="shared" si="22"/>
        <v>-73</v>
      </c>
      <c r="N37" s="38" t="s">
        <v>691</v>
      </c>
      <c r="O37"/>
      <c r="P37"/>
      <c r="Z37" s="28"/>
      <c r="AA37" s="28"/>
      <c r="AB37" s="28"/>
      <c r="AC37" s="28"/>
      <c r="AD37" s="28"/>
      <c r="AE37" s="28"/>
      <c r="AF37" s="28"/>
      <c r="AG37" s="28"/>
    </row>
    <row r="38" spans="1:33">
      <c r="A38" s="10" t="s">
        <v>26</v>
      </c>
      <c r="B38" s="286">
        <v>17459</v>
      </c>
      <c r="C38" s="286">
        <v>13847</v>
      </c>
      <c r="D38" s="286">
        <v>11051</v>
      </c>
      <c r="E38" s="286">
        <v>9881</v>
      </c>
      <c r="F38" s="286">
        <v>8452</v>
      </c>
      <c r="G38" s="286">
        <v>6768</v>
      </c>
      <c r="H38" s="286">
        <v>5999</v>
      </c>
      <c r="I38" s="286">
        <v>5188</v>
      </c>
      <c r="J38" s="286">
        <v>4768</v>
      </c>
      <c r="K38" s="286">
        <v>3938</v>
      </c>
      <c r="L38" s="286">
        <v>3406</v>
      </c>
      <c r="M38" s="286">
        <v>3248</v>
      </c>
      <c r="N38" s="38" t="s">
        <v>691</v>
      </c>
      <c r="O38" t="s">
        <v>26</v>
      </c>
      <c r="P38"/>
      <c r="Q38" s="23" t="s">
        <v>692</v>
      </c>
      <c r="R38" s="23" t="s">
        <v>703</v>
      </c>
      <c r="Z38" s="28">
        <v>15322</v>
      </c>
      <c r="AA38" s="28">
        <v>16090</v>
      </c>
      <c r="AB38" s="28">
        <f>16577</f>
        <v>16577</v>
      </c>
      <c r="AC38" s="28">
        <v>17075</v>
      </c>
      <c r="AD38" s="28">
        <v>16461</v>
      </c>
      <c r="AE38" s="28">
        <v>14395</v>
      </c>
      <c r="AF38" s="28">
        <v>12539</v>
      </c>
      <c r="AG38" s="28">
        <v>12386</v>
      </c>
    </row>
    <row r="39" spans="1:33">
      <c r="B39" s="392"/>
      <c r="C39" s="392"/>
      <c r="D39" s="392"/>
      <c r="E39" s="392"/>
      <c r="F39" s="392"/>
      <c r="G39" s="392"/>
      <c r="H39" s="392"/>
      <c r="I39" s="392"/>
      <c r="J39" s="392"/>
      <c r="K39" s="392"/>
      <c r="L39" s="392"/>
      <c r="M39" s="392"/>
      <c r="N39" s="38" t="s">
        <v>691</v>
      </c>
      <c r="O39"/>
      <c r="P39"/>
      <c r="Z39" s="25">
        <f t="shared" ref="Z39:AG39" si="23">Z40-SUM(Z30:Z38)</f>
        <v>14512</v>
      </c>
      <c r="AA39" s="25">
        <f t="shared" si="23"/>
        <v>15585</v>
      </c>
      <c r="AB39" s="25">
        <f t="shared" si="23"/>
        <v>15786</v>
      </c>
      <c r="AC39" s="25">
        <f t="shared" si="23"/>
        <v>15616</v>
      </c>
      <c r="AD39" s="25">
        <f t="shared" si="23"/>
        <v>17947</v>
      </c>
      <c r="AE39" s="25">
        <f t="shared" si="23"/>
        <v>18419</v>
      </c>
      <c r="AF39" s="25">
        <f t="shared" si="23"/>
        <v>9453</v>
      </c>
      <c r="AG39" s="25">
        <f t="shared" si="23"/>
        <v>9263</v>
      </c>
    </row>
    <row r="40" spans="1:33">
      <c r="B40" s="392"/>
      <c r="C40" s="392"/>
      <c r="D40" s="392"/>
      <c r="E40" s="392"/>
      <c r="F40" s="392"/>
      <c r="G40" s="392"/>
      <c r="H40" s="392"/>
      <c r="I40" s="392"/>
      <c r="J40" s="392"/>
      <c r="K40" s="392"/>
      <c r="L40" s="392"/>
      <c r="M40" s="392"/>
      <c r="N40" s="38" t="s">
        <v>691</v>
      </c>
      <c r="O40"/>
      <c r="P40"/>
      <c r="Q40" s="23" t="s">
        <v>692</v>
      </c>
      <c r="R40" s="23" t="s">
        <v>704</v>
      </c>
      <c r="Z40" s="39">
        <v>74704</v>
      </c>
      <c r="AA40" s="39">
        <v>78342</v>
      </c>
      <c r="AB40" s="39">
        <v>84681</v>
      </c>
      <c r="AC40" s="39">
        <v>84896</v>
      </c>
      <c r="AD40" s="39">
        <v>89356</v>
      </c>
      <c r="AE40" s="39">
        <v>81446</v>
      </c>
      <c r="AF40" s="39">
        <v>64020</v>
      </c>
      <c r="AG40" s="39">
        <v>60038</v>
      </c>
    </row>
    <row r="41" spans="1:33">
      <c r="A41" s="107" t="s">
        <v>705</v>
      </c>
      <c r="B41" s="286">
        <v>5018</v>
      </c>
      <c r="C41" s="286">
        <v>4447</v>
      </c>
      <c r="D41" s="286">
        <v>3670</v>
      </c>
      <c r="E41" s="286">
        <v>3313</v>
      </c>
      <c r="F41" s="286">
        <v>2982</v>
      </c>
      <c r="G41" s="286">
        <v>1729</v>
      </c>
      <c r="H41" s="286">
        <v>1616</v>
      </c>
      <c r="I41" s="286">
        <v>1446</v>
      </c>
      <c r="J41" s="286">
        <v>1319</v>
      </c>
      <c r="K41" s="286">
        <v>1112</v>
      </c>
      <c r="L41" s="286">
        <v>1061</v>
      </c>
      <c r="M41" s="286">
        <v>936</v>
      </c>
      <c r="N41" s="38" t="s">
        <v>691</v>
      </c>
      <c r="O41"/>
      <c r="P41"/>
      <c r="Z41" s="30"/>
      <c r="AA41" s="30"/>
      <c r="AB41" s="30"/>
      <c r="AC41" s="30"/>
      <c r="AD41" s="30"/>
      <c r="AE41" s="30"/>
      <c r="AF41" s="30"/>
      <c r="AG41" s="30"/>
    </row>
    <row r="42" spans="1:33">
      <c r="A42" s="10" t="s">
        <v>232</v>
      </c>
      <c r="B42" s="286">
        <v>3004</v>
      </c>
      <c r="C42" s="286">
        <v>2575</v>
      </c>
      <c r="D42" s="286">
        <v>1839</v>
      </c>
      <c r="E42" s="286">
        <v>2024</v>
      </c>
      <c r="F42" s="286">
        <v>1717</v>
      </c>
      <c r="G42" s="286">
        <v>1358</v>
      </c>
      <c r="H42" s="286">
        <v>1290</v>
      </c>
      <c r="I42" s="286">
        <v>1157</v>
      </c>
      <c r="J42" s="286">
        <v>1044</v>
      </c>
      <c r="K42" s="286">
        <v>880</v>
      </c>
      <c r="L42" s="286">
        <v>864</v>
      </c>
      <c r="M42" s="286">
        <v>775</v>
      </c>
      <c r="N42" s="38" t="s">
        <v>691</v>
      </c>
      <c r="O42" t="s">
        <v>232</v>
      </c>
      <c r="P42"/>
      <c r="Z42" s="30"/>
      <c r="AA42" s="30"/>
      <c r="AB42" s="30"/>
      <c r="AC42" s="30"/>
      <c r="AD42" s="30"/>
      <c r="AE42" s="30"/>
      <c r="AF42" s="30"/>
      <c r="AG42" s="30"/>
    </row>
    <row r="43" spans="1:33">
      <c r="A43" s="104" t="s">
        <v>706</v>
      </c>
      <c r="B43" s="287">
        <v>659</v>
      </c>
      <c r="C43" s="287">
        <v>450</v>
      </c>
      <c r="D43" s="287">
        <v>373</v>
      </c>
      <c r="E43" s="287">
        <v>406</v>
      </c>
      <c r="F43" s="287">
        <v>416</v>
      </c>
      <c r="G43" s="287">
        <v>426</v>
      </c>
      <c r="H43" s="287">
        <v>423</v>
      </c>
      <c r="I43" s="287">
        <v>403</v>
      </c>
      <c r="J43" s="287">
        <v>340</v>
      </c>
      <c r="K43" s="287">
        <v>314</v>
      </c>
      <c r="L43" s="287">
        <v>302</v>
      </c>
      <c r="M43" s="287" t="s">
        <v>690</v>
      </c>
      <c r="N43" s="38"/>
      <c r="O43"/>
      <c r="P43"/>
      <c r="Z43" s="37"/>
      <c r="AA43" s="37"/>
      <c r="AB43" s="37"/>
      <c r="AC43" s="37"/>
      <c r="AD43" s="37"/>
      <c r="AE43" s="36"/>
      <c r="AF43" s="36"/>
      <c r="AG43" s="36"/>
    </row>
    <row r="44" spans="1:33" s="10" customFormat="1">
      <c r="A44" s="27" t="s">
        <v>461</v>
      </c>
      <c r="B44" s="287">
        <v>2</v>
      </c>
      <c r="C44" s="287">
        <v>1</v>
      </c>
      <c r="D44" s="287">
        <v>16</v>
      </c>
      <c r="E44" s="287">
        <v>13</v>
      </c>
      <c r="F44" s="287">
        <v>14</v>
      </c>
      <c r="G44" s="287">
        <v>21</v>
      </c>
      <c r="H44" s="287">
        <v>20</v>
      </c>
      <c r="I44" s="287">
        <v>30</v>
      </c>
      <c r="J44" s="287">
        <v>22</v>
      </c>
      <c r="K44" s="287">
        <v>32</v>
      </c>
      <c r="L44" s="287">
        <v>0</v>
      </c>
      <c r="M44" s="287">
        <v>21</v>
      </c>
      <c r="N44" s="38" t="s">
        <v>691</v>
      </c>
      <c r="O44" t="s">
        <v>707</v>
      </c>
      <c r="P44"/>
      <c r="Q44" s="23" t="s">
        <v>692</v>
      </c>
      <c r="R44" s="10" t="s">
        <v>708</v>
      </c>
      <c r="Z44" s="39">
        <v>26132</v>
      </c>
      <c r="AA44" s="39">
        <v>26242</v>
      </c>
      <c r="AB44" s="39">
        <v>27877</v>
      </c>
      <c r="AC44" s="39">
        <v>27297</v>
      </c>
      <c r="AD44" s="39">
        <v>29415</v>
      </c>
      <c r="AE44" s="39">
        <f>93+3895+8161+3386+2410+2691+298+1967+558+5102</f>
        <v>28561</v>
      </c>
      <c r="AF44" s="39">
        <f>204+3852+5856+2880+1670+1831+281+1521+495+3430</f>
        <v>22020</v>
      </c>
      <c r="AG44" s="39">
        <f>433+3650+2993+3351+797+1217+262+888+302+5399</f>
        <v>19292</v>
      </c>
    </row>
    <row r="45" spans="1:33" s="10" customFormat="1">
      <c r="A45" s="27" t="s">
        <v>462</v>
      </c>
      <c r="B45" s="287"/>
      <c r="C45" s="287"/>
      <c r="D45" s="287"/>
      <c r="E45" s="287"/>
      <c r="F45" s="287"/>
      <c r="G45" s="287"/>
      <c r="H45" s="287"/>
      <c r="I45" s="287"/>
      <c r="J45" s="287"/>
      <c r="K45" s="287"/>
      <c r="L45" s="287"/>
      <c r="M45" s="287"/>
      <c r="N45" s="38"/>
      <c r="O45"/>
      <c r="P45"/>
      <c r="Q45" s="23"/>
      <c r="Z45" s="39"/>
      <c r="AA45" s="39"/>
      <c r="AB45" s="39"/>
      <c r="AC45" s="39"/>
      <c r="AD45" s="39"/>
      <c r="AE45" s="39"/>
      <c r="AF45" s="39"/>
      <c r="AG45" s="39"/>
    </row>
    <row r="46" spans="1:33">
      <c r="A46" s="104" t="s">
        <v>463</v>
      </c>
      <c r="B46" s="287">
        <f t="shared" ref="B46" si="24">B42-SUM(B43:B45)</f>
        <v>2343</v>
      </c>
      <c r="C46" s="287">
        <f t="shared" ref="C46:M46" si="25">C42-SUM(C43:C45)</f>
        <v>2124</v>
      </c>
      <c r="D46" s="287">
        <f t="shared" si="25"/>
        <v>1450</v>
      </c>
      <c r="E46" s="287">
        <f t="shared" si="25"/>
        <v>1605</v>
      </c>
      <c r="F46" s="287">
        <f>F42-SUM(F43:F45)</f>
        <v>1287</v>
      </c>
      <c r="G46" s="287">
        <f t="shared" si="25"/>
        <v>911</v>
      </c>
      <c r="H46" s="287">
        <f t="shared" si="25"/>
        <v>847</v>
      </c>
      <c r="I46" s="287">
        <f t="shared" si="25"/>
        <v>724</v>
      </c>
      <c r="J46" s="287">
        <f t="shared" si="25"/>
        <v>682</v>
      </c>
      <c r="K46" s="287">
        <f t="shared" si="25"/>
        <v>534</v>
      </c>
      <c r="L46" s="287">
        <f t="shared" si="25"/>
        <v>562</v>
      </c>
      <c r="M46" s="287">
        <f t="shared" si="25"/>
        <v>754</v>
      </c>
      <c r="N46" s="38" t="s">
        <v>691</v>
      </c>
      <c r="O46"/>
      <c r="P46"/>
      <c r="R46" s="23" t="s">
        <v>709</v>
      </c>
      <c r="Z46" s="32">
        <v>7303</v>
      </c>
      <c r="AA46" s="32">
        <v>6967</v>
      </c>
      <c r="AB46" s="32">
        <v>4708</v>
      </c>
      <c r="AC46" s="32">
        <v>3679</v>
      </c>
      <c r="AD46" s="32">
        <v>5287</v>
      </c>
      <c r="AE46" s="32">
        <v>5660</v>
      </c>
      <c r="AF46" s="32">
        <v>3925</v>
      </c>
      <c r="AG46" s="32">
        <v>5701</v>
      </c>
    </row>
    <row r="47" spans="1:33">
      <c r="A47" s="10" t="s">
        <v>464</v>
      </c>
      <c r="B47" s="286">
        <f t="shared" ref="B47:M47" si="26">B51-B42</f>
        <v>2014</v>
      </c>
      <c r="C47" s="286">
        <f t="shared" si="26"/>
        <v>1872</v>
      </c>
      <c r="D47" s="286">
        <f t="shared" si="26"/>
        <v>1831</v>
      </c>
      <c r="E47" s="286">
        <f t="shared" si="26"/>
        <v>1289</v>
      </c>
      <c r="F47" s="286">
        <f t="shared" si="26"/>
        <v>1265</v>
      </c>
      <c r="G47" s="286">
        <f t="shared" si="26"/>
        <v>371</v>
      </c>
      <c r="H47" s="286">
        <f t="shared" si="26"/>
        <v>326</v>
      </c>
      <c r="I47" s="286">
        <f t="shared" si="26"/>
        <v>289</v>
      </c>
      <c r="J47" s="286">
        <f t="shared" si="26"/>
        <v>275</v>
      </c>
      <c r="K47" s="286">
        <f t="shared" si="26"/>
        <v>232</v>
      </c>
      <c r="L47" s="286">
        <f t="shared" si="26"/>
        <v>197</v>
      </c>
      <c r="M47" s="286">
        <f t="shared" si="26"/>
        <v>161</v>
      </c>
      <c r="N47" s="38" t="s">
        <v>691</v>
      </c>
      <c r="O47" t="s">
        <v>710</v>
      </c>
      <c r="P47"/>
      <c r="Z47" s="32"/>
      <c r="AA47" s="32"/>
      <c r="AB47" s="32"/>
      <c r="AC47" s="32"/>
      <c r="AD47" s="32"/>
      <c r="AE47" s="32"/>
      <c r="AF47" s="32"/>
      <c r="AG47" s="32"/>
    </row>
    <row r="48" spans="1:33">
      <c r="A48" s="27" t="s">
        <v>465</v>
      </c>
      <c r="B48" s="287">
        <v>35</v>
      </c>
      <c r="C48" s="287">
        <v>24</v>
      </c>
      <c r="D48" s="287">
        <v>18</v>
      </c>
      <c r="E48" s="287">
        <v>30</v>
      </c>
      <c r="F48" s="287">
        <v>28</v>
      </c>
      <c r="G48" s="287">
        <v>24</v>
      </c>
      <c r="H48" s="287">
        <v>21</v>
      </c>
      <c r="I48" s="287">
        <v>11</v>
      </c>
      <c r="J48" s="287">
        <v>20</v>
      </c>
      <c r="K48" s="287">
        <v>25</v>
      </c>
      <c r="L48" s="287">
        <v>24</v>
      </c>
      <c r="M48" s="287">
        <v>11</v>
      </c>
      <c r="N48" s="38" t="s">
        <v>691</v>
      </c>
      <c r="O48" t="s">
        <v>711</v>
      </c>
      <c r="P48"/>
      <c r="Z48" s="25">
        <f t="shared" ref="Z48:AG48" si="27">Z44-Z46</f>
        <v>18829</v>
      </c>
      <c r="AA48" s="25">
        <f t="shared" si="27"/>
        <v>19275</v>
      </c>
      <c r="AB48" s="25">
        <f t="shared" si="27"/>
        <v>23169</v>
      </c>
      <c r="AC48" s="25">
        <f t="shared" si="27"/>
        <v>23618</v>
      </c>
      <c r="AD48" s="25">
        <f t="shared" si="27"/>
        <v>24128</v>
      </c>
      <c r="AE48" s="25">
        <f t="shared" si="27"/>
        <v>22901</v>
      </c>
      <c r="AF48" s="25">
        <f t="shared" si="27"/>
        <v>18095</v>
      </c>
      <c r="AG48" s="25">
        <f t="shared" si="27"/>
        <v>13591</v>
      </c>
    </row>
    <row r="49" spans="1:33" s="10" customFormat="1">
      <c r="A49" s="27" t="s">
        <v>466</v>
      </c>
      <c r="B49" s="287"/>
      <c r="C49" s="287"/>
      <c r="D49" s="287"/>
      <c r="E49" s="287"/>
      <c r="F49" s="287"/>
      <c r="G49" s="287"/>
      <c r="H49" s="287"/>
      <c r="I49" s="287"/>
      <c r="J49" s="287"/>
      <c r="K49" s="287"/>
      <c r="L49" s="287"/>
      <c r="M49" s="287"/>
      <c r="N49" s="38"/>
      <c r="O49"/>
      <c r="P49"/>
      <c r="Q49" s="23" t="s">
        <v>692</v>
      </c>
      <c r="R49" s="10" t="s">
        <v>712</v>
      </c>
      <c r="Z49" s="39">
        <f>61491-Z44</f>
        <v>35359</v>
      </c>
      <c r="AA49" s="39">
        <f>63457-AA44</f>
        <v>37215</v>
      </c>
      <c r="AB49" s="39">
        <f>67855-AB44</f>
        <v>39978</v>
      </c>
      <c r="AC49" s="39">
        <v>36721</v>
      </c>
      <c r="AD49" s="39">
        <v>41973</v>
      </c>
      <c r="AE49" s="39">
        <f>8415+16529+10956+3583</f>
        <v>39483</v>
      </c>
      <c r="AF49" s="39">
        <f>4505+15932+7584+2654</f>
        <v>30675</v>
      </c>
      <c r="AG49" s="39">
        <f>5652+16195+7420+2179</f>
        <v>31446</v>
      </c>
    </row>
    <row r="50" spans="1:33">
      <c r="A50" s="104" t="s">
        <v>467</v>
      </c>
      <c r="B50" s="287">
        <f t="shared" ref="B50" si="28">B47-SUM(B48:B49)</f>
        <v>1979</v>
      </c>
      <c r="C50" s="287">
        <f t="shared" ref="C50:M50" si="29">C47-SUM(C48:C49)</f>
        <v>1848</v>
      </c>
      <c r="D50" s="287">
        <f t="shared" si="29"/>
        <v>1813</v>
      </c>
      <c r="E50" s="287">
        <f t="shared" si="29"/>
        <v>1259</v>
      </c>
      <c r="F50" s="287">
        <f t="shared" si="29"/>
        <v>1237</v>
      </c>
      <c r="G50" s="287">
        <f t="shared" si="29"/>
        <v>347</v>
      </c>
      <c r="H50" s="287">
        <f t="shared" si="29"/>
        <v>305</v>
      </c>
      <c r="I50" s="287">
        <f t="shared" si="29"/>
        <v>278</v>
      </c>
      <c r="J50" s="287">
        <f t="shared" si="29"/>
        <v>255</v>
      </c>
      <c r="K50" s="287">
        <f>K47-SUM(K48:K49)</f>
        <v>207</v>
      </c>
      <c r="L50" s="287">
        <f t="shared" si="29"/>
        <v>173</v>
      </c>
      <c r="M50" s="287">
        <f t="shared" si="29"/>
        <v>150</v>
      </c>
      <c r="N50" s="38" t="s">
        <v>691</v>
      </c>
      <c r="O50" t="s">
        <v>713</v>
      </c>
      <c r="P50"/>
      <c r="R50" s="23" t="s">
        <v>714</v>
      </c>
      <c r="Z50" s="28">
        <v>22818</v>
      </c>
      <c r="AA50" s="28">
        <v>25169</v>
      </c>
      <c r="AB50" s="28">
        <v>27784</v>
      </c>
      <c r="AC50" s="28">
        <v>26719</v>
      </c>
      <c r="AD50" s="28">
        <v>27752</v>
      </c>
      <c r="AE50" s="28">
        <v>24944</v>
      </c>
      <c r="AF50" s="28">
        <v>20437</v>
      </c>
      <c r="AG50" s="28">
        <v>21847</v>
      </c>
    </row>
    <row r="51" spans="1:33">
      <c r="A51" s="10" t="s">
        <v>32</v>
      </c>
      <c r="B51" s="286">
        <v>5018</v>
      </c>
      <c r="C51" s="286">
        <v>4447</v>
      </c>
      <c r="D51" s="286">
        <v>3670</v>
      </c>
      <c r="E51" s="286">
        <v>3313</v>
      </c>
      <c r="F51" s="286">
        <v>2982</v>
      </c>
      <c r="G51" s="286">
        <v>1729</v>
      </c>
      <c r="H51" s="286">
        <v>1616</v>
      </c>
      <c r="I51" s="286">
        <v>1446</v>
      </c>
      <c r="J51" s="286">
        <v>1319</v>
      </c>
      <c r="K51" s="286">
        <v>1112</v>
      </c>
      <c r="L51" s="286">
        <v>1061</v>
      </c>
      <c r="M51" s="286">
        <v>936</v>
      </c>
      <c r="N51" s="38" t="s">
        <v>691</v>
      </c>
      <c r="O51" t="s">
        <v>32</v>
      </c>
      <c r="P51"/>
      <c r="Z51" s="28"/>
      <c r="AA51" s="28"/>
      <c r="AB51" s="28"/>
      <c r="AC51" s="28"/>
      <c r="AD51" s="28"/>
      <c r="AE51" s="28"/>
      <c r="AF51" s="28"/>
      <c r="AG51" s="28"/>
    </row>
    <row r="52" spans="1:33">
      <c r="B52" s="392"/>
      <c r="C52" s="392"/>
      <c r="D52" s="392"/>
      <c r="E52" s="392"/>
      <c r="F52" s="392"/>
      <c r="G52" s="392"/>
      <c r="H52" s="392"/>
      <c r="I52" s="392"/>
      <c r="J52" s="392"/>
      <c r="K52" s="392"/>
      <c r="L52" s="392"/>
      <c r="M52" s="392"/>
      <c r="N52" s="38" t="s">
        <v>691</v>
      </c>
      <c r="O52"/>
      <c r="P52"/>
      <c r="Z52" s="25">
        <f t="shared" ref="Z52:AG52" si="30">Z49-Z50</f>
        <v>12541</v>
      </c>
      <c r="AA52" s="25">
        <f t="shared" si="30"/>
        <v>12046</v>
      </c>
      <c r="AB52" s="25">
        <f t="shared" si="30"/>
        <v>12194</v>
      </c>
      <c r="AC52" s="25">
        <f t="shared" si="30"/>
        <v>10002</v>
      </c>
      <c r="AD52" s="25">
        <f t="shared" si="30"/>
        <v>14221</v>
      </c>
      <c r="AE52" s="25">
        <f t="shared" si="30"/>
        <v>14539</v>
      </c>
      <c r="AF52" s="25">
        <f t="shared" si="30"/>
        <v>10238</v>
      </c>
      <c r="AG52" s="25">
        <f t="shared" si="30"/>
        <v>9599</v>
      </c>
    </row>
    <row r="53" spans="1:33" s="10" customFormat="1">
      <c r="A53" s="23"/>
      <c r="B53" s="392"/>
      <c r="C53" s="392"/>
      <c r="D53" s="392"/>
      <c r="E53" s="392"/>
      <c r="F53" s="392"/>
      <c r="G53" s="392"/>
      <c r="H53" s="392"/>
      <c r="I53" s="392"/>
      <c r="J53" s="392"/>
      <c r="K53" s="392"/>
      <c r="L53" s="392"/>
      <c r="M53" s="392"/>
      <c r="N53" s="38" t="s">
        <v>691</v>
      </c>
      <c r="O53"/>
      <c r="P53"/>
      <c r="Z53" s="36">
        <f>+Z49+Z44</f>
        <v>61491</v>
      </c>
      <c r="AA53" s="36">
        <f>+AA49+AA44</f>
        <v>63457</v>
      </c>
      <c r="AB53" s="36">
        <f>+AB49+AB44</f>
        <v>67855</v>
      </c>
      <c r="AC53" s="36">
        <f>AC44+AC49</f>
        <v>64018</v>
      </c>
      <c r="AD53" s="36">
        <f>AD49+AD44</f>
        <v>71388</v>
      </c>
      <c r="AE53" s="36">
        <f>AE49+AE44</f>
        <v>68044</v>
      </c>
      <c r="AF53" s="36">
        <f>AF49+AF44</f>
        <v>52695</v>
      </c>
      <c r="AG53" s="36">
        <f>AG49+AG44</f>
        <v>50738</v>
      </c>
    </row>
    <row r="54" spans="1:33">
      <c r="A54" s="40" t="s">
        <v>469</v>
      </c>
      <c r="B54" s="396">
        <v>16</v>
      </c>
      <c r="C54" s="396">
        <v>12</v>
      </c>
      <c r="D54" s="396">
        <v>11</v>
      </c>
      <c r="E54" s="396">
        <v>8</v>
      </c>
      <c r="F54" s="396">
        <v>5</v>
      </c>
      <c r="G54" s="396">
        <v>7</v>
      </c>
      <c r="H54" s="396">
        <v>2</v>
      </c>
      <c r="I54" s="396">
        <v>7</v>
      </c>
      <c r="J54" s="396">
        <v>10</v>
      </c>
      <c r="K54" s="396">
        <v>16</v>
      </c>
      <c r="L54" s="396">
        <v>14</v>
      </c>
      <c r="M54" s="396">
        <v>13</v>
      </c>
      <c r="N54" s="38" t="s">
        <v>691</v>
      </c>
      <c r="O54" t="s">
        <v>469</v>
      </c>
      <c r="P54"/>
    </row>
    <row r="55" spans="1:33">
      <c r="B55" s="392"/>
      <c r="C55" s="392"/>
      <c r="D55" s="392"/>
      <c r="E55" s="392"/>
      <c r="F55" s="392"/>
      <c r="G55" s="392"/>
      <c r="H55" s="392"/>
      <c r="I55" s="392"/>
      <c r="J55" s="392"/>
      <c r="K55" s="392"/>
      <c r="L55" s="392"/>
      <c r="M55" s="392"/>
      <c r="N55" s="38" t="s">
        <v>691</v>
      </c>
      <c r="O55"/>
      <c r="P55"/>
    </row>
    <row r="56" spans="1:33" s="10" customFormat="1">
      <c r="A56" s="10" t="s">
        <v>470</v>
      </c>
      <c r="B56" s="286">
        <f t="shared" ref="B56" si="31">B38-B51-B54</f>
        <v>12425</v>
      </c>
      <c r="C56" s="286">
        <f t="shared" ref="C56:M56" si="32">C38-C51-C54</f>
        <v>9388</v>
      </c>
      <c r="D56" s="286">
        <f t="shared" si="32"/>
        <v>7370</v>
      </c>
      <c r="E56" s="286">
        <f>E38-E51-E54</f>
        <v>6560</v>
      </c>
      <c r="F56" s="286">
        <f t="shared" si="32"/>
        <v>5465</v>
      </c>
      <c r="G56" s="286">
        <f t="shared" si="32"/>
        <v>5032</v>
      </c>
      <c r="H56" s="286">
        <f t="shared" si="32"/>
        <v>4381</v>
      </c>
      <c r="I56" s="286">
        <f t="shared" si="32"/>
        <v>3735</v>
      </c>
      <c r="J56" s="286">
        <f>J38-J51-J54</f>
        <v>3439</v>
      </c>
      <c r="K56" s="286">
        <f>K38-K51-K54</f>
        <v>2810</v>
      </c>
      <c r="L56" s="286">
        <f t="shared" si="32"/>
        <v>2331</v>
      </c>
      <c r="M56" s="286">
        <f t="shared" si="32"/>
        <v>2299</v>
      </c>
      <c r="N56" s="38" t="s">
        <v>691</v>
      </c>
      <c r="O56"/>
      <c r="P56"/>
      <c r="Q56" s="23" t="s">
        <v>692</v>
      </c>
      <c r="R56" s="10" t="s">
        <v>715</v>
      </c>
    </row>
    <row r="57" spans="1:33">
      <c r="A57" s="10"/>
      <c r="B57" s="286"/>
      <c r="C57" s="286"/>
      <c r="D57" s="286"/>
      <c r="E57" s="286"/>
      <c r="F57" s="286"/>
      <c r="G57" s="286"/>
      <c r="H57" s="286"/>
      <c r="I57" s="286"/>
      <c r="J57" s="286"/>
      <c r="K57" s="286"/>
      <c r="L57" s="286"/>
      <c r="M57" s="286"/>
      <c r="N57" s="38"/>
      <c r="O57"/>
      <c r="P57"/>
    </row>
    <row r="58" spans="1:33">
      <c r="A58" s="52" t="s">
        <v>716</v>
      </c>
      <c r="B58" s="286"/>
      <c r="C58" s="286"/>
      <c r="D58" s="286"/>
      <c r="E58" s="286"/>
      <c r="F58" s="286"/>
      <c r="G58" s="286"/>
      <c r="H58" s="286"/>
      <c r="I58" s="286"/>
      <c r="J58" s="286"/>
      <c r="K58" s="286"/>
      <c r="L58" s="286"/>
      <c r="M58" s="286"/>
      <c r="N58" s="38"/>
      <c r="O58"/>
      <c r="P58"/>
    </row>
    <row r="59" spans="1:33">
      <c r="A59" s="10" t="s">
        <v>472</v>
      </c>
      <c r="B59" s="286">
        <v>4185</v>
      </c>
      <c r="C59" s="286">
        <v>3406</v>
      </c>
      <c r="D59" s="286">
        <v>1642</v>
      </c>
      <c r="E59" s="286">
        <v>2087</v>
      </c>
      <c r="F59" s="286">
        <v>1940</v>
      </c>
      <c r="G59" s="286">
        <v>1606</v>
      </c>
      <c r="H59" s="286">
        <v>1474</v>
      </c>
      <c r="I59" s="286">
        <v>1188</v>
      </c>
      <c r="J59" s="286">
        <v>967</v>
      </c>
      <c r="K59" s="286">
        <v>897</v>
      </c>
      <c r="L59" s="286">
        <v>771</v>
      </c>
      <c r="M59" s="286">
        <v>736</v>
      </c>
      <c r="N59" s="38"/>
      <c r="O59"/>
      <c r="P59"/>
    </row>
    <row r="60" spans="1:33">
      <c r="A60" s="27" t="s">
        <v>223</v>
      </c>
      <c r="B60" s="287">
        <f t="shared" ref="B60:M60" si="33">B12</f>
        <v>3367</v>
      </c>
      <c r="C60" s="287">
        <f t="shared" si="33"/>
        <v>2446</v>
      </c>
      <c r="D60" s="287">
        <f t="shared" si="33"/>
        <v>1385</v>
      </c>
      <c r="E60" s="287">
        <f t="shared" si="33"/>
        <v>1528</v>
      </c>
      <c r="F60" s="287">
        <f t="shared" si="33"/>
        <v>1406</v>
      </c>
      <c r="G60" s="287">
        <f t="shared" si="33"/>
        <v>1222</v>
      </c>
      <c r="H60" s="287">
        <f t="shared" si="33"/>
        <v>1100</v>
      </c>
      <c r="I60" s="287">
        <f t="shared" si="33"/>
        <v>973</v>
      </c>
      <c r="J60" s="287">
        <f t="shared" si="33"/>
        <v>859</v>
      </c>
      <c r="K60" s="287">
        <f t="shared" si="33"/>
        <v>790</v>
      </c>
      <c r="L60" s="287">
        <f t="shared" si="33"/>
        <v>740</v>
      </c>
      <c r="M60" s="287">
        <f t="shared" si="33"/>
        <v>594</v>
      </c>
      <c r="N60" s="38"/>
      <c r="O60"/>
      <c r="P60"/>
    </row>
    <row r="61" spans="1:33">
      <c r="A61" s="104" t="s">
        <v>86</v>
      </c>
      <c r="B61" s="287">
        <v>551</v>
      </c>
      <c r="C61" s="287">
        <v>512</v>
      </c>
      <c r="D61" s="287">
        <v>468</v>
      </c>
      <c r="E61" s="287">
        <v>407</v>
      </c>
      <c r="F61" s="287">
        <v>369</v>
      </c>
      <c r="G61" s="287">
        <v>167</v>
      </c>
      <c r="H61" s="287">
        <v>168</v>
      </c>
      <c r="I61" s="287">
        <v>147</v>
      </c>
      <c r="J61" s="287">
        <v>118</v>
      </c>
      <c r="K61" s="287">
        <v>115</v>
      </c>
      <c r="L61" s="287">
        <v>101</v>
      </c>
      <c r="M61" s="287">
        <v>97</v>
      </c>
      <c r="N61" s="38"/>
      <c r="O61"/>
      <c r="P61"/>
    </row>
    <row r="62" spans="1:33">
      <c r="A62" s="104" t="s">
        <v>717</v>
      </c>
      <c r="B62" s="287"/>
      <c r="C62" s="287"/>
      <c r="D62" s="287"/>
      <c r="E62" s="287"/>
      <c r="F62" s="287"/>
      <c r="G62" s="287"/>
      <c r="H62" s="287"/>
      <c r="I62" s="287"/>
      <c r="J62" s="287"/>
      <c r="K62" s="287"/>
      <c r="L62" s="287"/>
      <c r="M62" s="287"/>
      <c r="N62" s="38"/>
      <c r="O62"/>
      <c r="P62"/>
    </row>
    <row r="63" spans="1:33">
      <c r="A63" s="104" t="s">
        <v>718</v>
      </c>
      <c r="B63" s="287">
        <f t="shared" ref="B63" si="34">B59-B60-B61-B62</f>
        <v>267</v>
      </c>
      <c r="C63" s="287">
        <f t="shared" ref="C63" si="35">C59-C60-C61-C62</f>
        <v>448</v>
      </c>
      <c r="D63" s="287">
        <f>D59-D60-D61-D62</f>
        <v>-211</v>
      </c>
      <c r="E63" s="287">
        <f t="shared" ref="E63:M63" si="36">E59-E60-E61-E62</f>
        <v>152</v>
      </c>
      <c r="F63" s="287">
        <f t="shared" si="36"/>
        <v>165</v>
      </c>
      <c r="G63" s="287">
        <f t="shared" si="36"/>
        <v>217</v>
      </c>
      <c r="H63" s="287">
        <f t="shared" si="36"/>
        <v>206</v>
      </c>
      <c r="I63" s="287">
        <f t="shared" si="36"/>
        <v>68</v>
      </c>
      <c r="J63" s="287">
        <f t="shared" si="36"/>
        <v>-10</v>
      </c>
      <c r="K63" s="287">
        <f t="shared" si="36"/>
        <v>-8</v>
      </c>
      <c r="L63" s="287">
        <f t="shared" si="36"/>
        <v>-70</v>
      </c>
      <c r="M63" s="287">
        <f t="shared" si="36"/>
        <v>45</v>
      </c>
      <c r="N63" s="38"/>
      <c r="O63"/>
      <c r="P63"/>
    </row>
    <row r="64" spans="1:33">
      <c r="A64" s="10" t="s">
        <v>473</v>
      </c>
      <c r="B64" s="286">
        <v>-579</v>
      </c>
      <c r="C64" s="286">
        <v>-669</v>
      </c>
      <c r="D64" s="286">
        <v>-432</v>
      </c>
      <c r="E64" s="286">
        <v>-471</v>
      </c>
      <c r="F64" s="286">
        <v>-239</v>
      </c>
      <c r="G64" s="286">
        <v>-347</v>
      </c>
      <c r="H64" s="286">
        <v>-220</v>
      </c>
      <c r="I64" s="286">
        <v>-241</v>
      </c>
      <c r="J64" s="286">
        <v>-315</v>
      </c>
      <c r="K64" s="286">
        <v>-261</v>
      </c>
      <c r="L64" s="286">
        <v>-359</v>
      </c>
      <c r="M64" s="286">
        <v>-68</v>
      </c>
      <c r="N64" s="38"/>
      <c r="O64"/>
      <c r="P64"/>
    </row>
    <row r="65" spans="1:16">
      <c r="A65" s="104" t="s">
        <v>452</v>
      </c>
      <c r="B65" s="287">
        <v>-518</v>
      </c>
      <c r="C65" s="287">
        <v>-532</v>
      </c>
      <c r="D65" s="287">
        <v>-448</v>
      </c>
      <c r="E65" s="287">
        <v>-478</v>
      </c>
      <c r="F65" s="287">
        <v>-317</v>
      </c>
      <c r="G65" s="287">
        <v>-265</v>
      </c>
      <c r="H65" s="287">
        <v>-262</v>
      </c>
      <c r="I65" s="287">
        <v>-274</v>
      </c>
      <c r="J65" s="287">
        <v>-279</v>
      </c>
      <c r="K65" s="287">
        <v>-211</v>
      </c>
      <c r="L65" s="287">
        <v>-263</v>
      </c>
      <c r="M65" s="287">
        <v>-185</v>
      </c>
      <c r="N65" s="38"/>
      <c r="O65"/>
      <c r="P65"/>
    </row>
    <row r="66" spans="1:16">
      <c r="A66" s="104" t="s">
        <v>453</v>
      </c>
      <c r="B66" s="287">
        <v>-166</v>
      </c>
      <c r="C66" s="287">
        <v>-198</v>
      </c>
      <c r="D66" s="287">
        <v>-108</v>
      </c>
      <c r="E66" s="287">
        <v>-89</v>
      </c>
      <c r="F66" s="287">
        <v>-88</v>
      </c>
      <c r="G66" s="287">
        <v>-148</v>
      </c>
      <c r="H66" s="287">
        <v>-36</v>
      </c>
      <c r="I66" s="287">
        <v>-14</v>
      </c>
      <c r="J66" s="287">
        <v>-46</v>
      </c>
      <c r="K66" s="287">
        <v>-72</v>
      </c>
      <c r="L66" s="287">
        <v>-135</v>
      </c>
      <c r="M66" s="287">
        <v>-49</v>
      </c>
      <c r="N66" s="38"/>
      <c r="O66"/>
      <c r="P66"/>
    </row>
    <row r="67" spans="1:16">
      <c r="A67" s="104" t="s">
        <v>719</v>
      </c>
      <c r="B67" s="287">
        <f>B64-B65-B66</f>
        <v>105</v>
      </c>
      <c r="C67" s="287">
        <f>C64-C65-C66</f>
        <v>61</v>
      </c>
      <c r="D67" s="287">
        <f>D64-D65-D66</f>
        <v>124</v>
      </c>
      <c r="E67" s="287">
        <f t="shared" ref="E67" si="37">E64-E65-E66</f>
        <v>96</v>
      </c>
      <c r="F67" s="287">
        <f t="shared" ref="F67:M67" si="38">F64-F65-F66</f>
        <v>166</v>
      </c>
      <c r="G67" s="287">
        <f t="shared" si="38"/>
        <v>66</v>
      </c>
      <c r="H67" s="287">
        <f t="shared" si="38"/>
        <v>78</v>
      </c>
      <c r="I67" s="287">
        <f t="shared" si="38"/>
        <v>47</v>
      </c>
      <c r="J67" s="287">
        <f t="shared" si="38"/>
        <v>10</v>
      </c>
      <c r="K67" s="287">
        <f t="shared" si="38"/>
        <v>22</v>
      </c>
      <c r="L67" s="287">
        <f t="shared" si="38"/>
        <v>39</v>
      </c>
      <c r="M67" s="287">
        <f t="shared" si="38"/>
        <v>166</v>
      </c>
      <c r="N67" s="38"/>
      <c r="O67"/>
      <c r="P67"/>
    </row>
    <row r="68" spans="1:16">
      <c r="A68" s="10" t="s">
        <v>474</v>
      </c>
      <c r="B68" s="286">
        <v>-1237</v>
      </c>
      <c r="C68" s="286">
        <v>-869</v>
      </c>
      <c r="D68" s="286">
        <v>-810</v>
      </c>
      <c r="E68" s="286">
        <v>-743</v>
      </c>
      <c r="F68" s="286">
        <v>-1200</v>
      </c>
      <c r="G68" s="286">
        <v>-591</v>
      </c>
      <c r="H68" s="286">
        <v>-471</v>
      </c>
      <c r="I68" s="286">
        <v>-837</v>
      </c>
      <c r="J68" s="286">
        <v>-300</v>
      </c>
      <c r="K68" s="286">
        <v>-281</v>
      </c>
      <c r="L68" s="286">
        <v>-763</v>
      </c>
      <c r="M68" s="286">
        <v>-452</v>
      </c>
      <c r="N68" s="38"/>
      <c r="O68"/>
      <c r="P68"/>
    </row>
    <row r="69" spans="1:16">
      <c r="A69" s="104" t="s">
        <v>720</v>
      </c>
      <c r="B69" s="287"/>
      <c r="C69" s="287"/>
      <c r="D69" s="287"/>
      <c r="E69" s="287"/>
      <c r="F69" s="287"/>
      <c r="G69" s="287"/>
      <c r="H69" s="287"/>
      <c r="I69" s="287"/>
      <c r="J69" s="287"/>
      <c r="K69" s="287"/>
      <c r="L69" s="287"/>
      <c r="M69" s="287"/>
      <c r="N69" s="38"/>
      <c r="O69"/>
      <c r="P69"/>
    </row>
    <row r="70" spans="1:16">
      <c r="A70" s="104" t="s">
        <v>721</v>
      </c>
      <c r="B70" s="287"/>
      <c r="C70" s="287"/>
      <c r="D70" s="287"/>
      <c r="E70" s="287"/>
      <c r="F70" s="287"/>
      <c r="G70" s="287"/>
      <c r="H70" s="287"/>
      <c r="I70" s="287"/>
      <c r="J70" s="287"/>
      <c r="K70" s="287"/>
      <c r="L70" s="287"/>
      <c r="M70" s="287"/>
      <c r="N70" s="38"/>
      <c r="O70"/>
      <c r="P70"/>
    </row>
    <row r="71" spans="1:16">
      <c r="A71" s="104" t="s">
        <v>722</v>
      </c>
      <c r="B71" s="287"/>
      <c r="C71" s="287"/>
      <c r="D71" s="287"/>
      <c r="E71" s="287"/>
      <c r="F71" s="287"/>
      <c r="G71" s="287"/>
      <c r="H71" s="287"/>
      <c r="I71" s="287"/>
      <c r="J71" s="287"/>
      <c r="K71" s="287"/>
      <c r="L71" s="287"/>
      <c r="M71" s="287"/>
      <c r="N71" s="38"/>
      <c r="O71"/>
      <c r="P71"/>
    </row>
    <row r="72" spans="1:16">
      <c r="A72" s="104" t="s">
        <v>723</v>
      </c>
      <c r="B72" s="287"/>
      <c r="C72" s="287"/>
      <c r="D72" s="287"/>
      <c r="E72" s="287"/>
      <c r="F72" s="287"/>
      <c r="G72" s="287"/>
      <c r="H72" s="287"/>
      <c r="I72" s="287"/>
      <c r="J72" s="287"/>
      <c r="K72" s="287"/>
      <c r="L72" s="287"/>
      <c r="M72" s="287"/>
      <c r="N72" s="38"/>
      <c r="O72"/>
      <c r="P72"/>
    </row>
    <row r="73" spans="1:16">
      <c r="A73" s="104" t="s">
        <v>407</v>
      </c>
      <c r="B73" s="287">
        <v>-845</v>
      </c>
      <c r="C73" s="287">
        <v>-485</v>
      </c>
      <c r="D73" s="287">
        <v>-485.1</v>
      </c>
      <c r="E73" s="287">
        <v>-486.6</v>
      </c>
      <c r="F73" s="287">
        <v>-958.3</v>
      </c>
      <c r="G73" s="287">
        <v>-401.9</v>
      </c>
      <c r="H73" s="389">
        <v>-360.1</v>
      </c>
      <c r="I73" s="287">
        <v>-840.2</v>
      </c>
      <c r="J73" s="389">
        <v>-294.89999999999998</v>
      </c>
      <c r="K73" s="287">
        <v>-273.3</v>
      </c>
      <c r="L73" s="287">
        <v>-742.3</v>
      </c>
      <c r="M73" s="287">
        <v>-167.3</v>
      </c>
      <c r="N73" s="35" t="s">
        <v>724</v>
      </c>
      <c r="O73" t="s">
        <v>725</v>
      </c>
      <c r="P73"/>
    </row>
    <row r="74" spans="1:16">
      <c r="A74" s="104" t="s">
        <v>449</v>
      </c>
      <c r="B74" s="287"/>
      <c r="C74" s="287"/>
      <c r="D74" s="287"/>
      <c r="E74" s="287"/>
      <c r="F74" s="287"/>
      <c r="G74" s="287"/>
      <c r="H74" s="389"/>
      <c r="I74" s="287"/>
      <c r="J74" s="389"/>
      <c r="K74" s="287"/>
      <c r="L74" s="287"/>
      <c r="M74" s="287"/>
      <c r="N74" s="35" t="s">
        <v>724</v>
      </c>
      <c r="O74" t="str">
        <f>+A74</f>
        <v>Share buyback</v>
      </c>
      <c r="P74"/>
    </row>
    <row r="75" spans="1:16">
      <c r="A75" s="104" t="s">
        <v>719</v>
      </c>
      <c r="B75" s="287">
        <f t="shared" ref="B75" si="39">B68-B69-B70-B71-B72-B73-B74</f>
        <v>-392</v>
      </c>
      <c r="C75" s="287">
        <f t="shared" ref="C75:M75" si="40">C68-C69-C70-C71-C72-C73-C74</f>
        <v>-384</v>
      </c>
      <c r="D75" s="287">
        <f t="shared" si="40"/>
        <v>-324.89999999999998</v>
      </c>
      <c r="E75" s="287">
        <f t="shared" si="40"/>
        <v>-256.39999999999998</v>
      </c>
      <c r="F75" s="287">
        <f t="shared" si="40"/>
        <v>-241.70000000000005</v>
      </c>
      <c r="G75" s="287">
        <f t="shared" si="40"/>
        <v>-189.10000000000002</v>
      </c>
      <c r="H75" s="287">
        <f t="shared" si="40"/>
        <v>-110.89999999999998</v>
      </c>
      <c r="I75" s="287">
        <f t="shared" si="40"/>
        <v>3.2000000000000455</v>
      </c>
      <c r="J75" s="287">
        <f t="shared" si="40"/>
        <v>-5.1000000000000227</v>
      </c>
      <c r="K75" s="287">
        <f t="shared" si="40"/>
        <v>-7.6999999999999886</v>
      </c>
      <c r="L75" s="287">
        <f t="shared" si="40"/>
        <v>-20.700000000000045</v>
      </c>
      <c r="M75" s="287">
        <f t="shared" si="40"/>
        <v>-284.7</v>
      </c>
      <c r="N75" s="38"/>
      <c r="O75"/>
      <c r="P75"/>
    </row>
    <row r="76" spans="1:16">
      <c r="A76" s="10" t="s">
        <v>475</v>
      </c>
      <c r="B76" s="286"/>
      <c r="C76" s="286"/>
      <c r="D76" s="286"/>
      <c r="E76" s="286"/>
      <c r="F76" s="286"/>
      <c r="G76" s="286"/>
      <c r="H76" s="286"/>
      <c r="I76" s="286"/>
      <c r="J76" s="286"/>
      <c r="K76" s="286"/>
      <c r="L76" s="286"/>
      <c r="M76" s="286"/>
      <c r="N76" s="38"/>
      <c r="O76"/>
      <c r="P76"/>
    </row>
    <row r="77" spans="1:16">
      <c r="A77" s="10" t="s">
        <v>476</v>
      </c>
      <c r="B77" s="286">
        <f t="shared" ref="B77" si="41">B59+B64+B68+B76</f>
        <v>2369</v>
      </c>
      <c r="C77" s="286">
        <f t="shared" ref="C77:M77" si="42">C59+C64+C68+C76</f>
        <v>1868</v>
      </c>
      <c r="D77" s="286">
        <f t="shared" si="42"/>
        <v>400</v>
      </c>
      <c r="E77" s="286">
        <f t="shared" si="42"/>
        <v>873</v>
      </c>
      <c r="F77" s="286">
        <f t="shared" si="42"/>
        <v>501</v>
      </c>
      <c r="G77" s="286">
        <f t="shared" si="42"/>
        <v>668</v>
      </c>
      <c r="H77" s="286">
        <f t="shared" si="42"/>
        <v>783</v>
      </c>
      <c r="I77" s="286">
        <f t="shared" si="42"/>
        <v>110</v>
      </c>
      <c r="J77" s="286">
        <f t="shared" si="42"/>
        <v>352</v>
      </c>
      <c r="K77" s="286">
        <f t="shared" si="42"/>
        <v>355</v>
      </c>
      <c r="L77" s="286">
        <f t="shared" si="42"/>
        <v>-351</v>
      </c>
      <c r="M77" s="286">
        <f t="shared" si="42"/>
        <v>216</v>
      </c>
      <c r="N77" s="38"/>
      <c r="O77"/>
      <c r="P77"/>
    </row>
    <row r="78" spans="1:16">
      <c r="M78" s="25"/>
      <c r="N78"/>
      <c r="O78" t="s">
        <v>726</v>
      </c>
      <c r="P78"/>
    </row>
    <row r="79" spans="1:16">
      <c r="A79" s="52" t="s">
        <v>727</v>
      </c>
      <c r="B79" s="52"/>
      <c r="C79" s="52"/>
      <c r="D79" s="52"/>
      <c r="E79" s="1049" t="s">
        <v>485</v>
      </c>
      <c r="F79" s="1049"/>
      <c r="G79" s="1049"/>
      <c r="H79" s="1049" t="s">
        <v>728</v>
      </c>
      <c r="I79" s="1049"/>
      <c r="J79" s="52" t="s">
        <v>487</v>
      </c>
      <c r="K79" s="52" t="s">
        <v>488</v>
      </c>
      <c r="L79" s="52" t="s">
        <v>489</v>
      </c>
      <c r="M79" s="36"/>
      <c r="N79"/>
      <c r="O79"/>
      <c r="P79"/>
    </row>
    <row r="80" spans="1:16">
      <c r="A80" s="27" t="s">
        <v>729</v>
      </c>
      <c r="B80" s="28"/>
      <c r="C80" s="41" t="s">
        <v>730</v>
      </c>
      <c r="D80" s="25"/>
      <c r="E80" s="1050"/>
      <c r="F80" s="1050"/>
      <c r="G80" s="1050"/>
      <c r="H80" s="1051"/>
      <c r="I80" s="1051"/>
      <c r="J80" s="68"/>
      <c r="K80" s="67"/>
      <c r="L80" s="67"/>
      <c r="M80" s="25"/>
      <c r="N80" s="41" t="s">
        <v>731</v>
      </c>
      <c r="O80"/>
      <c r="P80"/>
    </row>
    <row r="81" spans="1:16">
      <c r="A81" s="27" t="s">
        <v>732</v>
      </c>
      <c r="B81" s="28"/>
      <c r="C81" s="41" t="s">
        <v>733</v>
      </c>
      <c r="D81" s="25"/>
      <c r="E81" s="1050"/>
      <c r="F81" s="1050"/>
      <c r="G81" s="1050"/>
      <c r="H81" s="1051"/>
      <c r="I81" s="1051"/>
      <c r="J81" s="68"/>
      <c r="K81" s="67"/>
      <c r="L81" s="67"/>
      <c r="M81" s="25"/>
      <c r="N81" s="41" t="s">
        <v>731</v>
      </c>
      <c r="O81"/>
      <c r="P81"/>
    </row>
    <row r="82" spans="1:16">
      <c r="A82" s="27" t="s">
        <v>29</v>
      </c>
      <c r="B82" s="723"/>
      <c r="C82" s="41" t="s">
        <v>733</v>
      </c>
      <c r="D82" s="69"/>
      <c r="E82" s="1050"/>
      <c r="F82" s="1050"/>
      <c r="G82" s="1050"/>
      <c r="H82" s="1051"/>
      <c r="I82" s="1051"/>
      <c r="J82" s="68"/>
      <c r="K82" s="67"/>
      <c r="L82" s="67"/>
      <c r="M82" s="71"/>
      <c r="N82" s="41" t="s">
        <v>731</v>
      </c>
      <c r="O82"/>
      <c r="P82"/>
    </row>
    <row r="83" spans="1:16">
      <c r="A83" s="27" t="s">
        <v>33</v>
      </c>
      <c r="B83" s="724"/>
      <c r="C83" s="41" t="s">
        <v>733</v>
      </c>
      <c r="D83" s="70"/>
      <c r="E83" s="1050"/>
      <c r="F83" s="1050"/>
      <c r="G83" s="1050"/>
      <c r="H83" s="1051"/>
      <c r="I83" s="1051"/>
      <c r="J83" s="68"/>
      <c r="K83" s="67"/>
      <c r="L83" s="67"/>
      <c r="M83" s="71"/>
      <c r="N83" s="41" t="s">
        <v>731</v>
      </c>
      <c r="O83"/>
      <c r="P83"/>
    </row>
    <row r="84" spans="1:16">
      <c r="A84" s="27" t="s">
        <v>480</v>
      </c>
      <c r="B84" s="28"/>
      <c r="C84" s="41" t="s">
        <v>730</v>
      </c>
      <c r="D84" s="25"/>
      <c r="E84" s="1050"/>
      <c r="F84" s="1050"/>
      <c r="G84" s="1050"/>
      <c r="H84" s="1051"/>
      <c r="I84" s="1051"/>
      <c r="J84" s="68"/>
      <c r="K84" s="67"/>
      <c r="L84" s="67"/>
      <c r="M84" s="25"/>
      <c r="N84" s="41" t="s">
        <v>731</v>
      </c>
      <c r="O84"/>
      <c r="P84"/>
    </row>
    <row r="85" spans="1:16">
      <c r="A85" s="27" t="s">
        <v>734</v>
      </c>
      <c r="B85" s="725"/>
      <c r="C85" s="41" t="s">
        <v>733</v>
      </c>
      <c r="D85" s="25"/>
      <c r="E85" s="1050"/>
      <c r="F85" s="1050"/>
      <c r="G85" s="1050"/>
      <c r="H85" s="1051"/>
      <c r="I85" s="1051"/>
      <c r="J85" s="67"/>
      <c r="K85" s="67"/>
      <c r="L85" s="67"/>
      <c r="M85" s="25"/>
      <c r="N85" s="41" t="s">
        <v>731</v>
      </c>
      <c r="O85"/>
    </row>
    <row r="86" spans="1:16">
      <c r="A86" s="27" t="s">
        <v>482</v>
      </c>
      <c r="B86" s="28"/>
      <c r="C86" s="41" t="s">
        <v>735</v>
      </c>
      <c r="D86" s="25"/>
      <c r="E86" s="1050"/>
      <c r="F86" s="1050"/>
      <c r="G86" s="1050"/>
      <c r="H86" s="1051"/>
      <c r="I86" s="1051"/>
      <c r="J86" s="67"/>
      <c r="K86" s="67"/>
      <c r="L86" s="67"/>
      <c r="M86" s="25"/>
      <c r="N86" s="41" t="s">
        <v>731</v>
      </c>
    </row>
    <row r="87" spans="1:16">
      <c r="B87" s="52">
        <f>B5</f>
        <v>2022</v>
      </c>
      <c r="C87" s="52">
        <f t="shared" ref="C87:D87" si="43">C5</f>
        <v>2021</v>
      </c>
      <c r="D87" s="52">
        <f t="shared" si="43"/>
        <v>2020</v>
      </c>
      <c r="E87" s="42"/>
      <c r="G87" s="42"/>
      <c r="H87" s="42"/>
      <c r="I87" s="42"/>
      <c r="J87" s="42"/>
      <c r="K87" s="42"/>
      <c r="L87" s="42"/>
      <c r="M87" s="42"/>
      <c r="N87"/>
    </row>
    <row r="88" spans="1:16">
      <c r="A88" s="27" t="s">
        <v>483</v>
      </c>
      <c r="E88" s="41" t="s">
        <v>735</v>
      </c>
      <c r="K88" s="23"/>
      <c r="L88" s="23"/>
      <c r="O88"/>
      <c r="P88"/>
    </row>
    <row r="89" spans="1:16">
      <c r="A89" s="27" t="s">
        <v>484</v>
      </c>
      <c r="B89" s="66"/>
      <c r="C89" s="66"/>
      <c r="D89" s="66"/>
      <c r="E89" s="41" t="s">
        <v>735</v>
      </c>
      <c r="K89" s="23"/>
      <c r="L89" s="23"/>
      <c r="O89" s="52"/>
    </row>
    <row r="90" spans="1:16">
      <c r="M90"/>
      <c r="N90" s="103"/>
      <c r="O90" s="52"/>
    </row>
    <row r="91" spans="1:16">
      <c r="J91" s="25"/>
      <c r="L91"/>
      <c r="M91"/>
      <c r="N91"/>
    </row>
    <row r="92" spans="1:16">
      <c r="J92" s="25"/>
      <c r="L92"/>
      <c r="M92"/>
      <c r="N92"/>
    </row>
    <row r="93" spans="1:16">
      <c r="J93" s="25"/>
      <c r="L93"/>
      <c r="M93"/>
      <c r="N93"/>
    </row>
    <row r="94" spans="1:16">
      <c r="J94" s="25"/>
      <c r="L94"/>
      <c r="M94"/>
      <c r="N94"/>
    </row>
    <row r="95" spans="1:16">
      <c r="J95" s="25"/>
      <c r="L95"/>
      <c r="M95"/>
      <c r="N95"/>
    </row>
    <row r="96" spans="1:16">
      <c r="J96" s="25"/>
      <c r="L96"/>
      <c r="M96"/>
      <c r="N96"/>
      <c r="O96"/>
    </row>
    <row r="97" spans="1:14">
      <c r="J97" s="25"/>
      <c r="L97"/>
      <c r="M97"/>
      <c r="N97"/>
    </row>
    <row r="98" spans="1:14">
      <c r="G98"/>
      <c r="M98"/>
      <c r="N98"/>
    </row>
    <row r="99" spans="1:14">
      <c r="A99"/>
      <c r="B99"/>
      <c r="C99"/>
      <c r="D99"/>
      <c r="E99"/>
      <c r="F99"/>
      <c r="G99"/>
    </row>
    <row r="100" spans="1:14">
      <c r="A100"/>
      <c r="B100"/>
      <c r="C100"/>
      <c r="D100"/>
      <c r="E100"/>
      <c r="F100"/>
      <c r="G100"/>
    </row>
  </sheetData>
  <mergeCells count="19">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 ref="G2:J2"/>
    <mergeCell ref="D4:M4"/>
    <mergeCell ref="R5:S5"/>
    <mergeCell ref="H79:I79"/>
    <mergeCell ref="E79:G79"/>
  </mergeCells>
  <pageMargins left="0.75" right="0.75" top="1" bottom="1" header="0" footer="0"/>
  <pageSetup orientation="portrait" horizontalDpi="4294967292" r:id="rId1"/>
  <headerFooter alignWithMargins="0"/>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4E33FEE-1117-4802-A5BB-FA073D1C6E04}"/>
</file>

<file path=customXml/itemProps2.xml><?xml version="1.0" encoding="utf-8"?>
<ds:datastoreItem xmlns:ds="http://schemas.openxmlformats.org/officeDocument/2006/customXml" ds:itemID="{A881089C-6E2A-4FD7-A402-55E9C86C97B5}"/>
</file>

<file path=customXml/itemProps3.xml><?xml version="1.0" encoding="utf-8"?>
<ds:datastoreItem xmlns:ds="http://schemas.openxmlformats.org/officeDocument/2006/customXml" ds:itemID="{C436645D-C7FA-4CD7-BDFD-BAC3AF9AF5C1}"/>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Cristina Lin</cp:lastModifiedBy>
  <cp:revision/>
  <dcterms:created xsi:type="dcterms:W3CDTF">2000-04-19T14:51:26Z</dcterms:created>
  <dcterms:modified xsi:type="dcterms:W3CDTF">2025-01-20T17:03:50Z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