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Pre-restructuring OPs/Luxury 1 - TL Patrícia Nunes/Moncler S. p. A. (MONC)/"/>
    </mc:Choice>
  </mc:AlternateContent>
  <xr:revisionPtr revIDLastSave="5381" documentId="6_{2FA17645-C8DE-4B18-80A6-21F597927429}" xr6:coauthVersionLast="47" xr6:coauthVersionMax="47" xr10:uidLastSave="{65B11237-9AF7-42E8-AF8E-C2DE409E582E}"/>
  <bookViews>
    <workbookView xWindow="0" yWindow="0" windowWidth="10245" windowHeight="10920" tabRatio="644" firstSheet="9" activeTab="5" xr2:uid="{00000000-000D-0000-FFFF-FFFF00000000}"/>
  </bookViews>
  <sheets>
    <sheet name="OP" sheetId="1" r:id="rId1"/>
    <sheet name="Acuerdo" sheetId="11" state="hidden" r:id="rId2"/>
    <sheet name="Segments" sheetId="3" r:id="rId3"/>
    <sheet name="Peers" sheetId="10" r:id="rId4"/>
    <sheet name="ESG" sheetId="19" r:id="rId5"/>
    <sheet name="DCF" sheetId="4" r:id="rId6"/>
    <sheet name="SARD" sheetId="27" state="hidden" r:id="rId7"/>
    <sheet name="Data.Sard" sheetId="28" state="hidden" r:id="rId8"/>
    <sheet name="Assumptions" sheetId="22" r:id="rId9"/>
    <sheet name="Fin. Data" sheetId="16" r:id="rId10"/>
    <sheet name="Inputs" sheetId="17" r:id="rId11"/>
    <sheet name="Balance Sheet" sheetId="24" r:id="rId12"/>
    <sheet name="Income Statement" sheetId="25" r:id="rId13"/>
    <sheet name="Sector Impact" sheetId="18" state="hidden" r:id="rId14"/>
    <sheet name="Cash Flow" sheetId="26" r:id="rId15"/>
  </sheets>
  <externalReferences>
    <externalReference r:id="rId16"/>
    <externalReference r:id="rId17"/>
  </externalReferences>
  <definedNames>
    <definedName name="_xlnm.Print_Area" localSheetId="0">OP!$A$1:$M$81</definedName>
    <definedName name="_xlnm.Print_Area" localSheetId="2">Segments!#REF!</definedName>
    <definedName name="Sectors" localSheetId="8">'[1]Sector Impact'!$K$4:$K$16</definedName>
    <definedName name="Sectors">'Sector Impact'!$K$4:$K$16</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7" i="27" l="1"/>
  <c r="F11" i="4" l="1"/>
  <c r="I4" i="27" l="1"/>
  <c r="F482" i="27"/>
  <c r="F60" i="27"/>
  <c r="F62" i="27"/>
  <c r="F64" i="27"/>
  <c r="F65" i="27"/>
  <c r="F66" i="27"/>
  <c r="F67" i="27"/>
  <c r="F68" i="27"/>
  <c r="F69" i="27"/>
  <c r="F70" i="27"/>
  <c r="F71" i="27"/>
  <c r="F72" i="27"/>
  <c r="F74" i="27"/>
  <c r="F75" i="27"/>
  <c r="F76" i="27"/>
  <c r="F77" i="27"/>
  <c r="F78"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4" i="27"/>
  <c r="F125" i="27"/>
  <c r="F126" i="27"/>
  <c r="F127" i="27"/>
  <c r="F128" i="27"/>
  <c r="F129"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8" i="27"/>
  <c r="F169" i="27"/>
  <c r="F170" i="27"/>
  <c r="F171" i="27"/>
  <c r="F172" i="27"/>
  <c r="F173" i="27"/>
  <c r="F174" i="27"/>
  <c r="F175" i="27"/>
  <c r="F176" i="27"/>
  <c r="F177" i="27"/>
  <c r="F178" i="27"/>
  <c r="F179" i="27"/>
  <c r="F180" i="27"/>
  <c r="F181" i="27"/>
  <c r="F183" i="27"/>
  <c r="F184" i="27"/>
  <c r="F185" i="27"/>
  <c r="F186" i="27"/>
  <c r="F187" i="27"/>
  <c r="F188" i="27"/>
  <c r="F189" i="27"/>
  <c r="F190" i="27"/>
  <c r="F191" i="27"/>
  <c r="F192" i="27"/>
  <c r="F193" i="27"/>
  <c r="F194" i="27"/>
  <c r="F196" i="27"/>
  <c r="F197" i="27"/>
  <c r="F198" i="27"/>
  <c r="F199" i="27"/>
  <c r="F200" i="27"/>
  <c r="F201" i="27"/>
  <c r="F202" i="27"/>
  <c r="F203" i="27"/>
  <c r="F204" i="27"/>
  <c r="F205" i="27"/>
  <c r="F206" i="27"/>
  <c r="F207" i="27"/>
  <c r="F208" i="27"/>
  <c r="F209" i="27"/>
  <c r="F210" i="27"/>
  <c r="F211" i="27"/>
  <c r="F212" i="27"/>
  <c r="F215" i="27"/>
  <c r="F216" i="27"/>
  <c r="F217" i="27"/>
  <c r="F218" i="27"/>
  <c r="F219" i="27"/>
  <c r="F220" i="27"/>
  <c r="F221" i="27"/>
  <c r="F222" i="27"/>
  <c r="F223" i="27"/>
  <c r="F224" i="27"/>
  <c r="F225" i="27"/>
  <c r="F226" i="27"/>
  <c r="F227" i="27"/>
  <c r="F228" i="27"/>
  <c r="F229" i="27"/>
  <c r="F230" i="27"/>
  <c r="F231" i="27"/>
  <c r="F232" i="27"/>
  <c r="F233" i="27"/>
  <c r="F234" i="27"/>
  <c r="F235"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70" i="27"/>
  <c r="F272" i="27"/>
  <c r="F273" i="27"/>
  <c r="F274" i="27"/>
  <c r="F275" i="27"/>
  <c r="F277" i="27"/>
  <c r="F278" i="27"/>
  <c r="F279" i="27"/>
  <c r="F280" i="27"/>
  <c r="F281" i="27"/>
  <c r="F286" i="27"/>
  <c r="F287" i="27"/>
  <c r="F288" i="27"/>
  <c r="F289" i="27"/>
  <c r="F290" i="27"/>
  <c r="F291" i="27"/>
  <c r="F292" i="27"/>
  <c r="F293" i="27"/>
  <c r="F294" i="27"/>
  <c r="F295" i="27"/>
  <c r="F296" i="27"/>
  <c r="F297" i="27"/>
  <c r="F298" i="27"/>
  <c r="F299" i="27"/>
  <c r="F300" i="27"/>
  <c r="F301" i="27"/>
  <c r="F302" i="27"/>
  <c r="F303" i="27"/>
  <c r="F304" i="27"/>
  <c r="F306" i="27"/>
  <c r="F307" i="27"/>
  <c r="F310" i="27"/>
  <c r="F312" i="27"/>
  <c r="F313" i="27"/>
  <c r="F314" i="27"/>
  <c r="F315" i="27"/>
  <c r="F316" i="27"/>
  <c r="F317" i="27"/>
  <c r="F318" i="27"/>
  <c r="F319" i="27"/>
  <c r="F321" i="27"/>
  <c r="F322" i="27"/>
  <c r="F323" i="27"/>
  <c r="F324" i="27"/>
  <c r="F325" i="27"/>
  <c r="F326" i="27"/>
  <c r="F327" i="27"/>
  <c r="F328" i="27"/>
  <c r="F329" i="27"/>
  <c r="F330" i="27"/>
  <c r="F331" i="27"/>
  <c r="F332" i="27"/>
  <c r="F333" i="27"/>
  <c r="F334" i="27"/>
  <c r="F336" i="27"/>
  <c r="F337" i="27"/>
  <c r="F340" i="27"/>
  <c r="F341" i="27"/>
  <c r="F342" i="27"/>
  <c r="F343" i="27"/>
  <c r="F344" i="27"/>
  <c r="F345" i="27"/>
  <c r="F346" i="27"/>
  <c r="F347" i="27"/>
  <c r="F348" i="27"/>
  <c r="F349" i="27"/>
  <c r="F350" i="27"/>
  <c r="F351" i="27"/>
  <c r="F352" i="27"/>
  <c r="F353" i="27"/>
  <c r="F355" i="27"/>
  <c r="F361" i="27"/>
  <c r="F362" i="27"/>
  <c r="F363" i="27"/>
  <c r="F364" i="27"/>
  <c r="F365" i="27"/>
  <c r="F366" i="27"/>
  <c r="F367" i="27"/>
  <c r="F370" i="27"/>
  <c r="F372" i="27"/>
  <c r="F373" i="27"/>
  <c r="F374" i="27"/>
  <c r="F378" i="27"/>
  <c r="F391" i="27"/>
  <c r="F392" i="27"/>
  <c r="F393" i="27"/>
  <c r="F394" i="27"/>
  <c r="F395" i="27"/>
  <c r="F396" i="27"/>
  <c r="F397" i="27"/>
  <c r="F398" i="27"/>
  <c r="F399" i="27"/>
  <c r="F400" i="27"/>
  <c r="F401" i="27"/>
  <c r="F403" i="27"/>
  <c r="F404" i="27"/>
  <c r="F406" i="27"/>
  <c r="F407" i="27"/>
  <c r="F408" i="27"/>
  <c r="F409" i="27"/>
  <c r="F410" i="27"/>
  <c r="F411" i="27"/>
  <c r="F412" i="27"/>
  <c r="F413" i="27"/>
  <c r="F414" i="27"/>
  <c r="F415" i="27"/>
  <c r="F416" i="27"/>
  <c r="F417" i="27"/>
  <c r="F418"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50" i="27"/>
  <c r="F451" i="27"/>
  <c r="F452" i="27"/>
  <c r="F453" i="27"/>
  <c r="F461" i="27"/>
  <c r="F463" i="27"/>
  <c r="F464" i="27"/>
  <c r="F465" i="27"/>
  <c r="F466" i="27"/>
  <c r="F467" i="27"/>
  <c r="F468" i="27"/>
  <c r="F469" i="27"/>
  <c r="F470" i="27"/>
  <c r="F472" i="27"/>
  <c r="F473" i="27"/>
  <c r="F474" i="27"/>
  <c r="F475" i="27"/>
  <c r="F476" i="27"/>
  <c r="F477" i="27"/>
  <c r="F479" i="27"/>
  <c r="F484" i="27"/>
  <c r="F485" i="27"/>
  <c r="F486" i="27"/>
  <c r="F487" i="27"/>
  <c r="F488" i="27"/>
  <c r="F490" i="27"/>
  <c r="F491" i="27"/>
  <c r="F492" i="27"/>
  <c r="F493" i="27"/>
  <c r="F494" i="27"/>
  <c r="F495" i="27"/>
  <c r="F496" i="27"/>
  <c r="F497" i="27"/>
  <c r="F500" i="27"/>
  <c r="F501" i="27"/>
  <c r="F502" i="27"/>
  <c r="F503" i="27"/>
  <c r="F504" i="27"/>
  <c r="F505" i="27"/>
  <c r="F506" i="27"/>
  <c r="F507" i="27"/>
  <c r="F508" i="27"/>
  <c r="F509" i="27"/>
  <c r="F510" i="27"/>
  <c r="F511" i="27"/>
  <c r="F512" i="27"/>
  <c r="F513" i="27"/>
  <c r="F514" i="27"/>
  <c r="F515" i="27"/>
  <c r="F516" i="27"/>
  <c r="F517" i="27"/>
  <c r="F518" i="27"/>
  <c r="F519" i="27"/>
  <c r="F521" i="27"/>
  <c r="F522" i="27"/>
  <c r="F523" i="27"/>
  <c r="F524" i="27"/>
  <c r="F525" i="27"/>
  <c r="F526" i="27"/>
  <c r="F527" i="27"/>
  <c r="F528" i="27"/>
  <c r="F529" i="27"/>
  <c r="F530" i="27"/>
  <c r="F531" i="27"/>
  <c r="F532" i="27"/>
  <c r="F533" i="27"/>
  <c r="F535" i="27"/>
  <c r="F536" i="27"/>
  <c r="F537" i="27"/>
  <c r="F538" i="27"/>
  <c r="F539" i="27"/>
  <c r="F540" i="27"/>
  <c r="F541" i="27"/>
  <c r="F542" i="27"/>
  <c r="F543" i="27"/>
  <c r="F545" i="27"/>
  <c r="F546" i="27"/>
  <c r="F547" i="27"/>
  <c r="F548" i="27"/>
  <c r="F549" i="27"/>
  <c r="F550" i="27"/>
  <c r="F551" i="27"/>
  <c r="F552" i="27"/>
  <c r="F553" i="27"/>
  <c r="F554" i="27"/>
  <c r="F555" i="27"/>
  <c r="F556" i="27"/>
  <c r="F558" i="27"/>
  <c r="F559" i="27"/>
  <c r="F561" i="27"/>
  <c r="F563" i="27"/>
  <c r="F564" i="27"/>
  <c r="F565" i="27"/>
  <c r="F566" i="27"/>
  <c r="F567" i="27"/>
  <c r="F568" i="27"/>
  <c r="F570" i="27"/>
  <c r="F571" i="27"/>
  <c r="F572" i="27"/>
  <c r="F573" i="27"/>
  <c r="F574" i="27"/>
  <c r="F575" i="27"/>
  <c r="F576" i="27"/>
  <c r="F577" i="27"/>
  <c r="F578" i="27"/>
  <c r="F579" i="27"/>
  <c r="F580" i="27"/>
  <c r="F581" i="27"/>
  <c r="F582" i="27"/>
  <c r="F583" i="27"/>
  <c r="F584" i="27"/>
  <c r="F585" i="27"/>
  <c r="F586" i="27"/>
  <c r="F587" i="27"/>
  <c r="F588" i="27"/>
  <c r="F590" i="27"/>
  <c r="F591" i="27"/>
  <c r="F592" i="27"/>
  <c r="F593" i="27"/>
  <c r="F594" i="27"/>
  <c r="F595" i="27"/>
  <c r="F596" i="27"/>
  <c r="F597" i="27"/>
  <c r="F599" i="27"/>
  <c r="F601" i="27"/>
  <c r="F602" i="27"/>
  <c r="F603" i="27"/>
  <c r="F604" i="27"/>
  <c r="F605" i="27"/>
  <c r="F606" i="27"/>
  <c r="F607" i="27"/>
  <c r="F608" i="27"/>
  <c r="F609" i="27"/>
  <c r="F610" i="27"/>
  <c r="F611" i="27"/>
  <c r="F612" i="27"/>
  <c r="F613" i="27"/>
  <c r="F614" i="27"/>
  <c r="F615" i="27"/>
  <c r="F616" i="27"/>
  <c r="F617" i="27"/>
  <c r="F618" i="27"/>
  <c r="F619" i="27"/>
  <c r="F620" i="27"/>
  <c r="F621" i="27"/>
  <c r="F625" i="27"/>
  <c r="F627" i="27"/>
  <c r="F628" i="27"/>
  <c r="F629" i="27"/>
  <c r="F630" i="27"/>
  <c r="F631" i="27"/>
  <c r="F632" i="27"/>
  <c r="F633" i="27"/>
  <c r="F634" i="27"/>
  <c r="F635" i="27"/>
  <c r="F636" i="27"/>
  <c r="F637" i="27"/>
  <c r="F638" i="27"/>
  <c r="F639" i="27"/>
  <c r="F640" i="27"/>
  <c r="F641" i="27"/>
  <c r="F642" i="27"/>
  <c r="F643" i="27"/>
  <c r="F644" i="27"/>
  <c r="F645" i="27"/>
  <c r="F646" i="27"/>
  <c r="F647" i="27"/>
  <c r="F648" i="27"/>
  <c r="F650" i="27"/>
  <c r="F654" i="27"/>
  <c r="F655" i="27"/>
  <c r="F656" i="27"/>
  <c r="F657" i="27"/>
  <c r="F658" i="27"/>
  <c r="F659" i="27"/>
  <c r="F660" i="27"/>
  <c r="F661" i="27"/>
  <c r="F662" i="27"/>
  <c r="F663" i="27"/>
  <c r="F664" i="27"/>
  <c r="F665" i="27"/>
  <c r="F666" i="27"/>
  <c r="F667"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5" i="27"/>
  <c r="F696" i="27"/>
  <c r="F697" i="27"/>
  <c r="F698" i="27"/>
  <c r="F699" i="27"/>
  <c r="F701" i="27"/>
  <c r="F702" i="27"/>
  <c r="F703" i="27"/>
  <c r="F704" i="27"/>
  <c r="F705" i="27"/>
  <c r="F49" i="27"/>
  <c r="F50" i="27"/>
  <c r="F51" i="27"/>
  <c r="F52" i="27"/>
  <c r="F53" i="27"/>
  <c r="F54" i="27"/>
  <c r="F55" i="27"/>
  <c r="F56" i="27"/>
  <c r="F58" i="27"/>
  <c r="F59" i="27"/>
  <c r="F41" i="27"/>
  <c r="F42" i="27"/>
  <c r="F43" i="27"/>
  <c r="F44" i="27"/>
  <c r="F45" i="27"/>
  <c r="F46" i="27"/>
  <c r="F47" i="27"/>
  <c r="F33" i="27"/>
  <c r="F34" i="27"/>
  <c r="F35" i="27"/>
  <c r="F36" i="27"/>
  <c r="F37" i="27"/>
  <c r="F38" i="27"/>
  <c r="F39" i="27"/>
  <c r="F40" i="27"/>
  <c r="F27" i="27"/>
  <c r="F28" i="27"/>
  <c r="F29" i="27"/>
  <c r="F30" i="27"/>
  <c r="F31" i="27"/>
  <c r="F32" i="27"/>
  <c r="F19" i="27"/>
  <c r="F20" i="27"/>
  <c r="F21" i="27"/>
  <c r="F22" i="27"/>
  <c r="F23" i="27"/>
  <c r="F24" i="27"/>
  <c r="F25" i="27"/>
  <c r="F26" i="27"/>
  <c r="F14" i="27"/>
  <c r="F15" i="27"/>
  <c r="F16" i="27"/>
  <c r="F17" i="27"/>
  <c r="F18" i="27"/>
  <c r="F10" i="27"/>
  <c r="F11" i="27"/>
  <c r="F12" i="27"/>
  <c r="F13" i="27"/>
  <c r="F5" i="27"/>
  <c r="F6" i="27"/>
  <c r="F7" i="27"/>
  <c r="F8" i="27"/>
  <c r="F9" i="27"/>
  <c r="G57" i="27"/>
  <c r="F4" i="27"/>
  <c r="I535" i="27"/>
  <c r="I546" i="27"/>
  <c r="I371" i="27"/>
  <c r="I6" i="27"/>
  <c r="I7" i="27"/>
  <c r="I8" i="27"/>
  <c r="I9" i="27"/>
  <c r="I10" i="27"/>
  <c r="I11" i="27"/>
  <c r="I12" i="27"/>
  <c r="I13" i="27"/>
  <c r="I14" i="27"/>
  <c r="I15" i="27"/>
  <c r="I16" i="27"/>
  <c r="I17" i="27"/>
  <c r="I18" i="27"/>
  <c r="I19" i="27"/>
  <c r="I20" i="27"/>
  <c r="I21" i="27"/>
  <c r="I22" i="27"/>
  <c r="I24" i="27"/>
  <c r="I26" i="27"/>
  <c r="I27" i="27"/>
  <c r="I28" i="27"/>
  <c r="I30" i="27"/>
  <c r="I31" i="27"/>
  <c r="I32" i="27"/>
  <c r="I33" i="27"/>
  <c r="I34" i="27"/>
  <c r="I35" i="27"/>
  <c r="I36" i="27"/>
  <c r="I37" i="27"/>
  <c r="I38" i="27"/>
  <c r="I39" i="27"/>
  <c r="I40" i="27"/>
  <c r="I41" i="27"/>
  <c r="I42" i="27"/>
  <c r="I43" i="27"/>
  <c r="I44" i="27"/>
  <c r="I45" i="27"/>
  <c r="I46" i="27"/>
  <c r="I47" i="27"/>
  <c r="I48" i="27"/>
  <c r="I50" i="27"/>
  <c r="I52" i="27"/>
  <c r="I53" i="27"/>
  <c r="I54" i="27"/>
  <c r="I55" i="27"/>
  <c r="I56" i="27"/>
  <c r="I57" i="27"/>
  <c r="I59" i="27"/>
  <c r="I60" i="27"/>
  <c r="I61" i="27"/>
  <c r="I63" i="27"/>
  <c r="I66" i="27"/>
  <c r="I67" i="27"/>
  <c r="I68" i="27"/>
  <c r="I69" i="27"/>
  <c r="I70" i="27"/>
  <c r="I71" i="27"/>
  <c r="I72" i="27"/>
  <c r="I73" i="27"/>
  <c r="I75" i="27"/>
  <c r="I76" i="27"/>
  <c r="I77" i="27"/>
  <c r="I78" i="27"/>
  <c r="I79" i="27"/>
  <c r="I82" i="27"/>
  <c r="I83" i="27"/>
  <c r="I84" i="27"/>
  <c r="I85" i="27"/>
  <c r="I86" i="27"/>
  <c r="I87" i="27"/>
  <c r="I88" i="27"/>
  <c r="I89" i="27"/>
  <c r="I90" i="27"/>
  <c r="I91" i="27"/>
  <c r="I92" i="27"/>
  <c r="I93" i="27"/>
  <c r="I94" i="27"/>
  <c r="I95" i="27"/>
  <c r="I96" i="27"/>
  <c r="I97" i="27"/>
  <c r="I98" i="27"/>
  <c r="I99" i="27"/>
  <c r="I100" i="27"/>
  <c r="I101" i="27"/>
  <c r="I102" i="27"/>
  <c r="I103" i="27"/>
  <c r="I104" i="27"/>
  <c r="I105" i="27"/>
  <c r="I106" i="27"/>
  <c r="I107" i="27"/>
  <c r="I108" i="27"/>
  <c r="I109" i="27"/>
  <c r="I110" i="27"/>
  <c r="I111" i="27"/>
  <c r="I112" i="27"/>
  <c r="I113" i="27"/>
  <c r="I114" i="27"/>
  <c r="I115" i="27"/>
  <c r="I116" i="27"/>
  <c r="I117" i="27"/>
  <c r="I118" i="27"/>
  <c r="I119" i="27"/>
  <c r="I120" i="27"/>
  <c r="I121" i="27"/>
  <c r="I122" i="27"/>
  <c r="I123" i="27"/>
  <c r="I125" i="27"/>
  <c r="I126" i="27"/>
  <c r="I127" i="27"/>
  <c r="I128" i="27"/>
  <c r="I129" i="27"/>
  <c r="I130" i="27"/>
  <c r="I132" i="27"/>
  <c r="I133" i="27"/>
  <c r="I134" i="27"/>
  <c r="I135" i="27"/>
  <c r="I138" i="27"/>
  <c r="I139" i="27"/>
  <c r="I140" i="27"/>
  <c r="I141" i="27"/>
  <c r="I142" i="27"/>
  <c r="I143" i="27"/>
  <c r="I144" i="27"/>
  <c r="I146" i="27"/>
  <c r="I147" i="27"/>
  <c r="I148" i="27"/>
  <c r="I149" i="27"/>
  <c r="I151" i="27"/>
  <c r="I152" i="27"/>
  <c r="I153" i="27"/>
  <c r="I154" i="27"/>
  <c r="I155" i="27"/>
  <c r="I156" i="27"/>
  <c r="I157" i="27"/>
  <c r="I158" i="27"/>
  <c r="I159" i="27"/>
  <c r="I160" i="27"/>
  <c r="I161" i="27"/>
  <c r="I162" i="27"/>
  <c r="I163" i="27"/>
  <c r="I165" i="27"/>
  <c r="I166" i="27"/>
  <c r="I167" i="27"/>
  <c r="I169" i="27"/>
  <c r="I170" i="27"/>
  <c r="I171" i="27"/>
  <c r="I173" i="27"/>
  <c r="I174" i="27"/>
  <c r="I175" i="27"/>
  <c r="I176" i="27"/>
  <c r="I177" i="27"/>
  <c r="I178" i="27"/>
  <c r="I179" i="27"/>
  <c r="I180" i="27"/>
  <c r="I182" i="27"/>
  <c r="I184" i="27"/>
  <c r="I185" i="27"/>
  <c r="I186" i="27"/>
  <c r="I187" i="27"/>
  <c r="I188" i="27"/>
  <c r="I189" i="27"/>
  <c r="I190" i="27"/>
  <c r="I191" i="27"/>
  <c r="I192" i="27"/>
  <c r="I193" i="27"/>
  <c r="I194" i="27"/>
  <c r="I195" i="27"/>
  <c r="I197" i="27"/>
  <c r="I198" i="27"/>
  <c r="I199" i="27"/>
  <c r="I201" i="27"/>
  <c r="I202" i="27"/>
  <c r="I203" i="27"/>
  <c r="I204" i="27"/>
  <c r="I205" i="27"/>
  <c r="I206" i="27"/>
  <c r="I207" i="27"/>
  <c r="I208" i="27"/>
  <c r="I209" i="27"/>
  <c r="I210" i="27"/>
  <c r="I211" i="27"/>
  <c r="I212" i="27"/>
  <c r="I213" i="27"/>
  <c r="I216" i="27"/>
  <c r="I217" i="27"/>
  <c r="I218" i="27"/>
  <c r="I219" i="27"/>
  <c r="I220" i="27"/>
  <c r="I221" i="27"/>
  <c r="I222" i="27"/>
  <c r="I223" i="27"/>
  <c r="I224" i="27"/>
  <c r="I225" i="27"/>
  <c r="I226" i="27"/>
  <c r="I227" i="27"/>
  <c r="I228" i="27"/>
  <c r="I229" i="27"/>
  <c r="I230" i="27"/>
  <c r="I231" i="27"/>
  <c r="I232" i="27"/>
  <c r="I233" i="27"/>
  <c r="I234" i="27"/>
  <c r="I235" i="27"/>
  <c r="I236" i="27"/>
  <c r="I239" i="27"/>
  <c r="I240" i="27"/>
  <c r="I241" i="27"/>
  <c r="I242" i="27"/>
  <c r="I243" i="27"/>
  <c r="I245" i="27"/>
  <c r="I246" i="27"/>
  <c r="I247" i="27"/>
  <c r="I249" i="27"/>
  <c r="I250" i="27"/>
  <c r="I251" i="27"/>
  <c r="I252" i="27"/>
  <c r="I253" i="27"/>
  <c r="I254" i="27"/>
  <c r="I255" i="27"/>
  <c r="I256" i="27"/>
  <c r="I259" i="27"/>
  <c r="I260" i="27"/>
  <c r="I261" i="27"/>
  <c r="I262" i="27"/>
  <c r="I263" i="27"/>
  <c r="I264" i="27"/>
  <c r="I265" i="27"/>
  <c r="I266" i="27"/>
  <c r="I267" i="27"/>
  <c r="I268" i="27"/>
  <c r="I269" i="27"/>
  <c r="I273" i="27"/>
  <c r="I274" i="27"/>
  <c r="I275" i="27"/>
  <c r="I276" i="27"/>
  <c r="I278" i="27"/>
  <c r="I279" i="27"/>
  <c r="I280" i="27"/>
  <c r="I281" i="27"/>
  <c r="I282" i="27"/>
  <c r="I287" i="27"/>
  <c r="I288" i="27"/>
  <c r="I289" i="27"/>
  <c r="I290" i="27"/>
  <c r="I291" i="27"/>
  <c r="I293" i="27"/>
  <c r="I294" i="27"/>
  <c r="I295" i="27"/>
  <c r="I296" i="27"/>
  <c r="I297" i="27"/>
  <c r="I298" i="27"/>
  <c r="I300" i="27"/>
  <c r="I301" i="27"/>
  <c r="I302" i="27"/>
  <c r="I303" i="27"/>
  <c r="I304" i="27"/>
  <c r="I305" i="27"/>
  <c r="I307" i="27"/>
  <c r="I308" i="27"/>
  <c r="I311" i="27"/>
  <c r="I313" i="27"/>
  <c r="I315" i="27"/>
  <c r="I317" i="27"/>
  <c r="I318" i="27"/>
  <c r="I319" i="27"/>
  <c r="I322" i="27"/>
  <c r="I323" i="27"/>
  <c r="I324" i="27"/>
  <c r="I325" i="27"/>
  <c r="I326" i="27"/>
  <c r="I327" i="27"/>
  <c r="I328" i="27"/>
  <c r="I329" i="27"/>
  <c r="I330" i="27"/>
  <c r="I331" i="27"/>
  <c r="I333" i="27"/>
  <c r="I335" i="27"/>
  <c r="I337" i="27"/>
  <c r="I338" i="27"/>
  <c r="I342" i="27"/>
  <c r="I343" i="27"/>
  <c r="I344" i="27"/>
  <c r="I345" i="27"/>
  <c r="I346" i="27"/>
  <c r="I348" i="27"/>
  <c r="I349" i="27"/>
  <c r="I350" i="27"/>
  <c r="I351" i="27"/>
  <c r="I352" i="27"/>
  <c r="I353" i="27"/>
  <c r="I354" i="27"/>
  <c r="I362" i="27"/>
  <c r="I363" i="27"/>
  <c r="I364" i="27"/>
  <c r="I365" i="27"/>
  <c r="I367" i="27"/>
  <c r="I368" i="27"/>
  <c r="I374" i="27"/>
  <c r="I375" i="27"/>
  <c r="I392" i="27"/>
  <c r="I393" i="27"/>
  <c r="I394" i="27"/>
  <c r="I395" i="27"/>
  <c r="I396" i="27"/>
  <c r="I397" i="27"/>
  <c r="I399" i="27"/>
  <c r="I401" i="27"/>
  <c r="I405" i="27"/>
  <c r="I407" i="27"/>
  <c r="I408" i="27"/>
  <c r="I409" i="27"/>
  <c r="I410" i="27"/>
  <c r="I412" i="27"/>
  <c r="I413" i="27"/>
  <c r="I414" i="27"/>
  <c r="I415" i="27"/>
  <c r="I416" i="27"/>
  <c r="I418" i="27"/>
  <c r="I419" i="27"/>
  <c r="I421" i="27"/>
  <c r="I422" i="27"/>
  <c r="I423" i="27"/>
  <c r="I424" i="27"/>
  <c r="I425" i="27"/>
  <c r="I427" i="27"/>
  <c r="I428" i="27"/>
  <c r="I429" i="27"/>
  <c r="I431" i="27"/>
  <c r="I432" i="27"/>
  <c r="I433" i="27"/>
  <c r="I434" i="27"/>
  <c r="I435" i="27"/>
  <c r="I436" i="27"/>
  <c r="I437" i="27"/>
  <c r="I438" i="27"/>
  <c r="I439" i="27"/>
  <c r="I440" i="27"/>
  <c r="I441" i="27"/>
  <c r="I442" i="27"/>
  <c r="I443" i="27"/>
  <c r="I444" i="27"/>
  <c r="I445" i="27"/>
  <c r="I446" i="27"/>
  <c r="I447" i="27"/>
  <c r="I448" i="27"/>
  <c r="I449" i="27"/>
  <c r="I451" i="27"/>
  <c r="I452" i="27"/>
  <c r="I453" i="27"/>
  <c r="I454" i="27"/>
  <c r="I462" i="27"/>
  <c r="I464" i="27"/>
  <c r="I465" i="27"/>
  <c r="I466" i="27"/>
  <c r="I467" i="27"/>
  <c r="I468" i="27"/>
  <c r="I469" i="27"/>
  <c r="I470" i="27"/>
  <c r="I471" i="27"/>
  <c r="I473" i="27"/>
  <c r="I474" i="27"/>
  <c r="I475" i="27"/>
  <c r="I476" i="27"/>
  <c r="I477" i="27"/>
  <c r="I478" i="27"/>
  <c r="I480" i="27"/>
  <c r="I483" i="27"/>
  <c r="I486" i="27"/>
  <c r="I487" i="27"/>
  <c r="I488" i="27"/>
  <c r="I489" i="27"/>
  <c r="I491" i="27"/>
  <c r="I493" i="27"/>
  <c r="I494" i="27"/>
  <c r="I495" i="27"/>
  <c r="I496" i="27"/>
  <c r="I497" i="27"/>
  <c r="I498" i="27"/>
  <c r="I501" i="27"/>
  <c r="I502" i="27"/>
  <c r="I503" i="27"/>
  <c r="I504" i="27"/>
  <c r="I505" i="27"/>
  <c r="I506" i="27"/>
  <c r="I507" i="27"/>
  <c r="I508" i="27"/>
  <c r="I509" i="27"/>
  <c r="I510" i="27"/>
  <c r="I511" i="27"/>
  <c r="I512" i="27"/>
  <c r="I513" i="27"/>
  <c r="I516" i="27"/>
  <c r="I517" i="27"/>
  <c r="I518" i="27"/>
  <c r="I519" i="27"/>
  <c r="I520" i="27"/>
  <c r="I522" i="27"/>
  <c r="I523" i="27"/>
  <c r="I525" i="27"/>
  <c r="I526" i="27"/>
  <c r="I527" i="27"/>
  <c r="I528" i="27"/>
  <c r="I529" i="27"/>
  <c r="I530" i="27"/>
  <c r="I531" i="27"/>
  <c r="I532" i="27"/>
  <c r="I533" i="27"/>
  <c r="I534" i="27"/>
  <c r="I536" i="27"/>
  <c r="I537" i="27"/>
  <c r="I538" i="27"/>
  <c r="I539" i="27"/>
  <c r="I540" i="27"/>
  <c r="I542" i="27"/>
  <c r="I543" i="27"/>
  <c r="I544" i="27"/>
  <c r="I547" i="27"/>
  <c r="I548" i="27"/>
  <c r="I549" i="27"/>
  <c r="I551" i="27"/>
  <c r="I552" i="27"/>
  <c r="I553" i="27"/>
  <c r="I554" i="27"/>
  <c r="I555" i="27"/>
  <c r="I556" i="27"/>
  <c r="I557" i="27"/>
  <c r="I558" i="27"/>
  <c r="I559" i="27"/>
  <c r="I560" i="27"/>
  <c r="I562" i="27"/>
  <c r="I563" i="27"/>
  <c r="I564" i="27"/>
  <c r="I565" i="27"/>
  <c r="I566" i="27"/>
  <c r="I567" i="27"/>
  <c r="I568" i="27"/>
  <c r="I569" i="27"/>
  <c r="I571" i="27"/>
  <c r="I573" i="27"/>
  <c r="I574" i="27"/>
  <c r="I575" i="27"/>
  <c r="I576" i="27"/>
  <c r="I578" i="27"/>
  <c r="I579" i="27"/>
  <c r="I580" i="27"/>
  <c r="I581" i="27"/>
  <c r="I582" i="27"/>
  <c r="I583" i="27"/>
  <c r="I584" i="27"/>
  <c r="I585" i="27"/>
  <c r="I589" i="27"/>
  <c r="I591" i="27"/>
  <c r="I592" i="27"/>
  <c r="I593" i="27"/>
  <c r="I595" i="27"/>
  <c r="I596" i="27"/>
  <c r="I597" i="27"/>
  <c r="I598" i="27"/>
  <c r="I600" i="27"/>
  <c r="I602" i="27"/>
  <c r="I603" i="27"/>
  <c r="I604" i="27"/>
  <c r="I605" i="27"/>
  <c r="I606" i="27"/>
  <c r="I607" i="27"/>
  <c r="I608" i="27"/>
  <c r="I611" i="27"/>
  <c r="I612" i="27"/>
  <c r="I613" i="27"/>
  <c r="I614" i="27"/>
  <c r="I615" i="27"/>
  <c r="I616" i="27"/>
  <c r="I617" i="27"/>
  <c r="I618" i="27"/>
  <c r="I619" i="27"/>
  <c r="I620" i="27"/>
  <c r="I622" i="27"/>
  <c r="I626" i="27"/>
  <c r="I628" i="27"/>
  <c r="I629" i="27"/>
  <c r="I630" i="27"/>
  <c r="I631" i="27"/>
  <c r="I632" i="27"/>
  <c r="I633" i="27"/>
  <c r="I634" i="27"/>
  <c r="I635" i="27"/>
  <c r="I636" i="27"/>
  <c r="I637" i="27"/>
  <c r="I638" i="27"/>
  <c r="I639" i="27"/>
  <c r="I640" i="27"/>
  <c r="I641" i="27"/>
  <c r="I642" i="27"/>
  <c r="I643" i="27"/>
  <c r="I644" i="27"/>
  <c r="I645" i="27"/>
  <c r="I646" i="27"/>
  <c r="I647" i="27"/>
  <c r="I648" i="27"/>
  <c r="I649" i="27"/>
  <c r="I651" i="27"/>
  <c r="I655" i="27"/>
  <c r="I656" i="27"/>
  <c r="I657" i="27"/>
  <c r="I658" i="27"/>
  <c r="I659" i="27"/>
  <c r="I660" i="27"/>
  <c r="I661" i="27"/>
  <c r="I663" i="27"/>
  <c r="I664" i="27"/>
  <c r="I665" i="27"/>
  <c r="I666" i="27"/>
  <c r="I667" i="27"/>
  <c r="I668" i="27"/>
  <c r="I670" i="27"/>
  <c r="I671" i="27"/>
  <c r="I672" i="27"/>
  <c r="I673" i="27"/>
  <c r="I674" i="27"/>
  <c r="I675" i="27"/>
  <c r="I676" i="27"/>
  <c r="I677" i="27"/>
  <c r="I678" i="27"/>
  <c r="I679" i="27"/>
  <c r="I680" i="27"/>
  <c r="I681" i="27"/>
  <c r="I682" i="27"/>
  <c r="I683" i="27"/>
  <c r="I684" i="27"/>
  <c r="I685" i="27"/>
  <c r="I686" i="27"/>
  <c r="I688" i="27"/>
  <c r="I690" i="27"/>
  <c r="I692" i="27"/>
  <c r="I693" i="27"/>
  <c r="I696" i="27"/>
  <c r="I699" i="27"/>
  <c r="I704" i="27"/>
  <c r="I5" i="27"/>
  <c r="D136" i="22"/>
  <c r="E136" i="22" s="1"/>
  <c r="F136" i="22" s="1"/>
  <c r="G136" i="22" s="1"/>
  <c r="H136" i="22" s="1"/>
  <c r="I136" i="22" s="1"/>
  <c r="J136" i="22" s="1"/>
  <c r="K136" i="22" s="1"/>
  <c r="L136" i="22" s="1"/>
  <c r="M136" i="22" s="1"/>
  <c r="N136" i="22" s="1"/>
  <c r="O136" i="22" s="1"/>
  <c r="P136" i="22" s="1"/>
  <c r="Q136" i="22" s="1"/>
  <c r="R136" i="22" s="1"/>
  <c r="S136" i="22" s="1"/>
  <c r="T136" i="22" s="1"/>
  <c r="U136" i="22" s="1"/>
  <c r="V136" i="22" s="1"/>
  <c r="W136" i="22" s="1"/>
  <c r="X136" i="22" s="1"/>
  <c r="Y136" i="22" s="1"/>
  <c r="Z136" i="22" s="1"/>
  <c r="AA136" i="22" s="1"/>
  <c r="AB136" i="22" s="1"/>
  <c r="E65" i="4"/>
  <c r="D65" i="4"/>
  <c r="D134" i="22"/>
  <c r="D28" i="22" s="1"/>
  <c r="E134" i="22"/>
  <c r="E28" i="22" s="1"/>
  <c r="F134" i="22"/>
  <c r="F28" i="22" s="1"/>
  <c r="G134" i="22"/>
  <c r="G28" i="22" s="1"/>
  <c r="C134" i="22"/>
  <c r="C28" i="22" s="1"/>
  <c r="D132" i="22"/>
  <c r="E132" i="22" s="1"/>
  <c r="F132" i="22" s="1"/>
  <c r="G132" i="22" s="1"/>
  <c r="C22" i="22"/>
  <c r="M3" i="27"/>
  <c r="M5" i="27"/>
  <c r="M6" i="27"/>
  <c r="M7" i="27"/>
  <c r="R7" i="27" s="1"/>
  <c r="M8" i="27"/>
  <c r="R8" i="27" s="1"/>
  <c r="M9" i="27"/>
  <c r="M10" i="27"/>
  <c r="M11" i="27"/>
  <c r="M12" i="27"/>
  <c r="M13" i="27"/>
  <c r="M14" i="27"/>
  <c r="M15" i="27"/>
  <c r="M16" i="27"/>
  <c r="M17" i="27"/>
  <c r="M18" i="27"/>
  <c r="M19" i="27"/>
  <c r="M20" i="27"/>
  <c r="M21" i="27"/>
  <c r="M22" i="27"/>
  <c r="M23" i="27"/>
  <c r="M24" i="27"/>
  <c r="M25" i="27"/>
  <c r="R25" i="27" s="1"/>
  <c r="M26" i="27"/>
  <c r="R26" i="27" s="1"/>
  <c r="M27" i="27"/>
  <c r="M28" i="27"/>
  <c r="M29" i="27"/>
  <c r="M30" i="27"/>
  <c r="M31" i="27"/>
  <c r="R31" i="27" s="1"/>
  <c r="M32" i="27"/>
  <c r="M33" i="27"/>
  <c r="M34" i="27"/>
  <c r="R34" i="27" s="1"/>
  <c r="M35" i="27"/>
  <c r="M36" i="27"/>
  <c r="M37" i="27"/>
  <c r="M38" i="27"/>
  <c r="M39" i="27"/>
  <c r="M40" i="27"/>
  <c r="R40" i="27" s="1"/>
  <c r="M41" i="27"/>
  <c r="M42" i="27"/>
  <c r="M43" i="27"/>
  <c r="M44" i="27"/>
  <c r="M45" i="27"/>
  <c r="M46" i="27"/>
  <c r="M47" i="27"/>
  <c r="M48" i="27"/>
  <c r="R48" i="27" s="1"/>
  <c r="M49" i="27"/>
  <c r="R49" i="27" s="1"/>
  <c r="M50" i="27"/>
  <c r="M51" i="27"/>
  <c r="M52" i="27"/>
  <c r="M53" i="27"/>
  <c r="M54" i="27"/>
  <c r="R54" i="27" s="1"/>
  <c r="M55" i="27"/>
  <c r="M56" i="27"/>
  <c r="M57" i="27"/>
  <c r="M58" i="27"/>
  <c r="M59" i="27"/>
  <c r="M60" i="27"/>
  <c r="M61" i="27"/>
  <c r="M62" i="27"/>
  <c r="M63" i="27"/>
  <c r="M64" i="27"/>
  <c r="M65" i="27"/>
  <c r="M66" i="27"/>
  <c r="M67" i="27"/>
  <c r="M68" i="27"/>
  <c r="M69" i="27"/>
  <c r="M70" i="27"/>
  <c r="M71" i="27"/>
  <c r="M72" i="27"/>
  <c r="M73" i="27"/>
  <c r="M74" i="27"/>
  <c r="R74" i="27" s="1"/>
  <c r="M75" i="27"/>
  <c r="M76" i="27"/>
  <c r="M77" i="27"/>
  <c r="M78" i="27"/>
  <c r="M79" i="27"/>
  <c r="M80" i="27"/>
  <c r="M81" i="27"/>
  <c r="M82" i="27"/>
  <c r="M83" i="27"/>
  <c r="M84" i="27"/>
  <c r="M85" i="27"/>
  <c r="M86" i="27"/>
  <c r="M87" i="27"/>
  <c r="M88" i="27"/>
  <c r="R88" i="27" s="1"/>
  <c r="M89" i="27"/>
  <c r="R89" i="27" s="1"/>
  <c r="M90" i="27"/>
  <c r="M91" i="27"/>
  <c r="M92" i="27"/>
  <c r="M93" i="27"/>
  <c r="M94" i="27"/>
  <c r="R94" i="27" s="1"/>
  <c r="M95" i="27"/>
  <c r="M96" i="27"/>
  <c r="M97" i="27"/>
  <c r="R97" i="27" s="1"/>
  <c r="M98" i="27"/>
  <c r="R98" i="27" s="1"/>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R138" i="27" s="1"/>
  <c r="M139" i="27"/>
  <c r="M140" i="27"/>
  <c r="M141" i="27"/>
  <c r="M142" i="27"/>
  <c r="M143" i="27"/>
  <c r="M144" i="27"/>
  <c r="M145" i="27"/>
  <c r="M146" i="27"/>
  <c r="M147" i="27"/>
  <c r="M148" i="27"/>
  <c r="M149" i="27"/>
  <c r="M150" i="27"/>
  <c r="M151" i="27"/>
  <c r="M152" i="27"/>
  <c r="M153" i="27"/>
  <c r="M154" i="27"/>
  <c r="M155" i="27"/>
  <c r="M156" i="27"/>
  <c r="M157" i="27"/>
  <c r="M158" i="27"/>
  <c r="M159" i="27"/>
  <c r="M160" i="27"/>
  <c r="M161" i="27"/>
  <c r="M162" i="27"/>
  <c r="M163" i="27"/>
  <c r="M164" i="27"/>
  <c r="M165" i="27"/>
  <c r="M166" i="27"/>
  <c r="M167" i="27"/>
  <c r="M168" i="27"/>
  <c r="M169" i="27"/>
  <c r="M170" i="27"/>
  <c r="M171" i="27"/>
  <c r="M172" i="27"/>
  <c r="M173" i="27"/>
  <c r="M174" i="27"/>
  <c r="M175" i="27"/>
  <c r="M176" i="27"/>
  <c r="M177" i="27"/>
  <c r="M178" i="27"/>
  <c r="M179" i="27"/>
  <c r="M180" i="27"/>
  <c r="M181" i="27"/>
  <c r="M182" i="27"/>
  <c r="M183" i="27"/>
  <c r="M184" i="27"/>
  <c r="M185" i="27"/>
  <c r="M186" i="27"/>
  <c r="M187" i="27"/>
  <c r="M188" i="27"/>
  <c r="M189" i="27"/>
  <c r="M190" i="27"/>
  <c r="M191" i="27"/>
  <c r="M192" i="27"/>
  <c r="M193" i="27"/>
  <c r="M194" i="27"/>
  <c r="M195" i="27"/>
  <c r="M196" i="27"/>
  <c r="M197" i="27"/>
  <c r="M198" i="27"/>
  <c r="M199" i="27"/>
  <c r="M200" i="27"/>
  <c r="M201" i="27"/>
  <c r="M202" i="27"/>
  <c r="M203" i="27"/>
  <c r="M204" i="27"/>
  <c r="M205" i="27"/>
  <c r="M206" i="27"/>
  <c r="M207" i="27"/>
  <c r="M208" i="27"/>
  <c r="M209" i="27"/>
  <c r="M210" i="27"/>
  <c r="M211" i="27"/>
  <c r="M212" i="27"/>
  <c r="M213" i="27"/>
  <c r="M214" i="27"/>
  <c r="M215" i="27"/>
  <c r="M216" i="27"/>
  <c r="M217" i="27"/>
  <c r="M218" i="27"/>
  <c r="M219" i="27"/>
  <c r="M220" i="27"/>
  <c r="M221" i="27"/>
  <c r="M222" i="27"/>
  <c r="M223" i="27"/>
  <c r="M224" i="27"/>
  <c r="M225" i="27"/>
  <c r="M226" i="27"/>
  <c r="M227" i="27"/>
  <c r="M228" i="27"/>
  <c r="M229" i="27"/>
  <c r="M230" i="27"/>
  <c r="M231" i="27"/>
  <c r="M232" i="27"/>
  <c r="M233" i="27"/>
  <c r="M234" i="27"/>
  <c r="M235" i="27"/>
  <c r="M236" i="27"/>
  <c r="M237" i="27"/>
  <c r="M238" i="27"/>
  <c r="M239" i="27"/>
  <c r="M240" i="27"/>
  <c r="M241" i="27"/>
  <c r="M242" i="27"/>
  <c r="M243" i="27"/>
  <c r="M244" i="27"/>
  <c r="M245" i="27"/>
  <c r="M246" i="27"/>
  <c r="M247" i="27"/>
  <c r="M248" i="27"/>
  <c r="M249" i="27"/>
  <c r="M250" i="27"/>
  <c r="M251" i="27"/>
  <c r="M252" i="27"/>
  <c r="M253" i="27"/>
  <c r="M254" i="27"/>
  <c r="M255" i="27"/>
  <c r="M256" i="27"/>
  <c r="M257" i="27"/>
  <c r="M258" i="27"/>
  <c r="M259" i="27"/>
  <c r="M260" i="27"/>
  <c r="M261" i="27"/>
  <c r="M262" i="27"/>
  <c r="M263" i="27"/>
  <c r="M264" i="27"/>
  <c r="M265" i="27"/>
  <c r="M266" i="27"/>
  <c r="M267" i="27"/>
  <c r="M268" i="27"/>
  <c r="M269" i="27"/>
  <c r="M270" i="27"/>
  <c r="M271" i="27"/>
  <c r="M272" i="27"/>
  <c r="M273" i="27"/>
  <c r="M274" i="27"/>
  <c r="M275" i="27"/>
  <c r="M276" i="27"/>
  <c r="M277" i="27"/>
  <c r="M278" i="27"/>
  <c r="M279" i="27"/>
  <c r="M280" i="27"/>
  <c r="M281" i="27"/>
  <c r="M282" i="27"/>
  <c r="M283" i="27"/>
  <c r="M284" i="27"/>
  <c r="M285" i="27"/>
  <c r="M286" i="27"/>
  <c r="M287" i="27"/>
  <c r="M288" i="27"/>
  <c r="M289" i="27"/>
  <c r="M290" i="27"/>
  <c r="M291" i="27"/>
  <c r="M292" i="27"/>
  <c r="M293" i="27"/>
  <c r="M294" i="27"/>
  <c r="M295" i="27"/>
  <c r="M296" i="27"/>
  <c r="M297" i="27"/>
  <c r="M298" i="27"/>
  <c r="M299" i="27"/>
  <c r="M300" i="27"/>
  <c r="M301" i="27"/>
  <c r="M302" i="27"/>
  <c r="M303" i="27"/>
  <c r="M304" i="27"/>
  <c r="M305" i="27"/>
  <c r="M306" i="27"/>
  <c r="M307" i="27"/>
  <c r="M308" i="27"/>
  <c r="M309" i="27"/>
  <c r="M310" i="27"/>
  <c r="M311" i="27"/>
  <c r="M312" i="27"/>
  <c r="M313" i="27"/>
  <c r="M314" i="27"/>
  <c r="M315" i="27"/>
  <c r="M316" i="27"/>
  <c r="M317" i="27"/>
  <c r="M318" i="27"/>
  <c r="M319" i="27"/>
  <c r="M320" i="27"/>
  <c r="M321" i="27"/>
  <c r="M322" i="27"/>
  <c r="M323" i="27"/>
  <c r="M324" i="27"/>
  <c r="M325" i="27"/>
  <c r="M326" i="27"/>
  <c r="M327" i="27"/>
  <c r="M328" i="27"/>
  <c r="M329" i="27"/>
  <c r="M330" i="27"/>
  <c r="M331" i="27"/>
  <c r="M332" i="27"/>
  <c r="M333" i="27"/>
  <c r="M334" i="27"/>
  <c r="M335" i="27"/>
  <c r="M336" i="27"/>
  <c r="M337" i="27"/>
  <c r="M338" i="27"/>
  <c r="M339" i="27"/>
  <c r="M340" i="27"/>
  <c r="M341" i="27"/>
  <c r="M342" i="27"/>
  <c r="M343" i="27"/>
  <c r="M344" i="27"/>
  <c r="M345" i="27"/>
  <c r="M346" i="27"/>
  <c r="M347" i="27"/>
  <c r="M348" i="27"/>
  <c r="M349" i="27"/>
  <c r="M350" i="27"/>
  <c r="M351" i="27"/>
  <c r="M352" i="27"/>
  <c r="M353" i="27"/>
  <c r="M354" i="27"/>
  <c r="M355" i="27"/>
  <c r="M356" i="27"/>
  <c r="M357" i="27"/>
  <c r="M358" i="27"/>
  <c r="M359" i="27"/>
  <c r="M360" i="27"/>
  <c r="M361" i="27"/>
  <c r="M362" i="27"/>
  <c r="M363" i="27"/>
  <c r="M364" i="27"/>
  <c r="M365" i="27"/>
  <c r="M366" i="27"/>
  <c r="M367" i="27"/>
  <c r="M368" i="27"/>
  <c r="M369" i="27"/>
  <c r="M370" i="27"/>
  <c r="M371" i="27"/>
  <c r="M372" i="27"/>
  <c r="M373" i="27"/>
  <c r="M374" i="27"/>
  <c r="M375" i="27"/>
  <c r="M376" i="27"/>
  <c r="M377" i="27"/>
  <c r="M378" i="27"/>
  <c r="M379" i="27"/>
  <c r="M380" i="27"/>
  <c r="M381" i="27"/>
  <c r="M382" i="27"/>
  <c r="M383" i="27"/>
  <c r="M384" i="27"/>
  <c r="M385" i="27"/>
  <c r="M386" i="27"/>
  <c r="M387" i="27"/>
  <c r="M388" i="27"/>
  <c r="M389" i="27"/>
  <c r="M390" i="27"/>
  <c r="M391" i="27"/>
  <c r="M392" i="27"/>
  <c r="M393" i="27"/>
  <c r="M394" i="27"/>
  <c r="M395" i="27"/>
  <c r="M396" i="27"/>
  <c r="M397" i="27"/>
  <c r="M398" i="27"/>
  <c r="M399" i="27"/>
  <c r="M400" i="27"/>
  <c r="M401" i="27"/>
  <c r="M402" i="27"/>
  <c r="M403" i="27"/>
  <c r="M404" i="27"/>
  <c r="M405" i="27"/>
  <c r="M406" i="27"/>
  <c r="M407" i="27"/>
  <c r="M408" i="27"/>
  <c r="M409" i="27"/>
  <c r="M410" i="27"/>
  <c r="M411" i="27"/>
  <c r="M412" i="27"/>
  <c r="M413" i="27"/>
  <c r="M414" i="27"/>
  <c r="M415" i="27"/>
  <c r="M416" i="27"/>
  <c r="M417" i="27"/>
  <c r="M418" i="27"/>
  <c r="M419" i="27"/>
  <c r="M420" i="27"/>
  <c r="M421" i="27"/>
  <c r="M422" i="27"/>
  <c r="M423" i="27"/>
  <c r="M424" i="27"/>
  <c r="M425" i="27"/>
  <c r="M426" i="27"/>
  <c r="M427" i="27"/>
  <c r="M428" i="27"/>
  <c r="M429" i="27"/>
  <c r="M430" i="27"/>
  <c r="M431" i="27"/>
  <c r="M432" i="27"/>
  <c r="M433" i="27"/>
  <c r="M434" i="27"/>
  <c r="M435" i="27"/>
  <c r="M436" i="27"/>
  <c r="M437" i="27"/>
  <c r="M438" i="27"/>
  <c r="M439" i="27"/>
  <c r="M440" i="27"/>
  <c r="M441" i="27"/>
  <c r="M442" i="27"/>
  <c r="M443" i="27"/>
  <c r="M444" i="27"/>
  <c r="M445" i="27"/>
  <c r="M446" i="27"/>
  <c r="M447" i="27"/>
  <c r="M448" i="27"/>
  <c r="M449" i="27"/>
  <c r="M450" i="27"/>
  <c r="M451" i="27"/>
  <c r="M452" i="27"/>
  <c r="M453" i="27"/>
  <c r="M454" i="27"/>
  <c r="M455" i="27"/>
  <c r="M456" i="27"/>
  <c r="M457" i="27"/>
  <c r="M458" i="27"/>
  <c r="M459" i="27"/>
  <c r="M460" i="27"/>
  <c r="M461" i="27"/>
  <c r="M462" i="27"/>
  <c r="M463" i="27"/>
  <c r="M464" i="27"/>
  <c r="M465" i="27"/>
  <c r="M466" i="27"/>
  <c r="M467" i="27"/>
  <c r="M468" i="27"/>
  <c r="M469" i="27"/>
  <c r="M470" i="27"/>
  <c r="M471" i="27"/>
  <c r="M472" i="27"/>
  <c r="M473" i="27"/>
  <c r="M474" i="27"/>
  <c r="M475" i="27"/>
  <c r="M476" i="27"/>
  <c r="M477" i="27"/>
  <c r="M478" i="27"/>
  <c r="M479" i="27"/>
  <c r="M480" i="27"/>
  <c r="M481" i="27"/>
  <c r="M482" i="27"/>
  <c r="M483" i="27"/>
  <c r="M484" i="27"/>
  <c r="M485" i="27"/>
  <c r="M486" i="27"/>
  <c r="M487" i="27"/>
  <c r="M488" i="27"/>
  <c r="M489" i="27"/>
  <c r="M490" i="27"/>
  <c r="M491" i="27"/>
  <c r="M492" i="27"/>
  <c r="M493" i="27"/>
  <c r="M494" i="27"/>
  <c r="M495" i="27"/>
  <c r="M496" i="27"/>
  <c r="M497" i="27"/>
  <c r="M498" i="27"/>
  <c r="M499" i="27"/>
  <c r="M500" i="27"/>
  <c r="M501" i="27"/>
  <c r="M502" i="27"/>
  <c r="M503" i="27"/>
  <c r="M504" i="27"/>
  <c r="M505" i="27"/>
  <c r="M506" i="27"/>
  <c r="M507" i="27"/>
  <c r="M508" i="27"/>
  <c r="M509" i="27"/>
  <c r="M510" i="27"/>
  <c r="M511" i="27"/>
  <c r="M512" i="27"/>
  <c r="M513" i="27"/>
  <c r="M514" i="27"/>
  <c r="M515" i="27"/>
  <c r="M516" i="27"/>
  <c r="M517" i="27"/>
  <c r="M518" i="27"/>
  <c r="M519" i="27"/>
  <c r="M520" i="27"/>
  <c r="M521" i="27"/>
  <c r="M522" i="27"/>
  <c r="M523" i="27"/>
  <c r="M524" i="27"/>
  <c r="M525" i="27"/>
  <c r="M526" i="27"/>
  <c r="M527" i="27"/>
  <c r="M528" i="27"/>
  <c r="M529" i="27"/>
  <c r="M530" i="27"/>
  <c r="M531" i="27"/>
  <c r="M532" i="27"/>
  <c r="M533" i="27"/>
  <c r="M534" i="27"/>
  <c r="M535" i="27"/>
  <c r="M536" i="27"/>
  <c r="M537" i="27"/>
  <c r="M538" i="27"/>
  <c r="M539" i="27"/>
  <c r="M540" i="27"/>
  <c r="M541" i="27"/>
  <c r="M542" i="27"/>
  <c r="M543" i="27"/>
  <c r="M544" i="27"/>
  <c r="M545" i="27"/>
  <c r="M546" i="27"/>
  <c r="M547" i="27"/>
  <c r="M548" i="27"/>
  <c r="M549" i="27"/>
  <c r="M550" i="27"/>
  <c r="M551" i="27"/>
  <c r="M552" i="27"/>
  <c r="M553" i="27"/>
  <c r="M554" i="27"/>
  <c r="M555" i="27"/>
  <c r="M556" i="27"/>
  <c r="M557" i="27"/>
  <c r="M558" i="27"/>
  <c r="M559" i="27"/>
  <c r="M560" i="27"/>
  <c r="M561" i="27"/>
  <c r="M562" i="27"/>
  <c r="M563" i="27"/>
  <c r="M564" i="27"/>
  <c r="M565" i="27"/>
  <c r="M566" i="27"/>
  <c r="M567" i="27"/>
  <c r="M568" i="27"/>
  <c r="M569" i="27"/>
  <c r="M570" i="27"/>
  <c r="M571" i="27"/>
  <c r="M572" i="27"/>
  <c r="M573" i="27"/>
  <c r="M574" i="27"/>
  <c r="M575" i="27"/>
  <c r="M576" i="27"/>
  <c r="M577" i="27"/>
  <c r="M578" i="27"/>
  <c r="M579" i="27"/>
  <c r="M580" i="27"/>
  <c r="M581" i="27"/>
  <c r="M582" i="27"/>
  <c r="M583" i="27"/>
  <c r="M584" i="27"/>
  <c r="M585" i="27"/>
  <c r="M586" i="27"/>
  <c r="M587" i="27"/>
  <c r="M588" i="27"/>
  <c r="M589" i="27"/>
  <c r="M590" i="27"/>
  <c r="M591" i="27"/>
  <c r="M592" i="27"/>
  <c r="M593" i="27"/>
  <c r="M594" i="27"/>
  <c r="M595" i="27"/>
  <c r="M596" i="27"/>
  <c r="M597" i="27"/>
  <c r="M598" i="27"/>
  <c r="M599" i="27"/>
  <c r="M600" i="27"/>
  <c r="M601" i="27"/>
  <c r="M602" i="27"/>
  <c r="M603" i="27"/>
  <c r="M604" i="27"/>
  <c r="M605" i="27"/>
  <c r="M606" i="27"/>
  <c r="M607" i="27"/>
  <c r="M608" i="27"/>
  <c r="M609" i="27"/>
  <c r="M610" i="27"/>
  <c r="M611" i="27"/>
  <c r="M612" i="27"/>
  <c r="M613" i="27"/>
  <c r="M614" i="27"/>
  <c r="M615" i="27"/>
  <c r="M616" i="27"/>
  <c r="M617" i="27"/>
  <c r="M618" i="27"/>
  <c r="M619" i="27"/>
  <c r="M620" i="27"/>
  <c r="M621" i="27"/>
  <c r="M622" i="27"/>
  <c r="M623" i="27"/>
  <c r="M624" i="27"/>
  <c r="M625" i="27"/>
  <c r="M626" i="27"/>
  <c r="M627" i="27"/>
  <c r="M628" i="27"/>
  <c r="M629" i="27"/>
  <c r="M630" i="27"/>
  <c r="M631" i="27"/>
  <c r="M632" i="27"/>
  <c r="M633" i="27"/>
  <c r="M634" i="27"/>
  <c r="M635" i="27"/>
  <c r="M636" i="27"/>
  <c r="M637" i="27"/>
  <c r="M638" i="27"/>
  <c r="M639" i="27"/>
  <c r="M640" i="27"/>
  <c r="M641" i="27"/>
  <c r="M642" i="27"/>
  <c r="M643" i="27"/>
  <c r="M644" i="27"/>
  <c r="M645" i="27"/>
  <c r="M646" i="27"/>
  <c r="M647" i="27"/>
  <c r="M648" i="27"/>
  <c r="M649" i="27"/>
  <c r="M650" i="27"/>
  <c r="M651" i="27"/>
  <c r="M652" i="27"/>
  <c r="M653" i="27"/>
  <c r="M654" i="27"/>
  <c r="M655" i="27"/>
  <c r="M656" i="27"/>
  <c r="M657" i="27"/>
  <c r="M658" i="27"/>
  <c r="M659" i="27"/>
  <c r="M660" i="27"/>
  <c r="M661" i="27"/>
  <c r="M662" i="27"/>
  <c r="M663" i="27"/>
  <c r="M664" i="27"/>
  <c r="M665" i="27"/>
  <c r="M666" i="27"/>
  <c r="M667" i="27"/>
  <c r="M668" i="27"/>
  <c r="M669" i="27"/>
  <c r="M670" i="27"/>
  <c r="M671" i="27"/>
  <c r="M672" i="27"/>
  <c r="M673" i="27"/>
  <c r="M674" i="27"/>
  <c r="M675" i="27"/>
  <c r="M676" i="27"/>
  <c r="M677" i="27"/>
  <c r="M678" i="27"/>
  <c r="M679" i="27"/>
  <c r="M680" i="27"/>
  <c r="M681" i="27"/>
  <c r="M682" i="27"/>
  <c r="M683" i="27"/>
  <c r="M684" i="27"/>
  <c r="M685" i="27"/>
  <c r="M686" i="27"/>
  <c r="M687" i="27"/>
  <c r="M688" i="27"/>
  <c r="M689" i="27"/>
  <c r="M690" i="27"/>
  <c r="M691" i="27"/>
  <c r="M692" i="27"/>
  <c r="M693" i="27"/>
  <c r="M694" i="27"/>
  <c r="M695" i="27"/>
  <c r="M696" i="27"/>
  <c r="M697" i="27"/>
  <c r="M698" i="27"/>
  <c r="M699" i="27"/>
  <c r="M700" i="27"/>
  <c r="M701" i="27"/>
  <c r="M702" i="27"/>
  <c r="M703" i="27"/>
  <c r="M704" i="27"/>
  <c r="M705" i="27"/>
  <c r="M706" i="27"/>
  <c r="M4" i="27"/>
  <c r="G4" i="28"/>
  <c r="N3" i="28"/>
  <c r="J5" i="27" s="1"/>
  <c r="N4" i="28"/>
  <c r="J6" i="27" s="1"/>
  <c r="N5" i="28"/>
  <c r="J7" i="27" s="1"/>
  <c r="N6" i="28"/>
  <c r="J8" i="27" s="1"/>
  <c r="N7" i="28"/>
  <c r="J9" i="27" s="1"/>
  <c r="N8" i="28"/>
  <c r="J10" i="27" s="1"/>
  <c r="N9" i="28"/>
  <c r="J11" i="27" s="1"/>
  <c r="N10" i="28"/>
  <c r="J12" i="27" s="1"/>
  <c r="N11" i="28"/>
  <c r="J13" i="27" s="1"/>
  <c r="N12" i="28"/>
  <c r="J14" i="27" s="1"/>
  <c r="N13" i="28"/>
  <c r="J15" i="27" s="1"/>
  <c r="N14" i="28"/>
  <c r="J16" i="27" s="1"/>
  <c r="N15" i="28"/>
  <c r="J17" i="27" s="1"/>
  <c r="N17" i="28"/>
  <c r="J19" i="27" s="1"/>
  <c r="N18" i="28"/>
  <c r="J20" i="27" s="1"/>
  <c r="N19" i="28"/>
  <c r="J21" i="27" s="1"/>
  <c r="N20" i="28"/>
  <c r="J22" i="27" s="1"/>
  <c r="N21" i="28"/>
  <c r="J23" i="27" s="1"/>
  <c r="N22" i="28"/>
  <c r="J24" i="27" s="1"/>
  <c r="N23" i="28"/>
  <c r="J25" i="27" s="1"/>
  <c r="N24" i="28"/>
  <c r="J26" i="27" s="1"/>
  <c r="N25" i="28"/>
  <c r="J27" i="27" s="1"/>
  <c r="N26" i="28"/>
  <c r="N27" i="28"/>
  <c r="J29" i="27" s="1"/>
  <c r="N28" i="28"/>
  <c r="J30" i="27" s="1"/>
  <c r="N29" i="28"/>
  <c r="J31" i="27" s="1"/>
  <c r="N30" i="28"/>
  <c r="J32" i="27" s="1"/>
  <c r="N31" i="28"/>
  <c r="J33" i="27" s="1"/>
  <c r="N32" i="28"/>
  <c r="J34" i="27" s="1"/>
  <c r="N33" i="28"/>
  <c r="J35" i="27" s="1"/>
  <c r="N34" i="28"/>
  <c r="J36" i="27" s="1"/>
  <c r="N35" i="28"/>
  <c r="J37" i="27" s="1"/>
  <c r="N36" i="28"/>
  <c r="J38" i="27" s="1"/>
  <c r="N37" i="28"/>
  <c r="J39" i="27" s="1"/>
  <c r="N38" i="28"/>
  <c r="J40" i="27" s="1"/>
  <c r="N39" i="28"/>
  <c r="J41" i="27" s="1"/>
  <c r="N40" i="28"/>
  <c r="J42" i="27" s="1"/>
  <c r="N41" i="28"/>
  <c r="J43" i="27" s="1"/>
  <c r="N42" i="28"/>
  <c r="J44" i="27" s="1"/>
  <c r="N43" i="28"/>
  <c r="J45" i="27" s="1"/>
  <c r="N44" i="28"/>
  <c r="J46" i="27" s="1"/>
  <c r="N45" i="28"/>
  <c r="J47" i="27" s="1"/>
  <c r="N46" i="28"/>
  <c r="J48" i="27" s="1"/>
  <c r="N47" i="28"/>
  <c r="J49" i="27" s="1"/>
  <c r="N48" i="28"/>
  <c r="J50" i="27" s="1"/>
  <c r="N49" i="28"/>
  <c r="J51" i="27" s="1"/>
  <c r="N50" i="28"/>
  <c r="J52" i="27" s="1"/>
  <c r="N51" i="28"/>
  <c r="J53" i="27" s="1"/>
  <c r="N52" i="28"/>
  <c r="J54" i="27" s="1"/>
  <c r="N53" i="28"/>
  <c r="J55" i="27" s="1"/>
  <c r="N54" i="28"/>
  <c r="J56" i="27" s="1"/>
  <c r="N55" i="28"/>
  <c r="N56" i="28"/>
  <c r="J58" i="27" s="1"/>
  <c r="N57" i="28"/>
  <c r="J59" i="27" s="1"/>
  <c r="N58" i="28"/>
  <c r="J60" i="27" s="1"/>
  <c r="N59" i="28"/>
  <c r="N60" i="28"/>
  <c r="J62" i="27" s="1"/>
  <c r="N61" i="28"/>
  <c r="N62" i="28"/>
  <c r="J64" i="27" s="1"/>
  <c r="N63" i="28"/>
  <c r="J65" i="27" s="1"/>
  <c r="N64" i="28"/>
  <c r="J66" i="27" s="1"/>
  <c r="N65" i="28"/>
  <c r="J67" i="27" s="1"/>
  <c r="N66" i="28"/>
  <c r="J68" i="27" s="1"/>
  <c r="N67" i="28"/>
  <c r="J69" i="27" s="1"/>
  <c r="N68" i="28"/>
  <c r="J70" i="27" s="1"/>
  <c r="N69" i="28"/>
  <c r="J71" i="27" s="1"/>
  <c r="N70" i="28"/>
  <c r="J72" i="27" s="1"/>
  <c r="N71" i="28"/>
  <c r="N72" i="28"/>
  <c r="J74" i="27" s="1"/>
  <c r="N73" i="28"/>
  <c r="J75" i="27" s="1"/>
  <c r="N74" i="28"/>
  <c r="N75" i="28"/>
  <c r="N76" i="28"/>
  <c r="J78" i="27" s="1"/>
  <c r="N77" i="28"/>
  <c r="N78" i="28"/>
  <c r="N79" i="28"/>
  <c r="J81" i="27" s="1"/>
  <c r="N80" i="28"/>
  <c r="J82" i="27" s="1"/>
  <c r="N81" i="28"/>
  <c r="J83" i="27" s="1"/>
  <c r="N82" i="28"/>
  <c r="J84" i="27" s="1"/>
  <c r="N83" i="28"/>
  <c r="J85" i="27" s="1"/>
  <c r="N84" i="28"/>
  <c r="J86" i="27" s="1"/>
  <c r="N85" i="28"/>
  <c r="J87" i="27" s="1"/>
  <c r="N86" i="28"/>
  <c r="J88" i="27" s="1"/>
  <c r="N87" i="28"/>
  <c r="J89" i="27" s="1"/>
  <c r="N88" i="28"/>
  <c r="J90" i="27" s="1"/>
  <c r="N89" i="28"/>
  <c r="J91" i="27" s="1"/>
  <c r="N90" i="28"/>
  <c r="J92" i="27" s="1"/>
  <c r="N91" i="28"/>
  <c r="J93" i="27" s="1"/>
  <c r="N92" i="28"/>
  <c r="J94" i="27" s="1"/>
  <c r="N93" i="28"/>
  <c r="J95" i="27" s="1"/>
  <c r="N94" i="28"/>
  <c r="J96" i="27" s="1"/>
  <c r="N95" i="28"/>
  <c r="J97" i="27" s="1"/>
  <c r="N96" i="28"/>
  <c r="J98" i="27" s="1"/>
  <c r="N97" i="28"/>
  <c r="J99" i="27" s="1"/>
  <c r="N98" i="28"/>
  <c r="J100" i="27" s="1"/>
  <c r="N99" i="28"/>
  <c r="J101" i="27" s="1"/>
  <c r="N100" i="28"/>
  <c r="J102" i="27" s="1"/>
  <c r="N101" i="28"/>
  <c r="J103" i="27" s="1"/>
  <c r="N102" i="28"/>
  <c r="J104" i="27" s="1"/>
  <c r="N103" i="28"/>
  <c r="J105" i="27" s="1"/>
  <c r="N104" i="28"/>
  <c r="J106" i="27" s="1"/>
  <c r="N105" i="28"/>
  <c r="J107" i="27" s="1"/>
  <c r="N106" i="28"/>
  <c r="J108" i="27" s="1"/>
  <c r="N107" i="28"/>
  <c r="J109" i="27" s="1"/>
  <c r="N108" i="28"/>
  <c r="J110" i="27" s="1"/>
  <c r="N109" i="28"/>
  <c r="J111" i="27" s="1"/>
  <c r="N110" i="28"/>
  <c r="J112" i="27" s="1"/>
  <c r="N111" i="28"/>
  <c r="J113" i="27" s="1"/>
  <c r="N112" i="28"/>
  <c r="J114" i="27" s="1"/>
  <c r="N113" i="28"/>
  <c r="J115" i="27" s="1"/>
  <c r="N114" i="28"/>
  <c r="J116" i="27" s="1"/>
  <c r="N115" i="28"/>
  <c r="J117" i="27" s="1"/>
  <c r="N116" i="28"/>
  <c r="J118" i="27" s="1"/>
  <c r="N117" i="28"/>
  <c r="J119" i="27" s="1"/>
  <c r="N118" i="28"/>
  <c r="J120" i="27" s="1"/>
  <c r="N119" i="28"/>
  <c r="J121" i="27" s="1"/>
  <c r="N120" i="28"/>
  <c r="J122" i="27" s="1"/>
  <c r="N121" i="28"/>
  <c r="J123" i="27" s="1"/>
  <c r="N122" i="28"/>
  <c r="J124" i="27" s="1"/>
  <c r="N123" i="28"/>
  <c r="J125" i="27" s="1"/>
  <c r="N124" i="28"/>
  <c r="J126" i="27" s="1"/>
  <c r="N125" i="28"/>
  <c r="J127" i="27" s="1"/>
  <c r="N126" i="28"/>
  <c r="J128" i="27" s="1"/>
  <c r="N127" i="28"/>
  <c r="J129" i="27" s="1"/>
  <c r="N128" i="28"/>
  <c r="N129" i="28"/>
  <c r="J131" i="27" s="1"/>
  <c r="N130" i="28"/>
  <c r="J132" i="27" s="1"/>
  <c r="N131" i="28"/>
  <c r="J133" i="27" s="1"/>
  <c r="N132" i="28"/>
  <c r="J134" i="27" s="1"/>
  <c r="N133" i="28"/>
  <c r="J135" i="27" s="1"/>
  <c r="N134" i="28"/>
  <c r="J136" i="27" s="1"/>
  <c r="N135" i="28"/>
  <c r="J137" i="27" s="1"/>
  <c r="N136" i="28"/>
  <c r="J138" i="27" s="1"/>
  <c r="N137" i="28"/>
  <c r="J139" i="27" s="1"/>
  <c r="N138" i="28"/>
  <c r="J140" i="27" s="1"/>
  <c r="N139" i="28"/>
  <c r="J141" i="27" s="1"/>
  <c r="N140" i="28"/>
  <c r="J142" i="27" s="1"/>
  <c r="N141" i="28"/>
  <c r="J143" i="27" s="1"/>
  <c r="N142" i="28"/>
  <c r="J144" i="27" s="1"/>
  <c r="N143" i="28"/>
  <c r="J145" i="27" s="1"/>
  <c r="N144" i="28"/>
  <c r="J146" i="27" s="1"/>
  <c r="N145" i="28"/>
  <c r="J147" i="27" s="1"/>
  <c r="N146" i="28"/>
  <c r="J148" i="27" s="1"/>
  <c r="N147" i="28"/>
  <c r="J149" i="27" s="1"/>
  <c r="N148" i="28"/>
  <c r="J150" i="27" s="1"/>
  <c r="N149" i="28"/>
  <c r="N150" i="28"/>
  <c r="J152" i="27" s="1"/>
  <c r="N151" i="28"/>
  <c r="J153" i="27" s="1"/>
  <c r="N152" i="28"/>
  <c r="J154" i="27" s="1"/>
  <c r="N153" i="28"/>
  <c r="J155" i="27" s="1"/>
  <c r="N154" i="28"/>
  <c r="J156" i="27" s="1"/>
  <c r="N155" i="28"/>
  <c r="J157" i="27" s="1"/>
  <c r="N156" i="28"/>
  <c r="J158" i="27" s="1"/>
  <c r="N157" i="28"/>
  <c r="J159" i="27" s="1"/>
  <c r="N158" i="28"/>
  <c r="J160" i="27" s="1"/>
  <c r="N159" i="28"/>
  <c r="J161" i="27" s="1"/>
  <c r="N160" i="28"/>
  <c r="J162" i="27" s="1"/>
  <c r="N161" i="28"/>
  <c r="J163" i="27" s="1"/>
  <c r="N162" i="28"/>
  <c r="J164" i="27" s="1"/>
  <c r="N163" i="28"/>
  <c r="J165" i="27" s="1"/>
  <c r="N164" i="28"/>
  <c r="J166" i="27" s="1"/>
  <c r="N165" i="28"/>
  <c r="N166" i="28"/>
  <c r="J168" i="27" s="1"/>
  <c r="N167" i="28"/>
  <c r="J169" i="27" s="1"/>
  <c r="N168" i="28"/>
  <c r="J170" i="27" s="1"/>
  <c r="N169" i="28"/>
  <c r="J171" i="27" s="1"/>
  <c r="N170" i="28"/>
  <c r="J172" i="27" s="1"/>
  <c r="N171" i="28"/>
  <c r="J173" i="27" s="1"/>
  <c r="N172" i="28"/>
  <c r="J174" i="27" s="1"/>
  <c r="N173" i="28"/>
  <c r="J175" i="27" s="1"/>
  <c r="N174" i="28"/>
  <c r="J176" i="27" s="1"/>
  <c r="N175" i="28"/>
  <c r="J177" i="27" s="1"/>
  <c r="N176" i="28"/>
  <c r="J178" i="27" s="1"/>
  <c r="N177" i="28"/>
  <c r="J179" i="27" s="1"/>
  <c r="N178" i="28"/>
  <c r="J180" i="27" s="1"/>
  <c r="N179" i="28"/>
  <c r="J181" i="27" s="1"/>
  <c r="N180" i="28"/>
  <c r="N181" i="28"/>
  <c r="J183" i="27" s="1"/>
  <c r="N182" i="28"/>
  <c r="J184" i="27" s="1"/>
  <c r="N183" i="28"/>
  <c r="J185" i="27" s="1"/>
  <c r="N184" i="28"/>
  <c r="J186" i="27" s="1"/>
  <c r="N185" i="28"/>
  <c r="J187" i="27" s="1"/>
  <c r="N186" i="28"/>
  <c r="J188" i="27" s="1"/>
  <c r="N187" i="28"/>
  <c r="J189" i="27" s="1"/>
  <c r="N188" i="28"/>
  <c r="J190" i="27" s="1"/>
  <c r="N189" i="28"/>
  <c r="J191" i="27" s="1"/>
  <c r="N190" i="28"/>
  <c r="J192" i="27" s="1"/>
  <c r="N191" i="28"/>
  <c r="J193" i="27" s="1"/>
  <c r="N192" i="28"/>
  <c r="J194" i="27" s="1"/>
  <c r="N193" i="28"/>
  <c r="N194" i="28"/>
  <c r="J196" i="27" s="1"/>
  <c r="N195" i="28"/>
  <c r="J197" i="27" s="1"/>
  <c r="N196" i="28"/>
  <c r="J198" i="27" s="1"/>
  <c r="N197" i="28"/>
  <c r="J199" i="27" s="1"/>
  <c r="N198" i="28"/>
  <c r="J200" i="27" s="1"/>
  <c r="N199" i="28"/>
  <c r="J201" i="27" s="1"/>
  <c r="N200" i="28"/>
  <c r="J202" i="27" s="1"/>
  <c r="N201" i="28"/>
  <c r="J203" i="27" s="1"/>
  <c r="N202" i="28"/>
  <c r="J204" i="27" s="1"/>
  <c r="N203" i="28"/>
  <c r="J205" i="27" s="1"/>
  <c r="N204" i="28"/>
  <c r="J206" i="27" s="1"/>
  <c r="N205" i="28"/>
  <c r="J207" i="27" s="1"/>
  <c r="N206" i="28"/>
  <c r="J208" i="27" s="1"/>
  <c r="N207" i="28"/>
  <c r="J209" i="27" s="1"/>
  <c r="N208" i="28"/>
  <c r="J210" i="27" s="1"/>
  <c r="N209" i="28"/>
  <c r="J211" i="27" s="1"/>
  <c r="N210" i="28"/>
  <c r="J212" i="27" s="1"/>
  <c r="N211" i="28"/>
  <c r="J213" i="27" s="1"/>
  <c r="N212" i="28"/>
  <c r="N213" i="28"/>
  <c r="J215" i="27" s="1"/>
  <c r="N214" i="28"/>
  <c r="J216" i="27" s="1"/>
  <c r="N215" i="28"/>
  <c r="J217" i="27" s="1"/>
  <c r="N216" i="28"/>
  <c r="J218" i="27" s="1"/>
  <c r="N217" i="28"/>
  <c r="J219" i="27" s="1"/>
  <c r="N218" i="28"/>
  <c r="J220" i="27" s="1"/>
  <c r="N219" i="28"/>
  <c r="J221" i="27" s="1"/>
  <c r="N220" i="28"/>
  <c r="J222" i="27" s="1"/>
  <c r="N221" i="28"/>
  <c r="J223" i="27" s="1"/>
  <c r="N222" i="28"/>
  <c r="J224" i="27" s="1"/>
  <c r="N223" i="28"/>
  <c r="J225" i="27" s="1"/>
  <c r="N224" i="28"/>
  <c r="J226" i="27" s="1"/>
  <c r="N225" i="28"/>
  <c r="J227" i="27" s="1"/>
  <c r="N226" i="28"/>
  <c r="J228" i="27" s="1"/>
  <c r="N227" i="28"/>
  <c r="J229" i="27" s="1"/>
  <c r="N228" i="28"/>
  <c r="J230" i="27" s="1"/>
  <c r="N229" i="28"/>
  <c r="J231" i="27" s="1"/>
  <c r="N230" i="28"/>
  <c r="J232" i="27" s="1"/>
  <c r="N231" i="28"/>
  <c r="J233" i="27" s="1"/>
  <c r="N232" i="28"/>
  <c r="J234" i="27" s="1"/>
  <c r="N233" i="28"/>
  <c r="J235" i="27" s="1"/>
  <c r="N234" i="28"/>
  <c r="N235" i="28"/>
  <c r="N236" i="28"/>
  <c r="J238" i="27" s="1"/>
  <c r="N237" i="28"/>
  <c r="J239" i="27" s="1"/>
  <c r="N238" i="28"/>
  <c r="J240" i="27" s="1"/>
  <c r="N239" i="28"/>
  <c r="J241" i="27" s="1"/>
  <c r="N240" i="28"/>
  <c r="J242" i="27" s="1"/>
  <c r="N241" i="28"/>
  <c r="J243" i="27" s="1"/>
  <c r="N242" i="28"/>
  <c r="J244" i="27" s="1"/>
  <c r="N243" i="28"/>
  <c r="J245" i="27" s="1"/>
  <c r="N244" i="28"/>
  <c r="J246" i="27" s="1"/>
  <c r="N245" i="28"/>
  <c r="J247" i="27" s="1"/>
  <c r="N246" i="28"/>
  <c r="J248" i="27" s="1"/>
  <c r="N247" i="28"/>
  <c r="J249" i="27" s="1"/>
  <c r="N248" i="28"/>
  <c r="J250" i="27" s="1"/>
  <c r="N249" i="28"/>
  <c r="J251" i="27" s="1"/>
  <c r="N250" i="28"/>
  <c r="J252" i="27" s="1"/>
  <c r="N251" i="28"/>
  <c r="J253" i="27" s="1"/>
  <c r="N252" i="28"/>
  <c r="J254" i="27" s="1"/>
  <c r="N253" i="28"/>
  <c r="J255" i="27" s="1"/>
  <c r="N254" i="28"/>
  <c r="J256" i="27" s="1"/>
  <c r="N255" i="28"/>
  <c r="J257" i="27" s="1"/>
  <c r="N256" i="28"/>
  <c r="J258" i="27" s="1"/>
  <c r="N257" i="28"/>
  <c r="J259" i="27" s="1"/>
  <c r="N258" i="28"/>
  <c r="J260" i="27" s="1"/>
  <c r="N259" i="28"/>
  <c r="J261" i="27" s="1"/>
  <c r="N260" i="28"/>
  <c r="J262" i="27" s="1"/>
  <c r="N261" i="28"/>
  <c r="J263" i="27" s="1"/>
  <c r="N262" i="28"/>
  <c r="J264" i="27" s="1"/>
  <c r="N263" i="28"/>
  <c r="J265" i="27" s="1"/>
  <c r="N264" i="28"/>
  <c r="J266" i="27" s="1"/>
  <c r="N265" i="28"/>
  <c r="J267" i="27" s="1"/>
  <c r="N266" i="28"/>
  <c r="J268" i="27" s="1"/>
  <c r="N267" i="28"/>
  <c r="N268" i="28"/>
  <c r="J270" i="27" s="1"/>
  <c r="N269" i="28"/>
  <c r="N270" i="28"/>
  <c r="J272" i="27" s="1"/>
  <c r="N271" i="28"/>
  <c r="J273" i="27" s="1"/>
  <c r="N272" i="28"/>
  <c r="J274" i="27" s="1"/>
  <c r="N273" i="28"/>
  <c r="J275" i="27" s="1"/>
  <c r="N274" i="28"/>
  <c r="N275" i="28"/>
  <c r="J277" i="27" s="1"/>
  <c r="N276" i="28"/>
  <c r="J278" i="27" s="1"/>
  <c r="N277" i="28"/>
  <c r="J279" i="27" s="1"/>
  <c r="N278" i="28"/>
  <c r="J280" i="27" s="1"/>
  <c r="N279" i="28"/>
  <c r="J281" i="27" s="1"/>
  <c r="N280" i="28"/>
  <c r="N281" i="28"/>
  <c r="N282" i="28"/>
  <c r="N283" i="28"/>
  <c r="N284" i="28"/>
  <c r="J286" i="27" s="1"/>
  <c r="N285" i="28"/>
  <c r="J287" i="27" s="1"/>
  <c r="N286" i="28"/>
  <c r="J288" i="27" s="1"/>
  <c r="N287" i="28"/>
  <c r="J289" i="27" s="1"/>
  <c r="N288" i="28"/>
  <c r="J290" i="27" s="1"/>
  <c r="N289" i="28"/>
  <c r="J291" i="27" s="1"/>
  <c r="N290" i="28"/>
  <c r="J292" i="27" s="1"/>
  <c r="N291" i="28"/>
  <c r="J293" i="27" s="1"/>
  <c r="N292" i="28"/>
  <c r="J294" i="27" s="1"/>
  <c r="N293" i="28"/>
  <c r="J295" i="27" s="1"/>
  <c r="N294" i="28"/>
  <c r="J296" i="27" s="1"/>
  <c r="N295" i="28"/>
  <c r="J297" i="27" s="1"/>
  <c r="N296" i="28"/>
  <c r="J298" i="27" s="1"/>
  <c r="N297" i="28"/>
  <c r="J299" i="27" s="1"/>
  <c r="N298" i="28"/>
  <c r="J300" i="27" s="1"/>
  <c r="N299" i="28"/>
  <c r="J301" i="27" s="1"/>
  <c r="N300" i="28"/>
  <c r="J302" i="27" s="1"/>
  <c r="N301" i="28"/>
  <c r="J303" i="27" s="1"/>
  <c r="N302" i="28"/>
  <c r="J304" i="27" s="1"/>
  <c r="N303" i="28"/>
  <c r="N304" i="28"/>
  <c r="J306" i="27" s="1"/>
  <c r="N305" i="28"/>
  <c r="J307" i="27" s="1"/>
  <c r="N306" i="28"/>
  <c r="N307" i="28"/>
  <c r="N308" i="28"/>
  <c r="J310" i="27" s="1"/>
  <c r="N309" i="28"/>
  <c r="N310" i="28"/>
  <c r="J312" i="27" s="1"/>
  <c r="N311" i="28"/>
  <c r="N312" i="28"/>
  <c r="J314" i="27" s="1"/>
  <c r="N313" i="28"/>
  <c r="J315" i="27" s="1"/>
  <c r="N314" i="28"/>
  <c r="J316" i="27" s="1"/>
  <c r="N315" i="28"/>
  <c r="J317" i="27" s="1"/>
  <c r="N316" i="28"/>
  <c r="J318" i="27" s="1"/>
  <c r="N317" i="28"/>
  <c r="J319" i="27" s="1"/>
  <c r="N318" i="28"/>
  <c r="N319" i="28"/>
  <c r="J321" i="27" s="1"/>
  <c r="N320" i="28"/>
  <c r="J322" i="27" s="1"/>
  <c r="N321" i="28"/>
  <c r="J323" i="27" s="1"/>
  <c r="N322" i="28"/>
  <c r="J324" i="27" s="1"/>
  <c r="N323" i="28"/>
  <c r="J325" i="27" s="1"/>
  <c r="N324" i="28"/>
  <c r="J326" i="27" s="1"/>
  <c r="N325" i="28"/>
  <c r="J327" i="27" s="1"/>
  <c r="N326" i="28"/>
  <c r="J328" i="27" s="1"/>
  <c r="N327" i="28"/>
  <c r="J329" i="27" s="1"/>
  <c r="N328" i="28"/>
  <c r="J330" i="27" s="1"/>
  <c r="N329" i="28"/>
  <c r="J331" i="27" s="1"/>
  <c r="N330" i="28"/>
  <c r="J332" i="27" s="1"/>
  <c r="N331" i="28"/>
  <c r="J333" i="27" s="1"/>
  <c r="N332" i="28"/>
  <c r="J334" i="27" s="1"/>
  <c r="N333" i="28"/>
  <c r="N334" i="28"/>
  <c r="J336" i="27" s="1"/>
  <c r="N335" i="28"/>
  <c r="J337" i="27" s="1"/>
  <c r="N336" i="28"/>
  <c r="N337" i="28"/>
  <c r="N338" i="28"/>
  <c r="J340" i="27" s="1"/>
  <c r="N339" i="28"/>
  <c r="J341" i="27" s="1"/>
  <c r="N340" i="28"/>
  <c r="J342" i="27" s="1"/>
  <c r="N341" i="28"/>
  <c r="J343" i="27" s="1"/>
  <c r="N342" i="28"/>
  <c r="J344" i="27" s="1"/>
  <c r="N343" i="28"/>
  <c r="J345" i="27" s="1"/>
  <c r="N344" i="28"/>
  <c r="J346" i="27" s="1"/>
  <c r="N345" i="28"/>
  <c r="J347" i="27" s="1"/>
  <c r="N346" i="28"/>
  <c r="J348" i="27" s="1"/>
  <c r="N347" i="28"/>
  <c r="J349" i="27" s="1"/>
  <c r="N348" i="28"/>
  <c r="J350" i="27" s="1"/>
  <c r="N349" i="28"/>
  <c r="J351" i="27" s="1"/>
  <c r="N350" i="28"/>
  <c r="J352" i="27" s="1"/>
  <c r="N351" i="28"/>
  <c r="J353" i="27" s="1"/>
  <c r="N352" i="28"/>
  <c r="N353" i="28"/>
  <c r="J355" i="27" s="1"/>
  <c r="N354" i="28"/>
  <c r="N355" i="28"/>
  <c r="N356" i="28"/>
  <c r="N357" i="28"/>
  <c r="N358" i="28"/>
  <c r="N359" i="28"/>
  <c r="J361" i="27" s="1"/>
  <c r="N360" i="28"/>
  <c r="J362" i="27" s="1"/>
  <c r="N361" i="28"/>
  <c r="J363" i="27" s="1"/>
  <c r="N362" i="28"/>
  <c r="J364" i="27" s="1"/>
  <c r="N363" i="28"/>
  <c r="J365" i="27" s="1"/>
  <c r="N364" i="28"/>
  <c r="J366" i="27" s="1"/>
  <c r="N365" i="28"/>
  <c r="N366" i="28"/>
  <c r="N367" i="28"/>
  <c r="N368" i="28"/>
  <c r="J370" i="27" s="1"/>
  <c r="N369" i="28"/>
  <c r="N370" i="28"/>
  <c r="J372" i="27" s="1"/>
  <c r="N371" i="28"/>
  <c r="J373" i="27" s="1"/>
  <c r="N372" i="28"/>
  <c r="J374" i="27" s="1"/>
  <c r="N373" i="28"/>
  <c r="N374" i="28"/>
  <c r="N375" i="28"/>
  <c r="N376" i="28"/>
  <c r="N377" i="28"/>
  <c r="N378" i="28"/>
  <c r="N379" i="28"/>
  <c r="N380" i="28"/>
  <c r="N381" i="28"/>
  <c r="N382" i="28"/>
  <c r="N383" i="28"/>
  <c r="N384" i="28"/>
  <c r="N385" i="28"/>
  <c r="N386" i="28"/>
  <c r="N387" i="28"/>
  <c r="N388" i="28"/>
  <c r="N389" i="28"/>
  <c r="J391" i="27" s="1"/>
  <c r="N390" i="28"/>
  <c r="J392" i="27" s="1"/>
  <c r="N391" i="28"/>
  <c r="J393" i="27" s="1"/>
  <c r="N392" i="28"/>
  <c r="J394" i="27" s="1"/>
  <c r="N393" i="28"/>
  <c r="J395" i="27" s="1"/>
  <c r="N394" i="28"/>
  <c r="J396" i="27" s="1"/>
  <c r="N395" i="28"/>
  <c r="N396" i="28"/>
  <c r="J398" i="27" s="1"/>
  <c r="N397" i="28"/>
  <c r="J399" i="27" s="1"/>
  <c r="N398" i="28"/>
  <c r="J400" i="27" s="1"/>
  <c r="N399" i="28"/>
  <c r="J401" i="27" s="1"/>
  <c r="N400" i="28"/>
  <c r="N401" i="28"/>
  <c r="J403" i="27" s="1"/>
  <c r="N402" i="28"/>
  <c r="J404" i="27" s="1"/>
  <c r="N403" i="28"/>
  <c r="N404" i="28"/>
  <c r="J406" i="27" s="1"/>
  <c r="N405" i="28"/>
  <c r="J407" i="27" s="1"/>
  <c r="N406" i="28"/>
  <c r="J408" i="27" s="1"/>
  <c r="N407" i="28"/>
  <c r="J409" i="27" s="1"/>
  <c r="N408" i="28"/>
  <c r="J410" i="27" s="1"/>
  <c r="N409" i="28"/>
  <c r="J411" i="27" s="1"/>
  <c r="N410" i="28"/>
  <c r="J412" i="27" s="1"/>
  <c r="N411" i="28"/>
  <c r="J413" i="27" s="1"/>
  <c r="N412" i="28"/>
  <c r="J414" i="27" s="1"/>
  <c r="N413" i="28"/>
  <c r="J415" i="27" s="1"/>
  <c r="N414" i="28"/>
  <c r="J416" i="27" s="1"/>
  <c r="N415" i="28"/>
  <c r="J417" i="27" s="1"/>
  <c r="N416" i="28"/>
  <c r="J418" i="27" s="1"/>
  <c r="N417" i="28"/>
  <c r="N418" i="28"/>
  <c r="J420" i="27" s="1"/>
  <c r="N419" i="28"/>
  <c r="J421" i="27" s="1"/>
  <c r="N420" i="28"/>
  <c r="J422" i="27" s="1"/>
  <c r="N421" i="28"/>
  <c r="J423" i="27" s="1"/>
  <c r="N422" i="28"/>
  <c r="J424" i="27" s="1"/>
  <c r="N423" i="28"/>
  <c r="N424" i="28"/>
  <c r="J426" i="27" s="1"/>
  <c r="N425" i="28"/>
  <c r="J427" i="27" s="1"/>
  <c r="N426" i="28"/>
  <c r="N427" i="28"/>
  <c r="J429" i="27" s="1"/>
  <c r="N428" i="28"/>
  <c r="J430" i="27" s="1"/>
  <c r="N429" i="28"/>
  <c r="J431" i="27" s="1"/>
  <c r="N430" i="28"/>
  <c r="J432" i="27" s="1"/>
  <c r="N431" i="28"/>
  <c r="J433" i="27" s="1"/>
  <c r="N432" i="28"/>
  <c r="J434" i="27" s="1"/>
  <c r="N433" i="28"/>
  <c r="J435" i="27" s="1"/>
  <c r="N434" i="28"/>
  <c r="J436" i="27" s="1"/>
  <c r="N435" i="28"/>
  <c r="J437" i="27" s="1"/>
  <c r="N436" i="28"/>
  <c r="J438" i="27" s="1"/>
  <c r="N437" i="28"/>
  <c r="J439" i="27" s="1"/>
  <c r="N438" i="28"/>
  <c r="J440" i="27" s="1"/>
  <c r="N439" i="28"/>
  <c r="J441" i="27" s="1"/>
  <c r="N440" i="28"/>
  <c r="J442" i="27" s="1"/>
  <c r="N441" i="28"/>
  <c r="J443" i="27" s="1"/>
  <c r="N442" i="28"/>
  <c r="J444" i="27" s="1"/>
  <c r="N443" i="28"/>
  <c r="J445" i="27" s="1"/>
  <c r="N444" i="28"/>
  <c r="J446" i="27" s="1"/>
  <c r="N445" i="28"/>
  <c r="J447" i="27" s="1"/>
  <c r="N446" i="28"/>
  <c r="J448" i="27" s="1"/>
  <c r="N447" i="28"/>
  <c r="N448" i="28"/>
  <c r="J450" i="27" s="1"/>
  <c r="N449" i="28"/>
  <c r="J451" i="27" s="1"/>
  <c r="N450" i="28"/>
  <c r="J452" i="27" s="1"/>
  <c r="N451" i="28"/>
  <c r="J453" i="27" s="1"/>
  <c r="N452" i="28"/>
  <c r="N453" i="28"/>
  <c r="N454" i="28"/>
  <c r="N455" i="28"/>
  <c r="N456" i="28"/>
  <c r="N457" i="28"/>
  <c r="N458" i="28"/>
  <c r="N459" i="28"/>
  <c r="J461" i="27" s="1"/>
  <c r="N460" i="28"/>
  <c r="N461" i="28"/>
  <c r="J463" i="27" s="1"/>
  <c r="N462" i="28"/>
  <c r="J464" i="27" s="1"/>
  <c r="N463" i="28"/>
  <c r="J465" i="27" s="1"/>
  <c r="N464" i="28"/>
  <c r="J466" i="27" s="1"/>
  <c r="N465" i="28"/>
  <c r="J467" i="27" s="1"/>
  <c r="N466" i="28"/>
  <c r="J468" i="27" s="1"/>
  <c r="N467" i="28"/>
  <c r="J469" i="27" s="1"/>
  <c r="N468" i="28"/>
  <c r="J470" i="27" s="1"/>
  <c r="N469" i="28"/>
  <c r="N470" i="28"/>
  <c r="J472" i="27" s="1"/>
  <c r="N471" i="28"/>
  <c r="J473" i="27" s="1"/>
  <c r="N472" i="28"/>
  <c r="J474" i="27" s="1"/>
  <c r="N473" i="28"/>
  <c r="J475" i="27" s="1"/>
  <c r="N474" i="28"/>
  <c r="J476" i="27" s="1"/>
  <c r="N475" i="28"/>
  <c r="J477" i="27" s="1"/>
  <c r="N476" i="28"/>
  <c r="N477" i="28"/>
  <c r="J479" i="27" s="1"/>
  <c r="N478" i="28"/>
  <c r="N479" i="28"/>
  <c r="J481" i="27" s="1"/>
  <c r="N480" i="28"/>
  <c r="J482" i="27" s="1"/>
  <c r="N481" i="28"/>
  <c r="N482" i="28"/>
  <c r="J484" i="27" s="1"/>
  <c r="N483" i="28"/>
  <c r="J485" i="27" s="1"/>
  <c r="N484" i="28"/>
  <c r="J486" i="27" s="1"/>
  <c r="N485" i="28"/>
  <c r="J487" i="27" s="1"/>
  <c r="N486" i="28"/>
  <c r="J488" i="27" s="1"/>
  <c r="N487" i="28"/>
  <c r="N488" i="28"/>
  <c r="J490" i="27" s="1"/>
  <c r="N489" i="28"/>
  <c r="J491" i="27" s="1"/>
  <c r="N490" i="28"/>
  <c r="J492" i="27" s="1"/>
  <c r="N491" i="28"/>
  <c r="J493" i="27" s="1"/>
  <c r="N492" i="28"/>
  <c r="J494" i="27" s="1"/>
  <c r="N493" i="28"/>
  <c r="J495" i="27" s="1"/>
  <c r="N494" i="28"/>
  <c r="J496" i="27" s="1"/>
  <c r="N495" i="28"/>
  <c r="J497" i="27" s="1"/>
  <c r="N496" i="28"/>
  <c r="N497" i="28"/>
  <c r="N498" i="28"/>
  <c r="J500" i="27" s="1"/>
  <c r="N499" i="28"/>
  <c r="J501" i="27" s="1"/>
  <c r="N500" i="28"/>
  <c r="J502" i="27" s="1"/>
  <c r="N501" i="28"/>
  <c r="J503" i="27" s="1"/>
  <c r="N502" i="28"/>
  <c r="J504" i="27" s="1"/>
  <c r="N503" i="28"/>
  <c r="J505" i="27" s="1"/>
  <c r="N504" i="28"/>
  <c r="J506" i="27" s="1"/>
  <c r="N505" i="28"/>
  <c r="J507" i="27" s="1"/>
  <c r="N506" i="28"/>
  <c r="J508" i="27" s="1"/>
  <c r="N507" i="28"/>
  <c r="J509" i="27" s="1"/>
  <c r="N508" i="28"/>
  <c r="J510" i="27" s="1"/>
  <c r="N509" i="28"/>
  <c r="J511" i="27" s="1"/>
  <c r="N510" i="28"/>
  <c r="J512" i="27" s="1"/>
  <c r="N511" i="28"/>
  <c r="J513" i="27" s="1"/>
  <c r="N512" i="28"/>
  <c r="J514" i="27" s="1"/>
  <c r="N513" i="28"/>
  <c r="J515" i="27" s="1"/>
  <c r="N514" i="28"/>
  <c r="J516" i="27" s="1"/>
  <c r="N515" i="28"/>
  <c r="J517" i="27" s="1"/>
  <c r="N516" i="28"/>
  <c r="J518" i="27" s="1"/>
  <c r="N517" i="28"/>
  <c r="J519" i="27" s="1"/>
  <c r="N518" i="28"/>
  <c r="N519" i="28"/>
  <c r="J521" i="27" s="1"/>
  <c r="N520" i="28"/>
  <c r="J522" i="27" s="1"/>
  <c r="N521" i="28"/>
  <c r="J523" i="27" s="1"/>
  <c r="N522" i="28"/>
  <c r="J524" i="27" s="1"/>
  <c r="N523" i="28"/>
  <c r="J525" i="27" s="1"/>
  <c r="N524" i="28"/>
  <c r="J526" i="27" s="1"/>
  <c r="N525" i="28"/>
  <c r="J527" i="27" s="1"/>
  <c r="N526" i="28"/>
  <c r="J528" i="27" s="1"/>
  <c r="N527" i="28"/>
  <c r="J529" i="27" s="1"/>
  <c r="N528" i="28"/>
  <c r="J530" i="27" s="1"/>
  <c r="N529" i="28"/>
  <c r="J531" i="27" s="1"/>
  <c r="N530" i="28"/>
  <c r="J532" i="27" s="1"/>
  <c r="N531" i="28"/>
  <c r="J533" i="27" s="1"/>
  <c r="N532" i="28"/>
  <c r="N533" i="28"/>
  <c r="J535" i="27" s="1"/>
  <c r="N534" i="28"/>
  <c r="J536" i="27" s="1"/>
  <c r="N535" i="28"/>
  <c r="J537" i="27" s="1"/>
  <c r="N536" i="28"/>
  <c r="J538" i="27" s="1"/>
  <c r="N537" i="28"/>
  <c r="J539" i="27" s="1"/>
  <c r="N538" i="28"/>
  <c r="N539" i="28"/>
  <c r="J541" i="27" s="1"/>
  <c r="N540" i="28"/>
  <c r="J542" i="27" s="1"/>
  <c r="N541" i="28"/>
  <c r="J543" i="27" s="1"/>
  <c r="N542" i="28"/>
  <c r="N543" i="28"/>
  <c r="J545" i="27" s="1"/>
  <c r="N544" i="28"/>
  <c r="J546" i="27" s="1"/>
  <c r="N545" i="28"/>
  <c r="J547" i="27" s="1"/>
  <c r="N546" i="28"/>
  <c r="J548" i="27" s="1"/>
  <c r="N547" i="28"/>
  <c r="J549" i="27" s="1"/>
  <c r="N548" i="28"/>
  <c r="J550" i="27" s="1"/>
  <c r="N549" i="28"/>
  <c r="J551" i="27" s="1"/>
  <c r="N550" i="28"/>
  <c r="J552" i="27" s="1"/>
  <c r="N551" i="28"/>
  <c r="J553" i="27" s="1"/>
  <c r="N552" i="28"/>
  <c r="J554" i="27" s="1"/>
  <c r="N553" i="28"/>
  <c r="J555" i="27" s="1"/>
  <c r="N554" i="28"/>
  <c r="J556" i="27" s="1"/>
  <c r="N555" i="28"/>
  <c r="N556" i="28"/>
  <c r="J558" i="27" s="1"/>
  <c r="N557" i="28"/>
  <c r="J559" i="27" s="1"/>
  <c r="N558" i="28"/>
  <c r="N559" i="28"/>
  <c r="J561" i="27" s="1"/>
  <c r="N560" i="28"/>
  <c r="N561" i="28"/>
  <c r="J563" i="27" s="1"/>
  <c r="N562" i="28"/>
  <c r="J564" i="27" s="1"/>
  <c r="N563" i="28"/>
  <c r="J565" i="27" s="1"/>
  <c r="N564" i="28"/>
  <c r="J566" i="27" s="1"/>
  <c r="N565" i="28"/>
  <c r="J567" i="27" s="1"/>
  <c r="N566" i="28"/>
  <c r="J568" i="27" s="1"/>
  <c r="N567" i="28"/>
  <c r="N568" i="28"/>
  <c r="J570" i="27" s="1"/>
  <c r="N569" i="28"/>
  <c r="J571" i="27" s="1"/>
  <c r="N570" i="28"/>
  <c r="J572" i="27" s="1"/>
  <c r="N571" i="28"/>
  <c r="J573" i="27" s="1"/>
  <c r="N572" i="28"/>
  <c r="J574" i="27" s="1"/>
  <c r="N573" i="28"/>
  <c r="J575" i="27" s="1"/>
  <c r="N574" i="28"/>
  <c r="J576" i="27" s="1"/>
  <c r="N575" i="28"/>
  <c r="J577" i="27" s="1"/>
  <c r="N576" i="28"/>
  <c r="J578" i="27" s="1"/>
  <c r="N577" i="28"/>
  <c r="J579" i="27" s="1"/>
  <c r="N578" i="28"/>
  <c r="J580" i="27" s="1"/>
  <c r="N579" i="28"/>
  <c r="J581" i="27" s="1"/>
  <c r="N580" i="28"/>
  <c r="J582" i="27" s="1"/>
  <c r="N581" i="28"/>
  <c r="J583" i="27" s="1"/>
  <c r="N582" i="28"/>
  <c r="J584" i="27" s="1"/>
  <c r="N583" i="28"/>
  <c r="J585" i="27" s="1"/>
  <c r="N584" i="28"/>
  <c r="J586" i="27" s="1"/>
  <c r="N585" i="28"/>
  <c r="J587" i="27" s="1"/>
  <c r="N586" i="28"/>
  <c r="J588" i="27" s="1"/>
  <c r="N587" i="28"/>
  <c r="N588" i="28"/>
  <c r="J590" i="27" s="1"/>
  <c r="N589" i="28"/>
  <c r="J591" i="27" s="1"/>
  <c r="N590" i="28"/>
  <c r="J592" i="27" s="1"/>
  <c r="N591" i="28"/>
  <c r="J593" i="27" s="1"/>
  <c r="N592" i="28"/>
  <c r="J594" i="27" s="1"/>
  <c r="N593" i="28"/>
  <c r="J595" i="27" s="1"/>
  <c r="N594" i="28"/>
  <c r="J596" i="27" s="1"/>
  <c r="N595" i="28"/>
  <c r="J597" i="27" s="1"/>
  <c r="N596" i="28"/>
  <c r="N597" i="28"/>
  <c r="J599" i="27" s="1"/>
  <c r="N598" i="28"/>
  <c r="N599" i="28"/>
  <c r="J601" i="27" s="1"/>
  <c r="N600" i="28"/>
  <c r="J602" i="27" s="1"/>
  <c r="N601" i="28"/>
  <c r="J603" i="27" s="1"/>
  <c r="N602" i="28"/>
  <c r="J604" i="27" s="1"/>
  <c r="N603" i="28"/>
  <c r="J605" i="27" s="1"/>
  <c r="N604" i="28"/>
  <c r="J606" i="27" s="1"/>
  <c r="N605" i="28"/>
  <c r="J607" i="27" s="1"/>
  <c r="N606" i="28"/>
  <c r="J608" i="27" s="1"/>
  <c r="N607" i="28"/>
  <c r="J609" i="27" s="1"/>
  <c r="N608" i="28"/>
  <c r="J610" i="27" s="1"/>
  <c r="N609" i="28"/>
  <c r="J611" i="27" s="1"/>
  <c r="N610" i="28"/>
  <c r="J612" i="27" s="1"/>
  <c r="N611" i="28"/>
  <c r="J613" i="27" s="1"/>
  <c r="N612" i="28"/>
  <c r="J614" i="27" s="1"/>
  <c r="N613" i="28"/>
  <c r="J615" i="27" s="1"/>
  <c r="N614" i="28"/>
  <c r="J616" i="27" s="1"/>
  <c r="N615" i="28"/>
  <c r="J617" i="27" s="1"/>
  <c r="N616" i="28"/>
  <c r="J618" i="27" s="1"/>
  <c r="N617" i="28"/>
  <c r="J619" i="27" s="1"/>
  <c r="N618" i="28"/>
  <c r="J620" i="27" s="1"/>
  <c r="N619" i="28"/>
  <c r="J621" i="27" s="1"/>
  <c r="N620" i="28"/>
  <c r="N621" i="28"/>
  <c r="N622" i="28"/>
  <c r="N623" i="28"/>
  <c r="J625" i="27" s="1"/>
  <c r="N624" i="28"/>
  <c r="N625" i="28"/>
  <c r="J627" i="27" s="1"/>
  <c r="N626" i="28"/>
  <c r="J628" i="27" s="1"/>
  <c r="N627" i="28"/>
  <c r="J629" i="27" s="1"/>
  <c r="N628" i="28"/>
  <c r="J630" i="27" s="1"/>
  <c r="N629" i="28"/>
  <c r="J631" i="27" s="1"/>
  <c r="N630" i="28"/>
  <c r="J632" i="27" s="1"/>
  <c r="N631" i="28"/>
  <c r="J633" i="27" s="1"/>
  <c r="N632" i="28"/>
  <c r="J634" i="27" s="1"/>
  <c r="N633" i="28"/>
  <c r="J635" i="27" s="1"/>
  <c r="N634" i="28"/>
  <c r="J636" i="27" s="1"/>
  <c r="N635" i="28"/>
  <c r="J637" i="27" s="1"/>
  <c r="N636" i="28"/>
  <c r="J638" i="27" s="1"/>
  <c r="N637" i="28"/>
  <c r="J639" i="27" s="1"/>
  <c r="N638" i="28"/>
  <c r="J640" i="27" s="1"/>
  <c r="N639" i="28"/>
  <c r="J641" i="27" s="1"/>
  <c r="N640" i="28"/>
  <c r="J642" i="27" s="1"/>
  <c r="N641" i="28"/>
  <c r="J643" i="27" s="1"/>
  <c r="N642" i="28"/>
  <c r="J644" i="27" s="1"/>
  <c r="N643" i="28"/>
  <c r="J645" i="27" s="1"/>
  <c r="N644" i="28"/>
  <c r="J646" i="27" s="1"/>
  <c r="N645" i="28"/>
  <c r="J647" i="27" s="1"/>
  <c r="N646" i="28"/>
  <c r="J648" i="27" s="1"/>
  <c r="N647" i="28"/>
  <c r="N648" i="28"/>
  <c r="J650" i="27" s="1"/>
  <c r="N649" i="28"/>
  <c r="N650" i="28"/>
  <c r="N651" i="28"/>
  <c r="N652" i="28"/>
  <c r="J654" i="27" s="1"/>
  <c r="N653" i="28"/>
  <c r="J655" i="27" s="1"/>
  <c r="N654" i="28"/>
  <c r="J656" i="27" s="1"/>
  <c r="N655" i="28"/>
  <c r="J657" i="27" s="1"/>
  <c r="N656" i="28"/>
  <c r="J658" i="27" s="1"/>
  <c r="N657" i="28"/>
  <c r="J659" i="27" s="1"/>
  <c r="N658" i="28"/>
  <c r="J660" i="27" s="1"/>
  <c r="N659" i="28"/>
  <c r="J661" i="27" s="1"/>
  <c r="N660" i="28"/>
  <c r="J662" i="27" s="1"/>
  <c r="N661" i="28"/>
  <c r="N662" i="28"/>
  <c r="J664" i="27" s="1"/>
  <c r="N663" i="28"/>
  <c r="J665" i="27" s="1"/>
  <c r="N664" i="28"/>
  <c r="J666" i="27" s="1"/>
  <c r="N665" i="28"/>
  <c r="J667" i="27" s="1"/>
  <c r="N666" i="28"/>
  <c r="N667" i="28"/>
  <c r="J669" i="27" s="1"/>
  <c r="N668" i="28"/>
  <c r="J670" i="27" s="1"/>
  <c r="N669" i="28"/>
  <c r="J671" i="27" s="1"/>
  <c r="N670" i="28"/>
  <c r="J672" i="27" s="1"/>
  <c r="N671" i="28"/>
  <c r="J673" i="27" s="1"/>
  <c r="N672" i="28"/>
  <c r="J674" i="27" s="1"/>
  <c r="N673" i="28"/>
  <c r="J675" i="27" s="1"/>
  <c r="N674" i="28"/>
  <c r="J676" i="27" s="1"/>
  <c r="N675" i="28"/>
  <c r="J677" i="27" s="1"/>
  <c r="N676" i="28"/>
  <c r="J678" i="27" s="1"/>
  <c r="N677" i="28"/>
  <c r="J679" i="27" s="1"/>
  <c r="N678" i="28"/>
  <c r="J680" i="27" s="1"/>
  <c r="N679" i="28"/>
  <c r="J681" i="27" s="1"/>
  <c r="N680" i="28"/>
  <c r="J682" i="27" s="1"/>
  <c r="N681" i="28"/>
  <c r="J683" i="27" s="1"/>
  <c r="N682" i="28"/>
  <c r="J684" i="27" s="1"/>
  <c r="N683" i="28"/>
  <c r="J685" i="27" s="1"/>
  <c r="N684" i="28"/>
  <c r="J686" i="27" s="1"/>
  <c r="N685" i="28"/>
  <c r="J687" i="27" s="1"/>
  <c r="N686" i="28"/>
  <c r="J688" i="27" s="1"/>
  <c r="N687" i="28"/>
  <c r="J689" i="27" s="1"/>
  <c r="N688" i="28"/>
  <c r="J690" i="27" s="1"/>
  <c r="N689" i="28"/>
  <c r="J691" i="27" s="1"/>
  <c r="N690" i="28"/>
  <c r="J692" i="27" s="1"/>
  <c r="N691" i="28"/>
  <c r="J693" i="27" s="1"/>
  <c r="N692" i="28"/>
  <c r="N693" i="28"/>
  <c r="J695" i="27" s="1"/>
  <c r="N694" i="28"/>
  <c r="J696" i="27" s="1"/>
  <c r="N695" i="28"/>
  <c r="J697" i="27" s="1"/>
  <c r="N696" i="28"/>
  <c r="J698" i="27" s="1"/>
  <c r="N697" i="28"/>
  <c r="J699" i="27" s="1"/>
  <c r="N698" i="28"/>
  <c r="N699" i="28"/>
  <c r="J701" i="27" s="1"/>
  <c r="N700" i="28"/>
  <c r="J702" i="27" s="1"/>
  <c r="N701" i="28"/>
  <c r="J703" i="27" s="1"/>
  <c r="N702" i="28"/>
  <c r="J704" i="27" s="1"/>
  <c r="N703" i="28"/>
  <c r="J705" i="27" s="1"/>
  <c r="N704" i="28"/>
  <c r="N705" i="28"/>
  <c r="N2" i="28"/>
  <c r="J4" i="27" s="1"/>
  <c r="J3" i="28"/>
  <c r="G5" i="27" s="1"/>
  <c r="J4" i="28"/>
  <c r="G6" i="27" s="1"/>
  <c r="J5" i="28"/>
  <c r="G7" i="27" s="1"/>
  <c r="J6" i="28"/>
  <c r="G8" i="27" s="1"/>
  <c r="J7" i="28"/>
  <c r="G9" i="27" s="1"/>
  <c r="J8" i="28"/>
  <c r="G10" i="27" s="1"/>
  <c r="J9" i="28"/>
  <c r="G11" i="27" s="1"/>
  <c r="J10" i="28"/>
  <c r="G12" i="27" s="1"/>
  <c r="J11" i="28"/>
  <c r="G13" i="27" s="1"/>
  <c r="J12" i="28"/>
  <c r="G14" i="27" s="1"/>
  <c r="J13" i="28"/>
  <c r="G15" i="27" s="1"/>
  <c r="J14" i="28"/>
  <c r="G16" i="27" s="1"/>
  <c r="J15" i="28"/>
  <c r="G17" i="27" s="1"/>
  <c r="J16" i="28"/>
  <c r="G18" i="27" s="1"/>
  <c r="J17" i="28"/>
  <c r="G19" i="27" s="1"/>
  <c r="J18" i="28"/>
  <c r="G20" i="27" s="1"/>
  <c r="J19" i="28"/>
  <c r="G21" i="27" s="1"/>
  <c r="J20" i="28"/>
  <c r="G22" i="27" s="1"/>
  <c r="J21" i="28"/>
  <c r="G23" i="27" s="1"/>
  <c r="J22" i="28"/>
  <c r="G24" i="27" s="1"/>
  <c r="J23" i="28"/>
  <c r="G25" i="27" s="1"/>
  <c r="J24" i="28"/>
  <c r="G26" i="27" s="1"/>
  <c r="J25" i="28"/>
  <c r="G27" i="27" s="1"/>
  <c r="J26" i="28"/>
  <c r="G28" i="27" s="1"/>
  <c r="J27" i="28"/>
  <c r="G29" i="27" s="1"/>
  <c r="J28" i="28"/>
  <c r="G30" i="27" s="1"/>
  <c r="J29" i="28"/>
  <c r="G31" i="27" s="1"/>
  <c r="J30" i="28"/>
  <c r="G32" i="27" s="1"/>
  <c r="J31" i="28"/>
  <c r="G33" i="27" s="1"/>
  <c r="J32" i="28"/>
  <c r="G34" i="27" s="1"/>
  <c r="J33" i="28"/>
  <c r="G35" i="27" s="1"/>
  <c r="J34" i="28"/>
  <c r="G36" i="27" s="1"/>
  <c r="J35" i="28"/>
  <c r="G37" i="27" s="1"/>
  <c r="J36" i="28"/>
  <c r="G38" i="27" s="1"/>
  <c r="J37" i="28"/>
  <c r="G39" i="27" s="1"/>
  <c r="J38" i="28"/>
  <c r="G40" i="27" s="1"/>
  <c r="J39" i="28"/>
  <c r="G41" i="27" s="1"/>
  <c r="J40" i="28"/>
  <c r="G42" i="27" s="1"/>
  <c r="J41" i="28"/>
  <c r="G43" i="27" s="1"/>
  <c r="J42" i="28"/>
  <c r="G44" i="27" s="1"/>
  <c r="J43" i="28"/>
  <c r="G45" i="27" s="1"/>
  <c r="J44" i="28"/>
  <c r="G46" i="27" s="1"/>
  <c r="J45" i="28"/>
  <c r="G47" i="27" s="1"/>
  <c r="J46" i="28"/>
  <c r="G48" i="27" s="1"/>
  <c r="J47" i="28"/>
  <c r="G49" i="27" s="1"/>
  <c r="J48" i="28"/>
  <c r="G50" i="27" s="1"/>
  <c r="J49" i="28"/>
  <c r="G51" i="27" s="1"/>
  <c r="J50" i="28"/>
  <c r="G52" i="27" s="1"/>
  <c r="J51" i="28"/>
  <c r="G53" i="27" s="1"/>
  <c r="J52" i="28"/>
  <c r="G54" i="27" s="1"/>
  <c r="J53" i="28"/>
  <c r="G55" i="27" s="1"/>
  <c r="J54" i="28"/>
  <c r="J55" i="28"/>
  <c r="J56" i="28"/>
  <c r="G58" i="27" s="1"/>
  <c r="J57" i="28"/>
  <c r="G59" i="27" s="1"/>
  <c r="J58" i="28"/>
  <c r="J59" i="28"/>
  <c r="G61" i="27" s="1"/>
  <c r="J60" i="28"/>
  <c r="J61" i="28"/>
  <c r="G63" i="27" s="1"/>
  <c r="J62" i="28"/>
  <c r="G64" i="27" s="1"/>
  <c r="J63" i="28"/>
  <c r="G65" i="27" s="1"/>
  <c r="J64" i="28"/>
  <c r="G66" i="27" s="1"/>
  <c r="J65" i="28"/>
  <c r="G67" i="27" s="1"/>
  <c r="J66" i="28"/>
  <c r="G68" i="27" s="1"/>
  <c r="J67" i="28"/>
  <c r="G69" i="27" s="1"/>
  <c r="J68" i="28"/>
  <c r="G70" i="27" s="1"/>
  <c r="J69" i="28"/>
  <c r="G71" i="27" s="1"/>
  <c r="J70" i="28"/>
  <c r="J71" i="28"/>
  <c r="G73" i="27" s="1"/>
  <c r="J72" i="28"/>
  <c r="G74" i="27" s="1"/>
  <c r="J73" i="28"/>
  <c r="G75" i="27" s="1"/>
  <c r="J74" i="28"/>
  <c r="G76" i="27" s="1"/>
  <c r="J75" i="28"/>
  <c r="G77" i="27" s="1"/>
  <c r="J76" i="28"/>
  <c r="J77" i="28"/>
  <c r="J78" i="28"/>
  <c r="G80" i="27" s="1"/>
  <c r="J79" i="28"/>
  <c r="G81" i="27" s="1"/>
  <c r="J80" i="28"/>
  <c r="G82" i="27" s="1"/>
  <c r="J81" i="28"/>
  <c r="G83" i="27" s="1"/>
  <c r="J82" i="28"/>
  <c r="G84" i="27" s="1"/>
  <c r="J83" i="28"/>
  <c r="G85" i="27" s="1"/>
  <c r="J84" i="28"/>
  <c r="G86" i="27" s="1"/>
  <c r="J85" i="28"/>
  <c r="G87" i="27" s="1"/>
  <c r="J86" i="28"/>
  <c r="G88" i="27" s="1"/>
  <c r="J87" i="28"/>
  <c r="G89" i="27" s="1"/>
  <c r="J88" i="28"/>
  <c r="G90" i="27" s="1"/>
  <c r="J89" i="28"/>
  <c r="G91" i="27" s="1"/>
  <c r="J90" i="28"/>
  <c r="G92" i="27" s="1"/>
  <c r="J91" i="28"/>
  <c r="G93" i="27" s="1"/>
  <c r="J92" i="28"/>
  <c r="G94" i="27" s="1"/>
  <c r="J93" i="28"/>
  <c r="G95" i="27" s="1"/>
  <c r="J94" i="28"/>
  <c r="G96" i="27" s="1"/>
  <c r="J95" i="28"/>
  <c r="G97" i="27" s="1"/>
  <c r="J96" i="28"/>
  <c r="G98" i="27" s="1"/>
  <c r="J97" i="28"/>
  <c r="G99" i="27" s="1"/>
  <c r="J98" i="28"/>
  <c r="G100" i="27" s="1"/>
  <c r="J99" i="28"/>
  <c r="G101" i="27" s="1"/>
  <c r="J100" i="28"/>
  <c r="G102" i="27" s="1"/>
  <c r="J101" i="28"/>
  <c r="G103" i="27" s="1"/>
  <c r="J102" i="28"/>
  <c r="G104" i="27" s="1"/>
  <c r="J103" i="28"/>
  <c r="G105" i="27" s="1"/>
  <c r="J104" i="28"/>
  <c r="G106" i="27" s="1"/>
  <c r="J105" i="28"/>
  <c r="G107" i="27" s="1"/>
  <c r="J106" i="28"/>
  <c r="G108" i="27" s="1"/>
  <c r="J107" i="28"/>
  <c r="G109" i="27" s="1"/>
  <c r="J108" i="28"/>
  <c r="G110" i="27" s="1"/>
  <c r="J109" i="28"/>
  <c r="G111" i="27" s="1"/>
  <c r="J110" i="28"/>
  <c r="G112" i="27" s="1"/>
  <c r="J111" i="28"/>
  <c r="G113" i="27" s="1"/>
  <c r="J112" i="28"/>
  <c r="G114" i="27" s="1"/>
  <c r="J113" i="28"/>
  <c r="G115" i="27" s="1"/>
  <c r="J114" i="28"/>
  <c r="G116" i="27" s="1"/>
  <c r="J115" i="28"/>
  <c r="G117" i="27" s="1"/>
  <c r="J116" i="28"/>
  <c r="G118" i="27" s="1"/>
  <c r="J117" i="28"/>
  <c r="G119" i="27" s="1"/>
  <c r="J118" i="28"/>
  <c r="G120" i="27" s="1"/>
  <c r="J119" i="28"/>
  <c r="G121" i="27" s="1"/>
  <c r="J120" i="28"/>
  <c r="J121" i="28"/>
  <c r="G123" i="27" s="1"/>
  <c r="J122" i="28"/>
  <c r="G124" i="27" s="1"/>
  <c r="J123" i="28"/>
  <c r="G125" i="27" s="1"/>
  <c r="J124" i="28"/>
  <c r="G126" i="27" s="1"/>
  <c r="J125" i="28"/>
  <c r="G127" i="27" s="1"/>
  <c r="J126" i="28"/>
  <c r="G128" i="27" s="1"/>
  <c r="J127" i="28"/>
  <c r="J128" i="28"/>
  <c r="G130" i="27" s="1"/>
  <c r="J129" i="28"/>
  <c r="G131" i="27" s="1"/>
  <c r="J130" i="28"/>
  <c r="G132" i="27" s="1"/>
  <c r="J131" i="28"/>
  <c r="G133" i="27" s="1"/>
  <c r="J132" i="28"/>
  <c r="J133" i="28"/>
  <c r="G135" i="27" s="1"/>
  <c r="J134" i="28"/>
  <c r="G136" i="27" s="1"/>
  <c r="J135" i="28"/>
  <c r="G137" i="27" s="1"/>
  <c r="J136" i="28"/>
  <c r="G138" i="27" s="1"/>
  <c r="J137" i="28"/>
  <c r="G139" i="27" s="1"/>
  <c r="J138" i="28"/>
  <c r="G140" i="27" s="1"/>
  <c r="J139" i="28"/>
  <c r="G141" i="27" s="1"/>
  <c r="J140" i="28"/>
  <c r="G142" i="27" s="1"/>
  <c r="J141" i="28"/>
  <c r="G143" i="27" s="1"/>
  <c r="J142" i="28"/>
  <c r="G144" i="27" s="1"/>
  <c r="J143" i="28"/>
  <c r="G145" i="27" s="1"/>
  <c r="J144" i="28"/>
  <c r="G146" i="27" s="1"/>
  <c r="J145" i="28"/>
  <c r="G147" i="27" s="1"/>
  <c r="J146" i="28"/>
  <c r="G148" i="27" s="1"/>
  <c r="J147" i="28"/>
  <c r="G149" i="27" s="1"/>
  <c r="J148" i="28"/>
  <c r="G150" i="27" s="1"/>
  <c r="J149" i="28"/>
  <c r="G151" i="27" s="1"/>
  <c r="J150" i="28"/>
  <c r="G152" i="27" s="1"/>
  <c r="J151" i="28"/>
  <c r="G153" i="27" s="1"/>
  <c r="J152" i="28"/>
  <c r="G154" i="27" s="1"/>
  <c r="J153" i="28"/>
  <c r="G155" i="27" s="1"/>
  <c r="J154" i="28"/>
  <c r="G156" i="27" s="1"/>
  <c r="J155" i="28"/>
  <c r="G157" i="27" s="1"/>
  <c r="J156" i="28"/>
  <c r="G158" i="27" s="1"/>
  <c r="J157" i="28"/>
  <c r="G159" i="27" s="1"/>
  <c r="J158" i="28"/>
  <c r="G160" i="27" s="1"/>
  <c r="J159" i="28"/>
  <c r="G161" i="27" s="1"/>
  <c r="J160" i="28"/>
  <c r="G162" i="27" s="1"/>
  <c r="J161" i="28"/>
  <c r="G163" i="27" s="1"/>
  <c r="J162" i="28"/>
  <c r="G164" i="27" s="1"/>
  <c r="J163" i="28"/>
  <c r="G165" i="27" s="1"/>
  <c r="J164" i="28"/>
  <c r="J165" i="28"/>
  <c r="G167" i="27" s="1"/>
  <c r="J166" i="28"/>
  <c r="G168" i="27" s="1"/>
  <c r="J167" i="28"/>
  <c r="G169" i="27" s="1"/>
  <c r="J168" i="28"/>
  <c r="J169" i="28"/>
  <c r="G171" i="27" s="1"/>
  <c r="J170" i="28"/>
  <c r="G172" i="27" s="1"/>
  <c r="J171" i="28"/>
  <c r="G173" i="27" s="1"/>
  <c r="J172" i="28"/>
  <c r="G174" i="27" s="1"/>
  <c r="J173" i="28"/>
  <c r="G175" i="27" s="1"/>
  <c r="J174" i="28"/>
  <c r="G176" i="27" s="1"/>
  <c r="J175" i="28"/>
  <c r="G177" i="27" s="1"/>
  <c r="J176" i="28"/>
  <c r="G178" i="27" s="1"/>
  <c r="J177" i="28"/>
  <c r="G179" i="27" s="1"/>
  <c r="J178" i="28"/>
  <c r="G180" i="27" s="1"/>
  <c r="J179" i="28"/>
  <c r="J180" i="28"/>
  <c r="G182" i="27" s="1"/>
  <c r="J181" i="28"/>
  <c r="G183" i="27" s="1"/>
  <c r="J182" i="28"/>
  <c r="G184" i="27" s="1"/>
  <c r="J183" i="28"/>
  <c r="G185" i="27" s="1"/>
  <c r="J184" i="28"/>
  <c r="G186" i="27" s="1"/>
  <c r="J185" i="28"/>
  <c r="G187" i="27" s="1"/>
  <c r="J186" i="28"/>
  <c r="G188" i="27" s="1"/>
  <c r="J187" i="28"/>
  <c r="G189" i="27" s="1"/>
  <c r="J188" i="28"/>
  <c r="G190" i="27" s="1"/>
  <c r="J189" i="28"/>
  <c r="G191" i="27" s="1"/>
  <c r="J190" i="28"/>
  <c r="G192" i="27" s="1"/>
  <c r="J191" i="28"/>
  <c r="G193" i="27" s="1"/>
  <c r="J192" i="28"/>
  <c r="J193" i="28"/>
  <c r="G195" i="27" s="1"/>
  <c r="J194" i="28"/>
  <c r="G196" i="27" s="1"/>
  <c r="J195" i="28"/>
  <c r="G197" i="27" s="1"/>
  <c r="J196" i="28"/>
  <c r="G198" i="27" s="1"/>
  <c r="J197" i="28"/>
  <c r="G199" i="27" s="1"/>
  <c r="J198" i="28"/>
  <c r="G200" i="27" s="1"/>
  <c r="J199" i="28"/>
  <c r="G201" i="27" s="1"/>
  <c r="J200" i="28"/>
  <c r="G202" i="27" s="1"/>
  <c r="J201" i="28"/>
  <c r="G203" i="27" s="1"/>
  <c r="J202" i="28"/>
  <c r="G204" i="27" s="1"/>
  <c r="J203" i="28"/>
  <c r="G205" i="27" s="1"/>
  <c r="J204" i="28"/>
  <c r="G206" i="27" s="1"/>
  <c r="J205" i="28"/>
  <c r="G207" i="27" s="1"/>
  <c r="J206" i="28"/>
  <c r="G208" i="27" s="1"/>
  <c r="J207" i="28"/>
  <c r="G209" i="27" s="1"/>
  <c r="J208" i="28"/>
  <c r="G210" i="27" s="1"/>
  <c r="J209" i="28"/>
  <c r="G211" i="27" s="1"/>
  <c r="J210" i="28"/>
  <c r="J211" i="28"/>
  <c r="J212" i="28"/>
  <c r="G214" i="27" s="1"/>
  <c r="J213" i="28"/>
  <c r="G215" i="27" s="1"/>
  <c r="J214" i="28"/>
  <c r="G216" i="27" s="1"/>
  <c r="J215" i="28"/>
  <c r="G217" i="27" s="1"/>
  <c r="J216" i="28"/>
  <c r="G218" i="27" s="1"/>
  <c r="J217" i="28"/>
  <c r="G219" i="27" s="1"/>
  <c r="J218" i="28"/>
  <c r="G220" i="27" s="1"/>
  <c r="J219" i="28"/>
  <c r="G221" i="27" s="1"/>
  <c r="J220" i="28"/>
  <c r="G222" i="27" s="1"/>
  <c r="J221" i="28"/>
  <c r="G223" i="27" s="1"/>
  <c r="J222" i="28"/>
  <c r="G224" i="27" s="1"/>
  <c r="J223" i="28"/>
  <c r="G225" i="27" s="1"/>
  <c r="J224" i="28"/>
  <c r="G226" i="27" s="1"/>
  <c r="J225" i="28"/>
  <c r="G227" i="27" s="1"/>
  <c r="J226" i="28"/>
  <c r="G228" i="27" s="1"/>
  <c r="J227" i="28"/>
  <c r="G229" i="27" s="1"/>
  <c r="J228" i="28"/>
  <c r="G230" i="27" s="1"/>
  <c r="J229" i="28"/>
  <c r="G231" i="27" s="1"/>
  <c r="J230" i="28"/>
  <c r="G232" i="27" s="1"/>
  <c r="J231" i="28"/>
  <c r="G233" i="27" s="1"/>
  <c r="J232" i="28"/>
  <c r="G234" i="27" s="1"/>
  <c r="J233" i="28"/>
  <c r="J234" i="28"/>
  <c r="J235" i="28"/>
  <c r="G237" i="27" s="1"/>
  <c r="J236" i="28"/>
  <c r="G238" i="27" s="1"/>
  <c r="J237" i="28"/>
  <c r="G239" i="27" s="1"/>
  <c r="J238" i="28"/>
  <c r="G240" i="27" s="1"/>
  <c r="J239" i="28"/>
  <c r="G241" i="27" s="1"/>
  <c r="J240" i="28"/>
  <c r="G242" i="27" s="1"/>
  <c r="J241" i="28"/>
  <c r="G243" i="27" s="1"/>
  <c r="J242" i="28"/>
  <c r="G244" i="27" s="1"/>
  <c r="J243" i="28"/>
  <c r="G245" i="27" s="1"/>
  <c r="J244" i="28"/>
  <c r="G246" i="27" s="1"/>
  <c r="J245" i="28"/>
  <c r="G247" i="27" s="1"/>
  <c r="J246" i="28"/>
  <c r="G248" i="27" s="1"/>
  <c r="J247" i="28"/>
  <c r="G249" i="27" s="1"/>
  <c r="J248" i="28"/>
  <c r="G250" i="27" s="1"/>
  <c r="J249" i="28"/>
  <c r="G251" i="27" s="1"/>
  <c r="J250" i="28"/>
  <c r="G252" i="27" s="1"/>
  <c r="J251" i="28"/>
  <c r="G253" i="27" s="1"/>
  <c r="J252" i="28"/>
  <c r="G254" i="27" s="1"/>
  <c r="J253" i="28"/>
  <c r="G255" i="27" s="1"/>
  <c r="J254" i="28"/>
  <c r="G256" i="27" s="1"/>
  <c r="J255" i="28"/>
  <c r="G257" i="27" s="1"/>
  <c r="J256" i="28"/>
  <c r="G258" i="27" s="1"/>
  <c r="J257" i="28"/>
  <c r="G259" i="27" s="1"/>
  <c r="J258" i="28"/>
  <c r="G260" i="27" s="1"/>
  <c r="J259" i="28"/>
  <c r="G261" i="27" s="1"/>
  <c r="J260" i="28"/>
  <c r="G262" i="27" s="1"/>
  <c r="J261" i="28"/>
  <c r="G263" i="27" s="1"/>
  <c r="J262" i="28"/>
  <c r="G264" i="27" s="1"/>
  <c r="J263" i="28"/>
  <c r="G265" i="27" s="1"/>
  <c r="J264" i="28"/>
  <c r="G266" i="27" s="1"/>
  <c r="J265" i="28"/>
  <c r="G267" i="27" s="1"/>
  <c r="J266" i="28"/>
  <c r="J267" i="28"/>
  <c r="G269" i="27" s="1"/>
  <c r="J268" i="28"/>
  <c r="J269" i="28"/>
  <c r="G271" i="27" s="1"/>
  <c r="J270" i="28"/>
  <c r="G272" i="27" s="1"/>
  <c r="J271" i="28"/>
  <c r="G273" i="27" s="1"/>
  <c r="J272" i="28"/>
  <c r="G274" i="27" s="1"/>
  <c r="J273" i="28"/>
  <c r="J274" i="28"/>
  <c r="G276" i="27" s="1"/>
  <c r="J275" i="28"/>
  <c r="G277" i="27" s="1"/>
  <c r="J276" i="28"/>
  <c r="G278" i="27" s="1"/>
  <c r="J277" i="28"/>
  <c r="G279" i="27" s="1"/>
  <c r="J278" i="28"/>
  <c r="G280" i="27" s="1"/>
  <c r="J279" i="28"/>
  <c r="J280" i="28"/>
  <c r="J281" i="28"/>
  <c r="J282" i="28"/>
  <c r="J283" i="28"/>
  <c r="G285" i="27" s="1"/>
  <c r="J284" i="28"/>
  <c r="G286" i="27" s="1"/>
  <c r="J285" i="28"/>
  <c r="G287" i="27" s="1"/>
  <c r="J286" i="28"/>
  <c r="G288" i="27" s="1"/>
  <c r="J287" i="28"/>
  <c r="G289" i="27" s="1"/>
  <c r="J288" i="28"/>
  <c r="G290" i="27" s="1"/>
  <c r="J289" i="28"/>
  <c r="G291" i="27" s="1"/>
  <c r="J290" i="28"/>
  <c r="G292" i="27" s="1"/>
  <c r="J291" i="28"/>
  <c r="G293" i="27" s="1"/>
  <c r="J292" i="28"/>
  <c r="G294" i="27" s="1"/>
  <c r="J293" i="28"/>
  <c r="G295" i="27" s="1"/>
  <c r="J294" i="28"/>
  <c r="G296" i="27" s="1"/>
  <c r="J295" i="28"/>
  <c r="G297" i="27" s="1"/>
  <c r="J296" i="28"/>
  <c r="G298" i="27" s="1"/>
  <c r="J297" i="28"/>
  <c r="G299" i="27" s="1"/>
  <c r="J298" i="28"/>
  <c r="G300" i="27" s="1"/>
  <c r="J299" i="28"/>
  <c r="G301" i="27" s="1"/>
  <c r="J300" i="28"/>
  <c r="G302" i="27" s="1"/>
  <c r="J301" i="28"/>
  <c r="G303" i="27" s="1"/>
  <c r="J302" i="28"/>
  <c r="J303" i="28"/>
  <c r="G305" i="27" s="1"/>
  <c r="J304" i="28"/>
  <c r="G306" i="27" s="1"/>
  <c r="J305" i="28"/>
  <c r="J306" i="28"/>
  <c r="J307" i="28"/>
  <c r="G309" i="27" s="1"/>
  <c r="J308" i="28"/>
  <c r="J309" i="28"/>
  <c r="G311" i="27" s="1"/>
  <c r="J310" i="28"/>
  <c r="G312" i="27" s="1"/>
  <c r="J311" i="28"/>
  <c r="G313" i="27" s="1"/>
  <c r="J312" i="28"/>
  <c r="G314" i="27" s="1"/>
  <c r="J313" i="28"/>
  <c r="G315" i="27" s="1"/>
  <c r="J314" i="28"/>
  <c r="G316" i="27" s="1"/>
  <c r="J315" i="28"/>
  <c r="G317" i="27" s="1"/>
  <c r="J316" i="28"/>
  <c r="G318" i="27" s="1"/>
  <c r="J317" i="28"/>
  <c r="J318" i="28"/>
  <c r="G320" i="27" s="1"/>
  <c r="J319" i="28"/>
  <c r="G321" i="27" s="1"/>
  <c r="J320" i="28"/>
  <c r="G322" i="27" s="1"/>
  <c r="J321" i="28"/>
  <c r="G323" i="27" s="1"/>
  <c r="J322" i="28"/>
  <c r="G324" i="27" s="1"/>
  <c r="J323" i="28"/>
  <c r="G325" i="27" s="1"/>
  <c r="J324" i="28"/>
  <c r="G326" i="27" s="1"/>
  <c r="J325" i="28"/>
  <c r="G327" i="27" s="1"/>
  <c r="J326" i="28"/>
  <c r="G328" i="27" s="1"/>
  <c r="J327" i="28"/>
  <c r="G329" i="27" s="1"/>
  <c r="J328" i="28"/>
  <c r="G330" i="27" s="1"/>
  <c r="J329" i="28"/>
  <c r="G331" i="27" s="1"/>
  <c r="J330" i="28"/>
  <c r="G332" i="27" s="1"/>
  <c r="J331" i="28"/>
  <c r="G333" i="27" s="1"/>
  <c r="J332" i="28"/>
  <c r="J333" i="28"/>
  <c r="G335" i="27" s="1"/>
  <c r="J334" i="28"/>
  <c r="G336" i="27" s="1"/>
  <c r="J335" i="28"/>
  <c r="J336" i="28"/>
  <c r="J337" i="28"/>
  <c r="G339" i="27" s="1"/>
  <c r="J338" i="28"/>
  <c r="G340" i="27" s="1"/>
  <c r="J339" i="28"/>
  <c r="G341" i="27" s="1"/>
  <c r="J340" i="28"/>
  <c r="G342" i="27" s="1"/>
  <c r="J341" i="28"/>
  <c r="G343" i="27" s="1"/>
  <c r="J342" i="28"/>
  <c r="G344" i="27" s="1"/>
  <c r="J343" i="28"/>
  <c r="G345" i="27" s="1"/>
  <c r="J344" i="28"/>
  <c r="G346" i="27" s="1"/>
  <c r="J345" i="28"/>
  <c r="G347" i="27" s="1"/>
  <c r="J346" i="28"/>
  <c r="G348" i="27" s="1"/>
  <c r="J347" i="28"/>
  <c r="G349" i="27" s="1"/>
  <c r="J348" i="28"/>
  <c r="G350" i="27" s="1"/>
  <c r="J349" i="28"/>
  <c r="G351" i="27" s="1"/>
  <c r="J350" i="28"/>
  <c r="G352" i="27" s="1"/>
  <c r="J351" i="28"/>
  <c r="J352" i="28"/>
  <c r="G354" i="27" s="1"/>
  <c r="J353" i="28"/>
  <c r="J354" i="28"/>
  <c r="J355" i="28"/>
  <c r="J356" i="28"/>
  <c r="J357" i="28"/>
  <c r="J358" i="28"/>
  <c r="G360" i="27" s="1"/>
  <c r="J359" i="28"/>
  <c r="G361" i="27" s="1"/>
  <c r="J360" i="28"/>
  <c r="G362" i="27" s="1"/>
  <c r="J361" i="28"/>
  <c r="G363" i="27" s="1"/>
  <c r="J362" i="28"/>
  <c r="G364" i="27" s="1"/>
  <c r="J363" i="28"/>
  <c r="G365" i="27" s="1"/>
  <c r="J364" i="28"/>
  <c r="G366" i="27" s="1"/>
  <c r="J365" i="28"/>
  <c r="J366" i="28"/>
  <c r="J367" i="28"/>
  <c r="G369" i="27" s="1"/>
  <c r="J368" i="28"/>
  <c r="J369" i="28"/>
  <c r="G371" i="27" s="1"/>
  <c r="J370" i="28"/>
  <c r="G372" i="27" s="1"/>
  <c r="J371" i="28"/>
  <c r="G373" i="27" s="1"/>
  <c r="J372" i="28"/>
  <c r="J373" i="28"/>
  <c r="J374" i="28"/>
  <c r="J375" i="28"/>
  <c r="G377" i="27" s="1"/>
  <c r="J376" i="28"/>
  <c r="J377" i="28"/>
  <c r="J378" i="28"/>
  <c r="J379" i="28"/>
  <c r="J380" i="28"/>
  <c r="J381" i="28"/>
  <c r="J382" i="28"/>
  <c r="J383" i="28"/>
  <c r="J384" i="28"/>
  <c r="J385" i="28"/>
  <c r="J386" i="28"/>
  <c r="J387" i="28"/>
  <c r="J388" i="28"/>
  <c r="G390" i="27" s="1"/>
  <c r="J389" i="28"/>
  <c r="G391" i="27" s="1"/>
  <c r="J390" i="28"/>
  <c r="G392" i="27" s="1"/>
  <c r="J391" i="28"/>
  <c r="G393" i="27" s="1"/>
  <c r="J392" i="28"/>
  <c r="G394" i="27" s="1"/>
  <c r="J393" i="28"/>
  <c r="G395" i="27" s="1"/>
  <c r="J394" i="28"/>
  <c r="G396" i="27" s="1"/>
  <c r="J395" i="28"/>
  <c r="G397" i="27" s="1"/>
  <c r="J396" i="28"/>
  <c r="G398" i="27" s="1"/>
  <c r="J397" i="28"/>
  <c r="G399" i="27" s="1"/>
  <c r="J398" i="28"/>
  <c r="G400" i="27" s="1"/>
  <c r="J399" i="28"/>
  <c r="J400" i="28"/>
  <c r="G402" i="27" s="1"/>
  <c r="J401" i="28"/>
  <c r="G403" i="27" s="1"/>
  <c r="J402" i="28"/>
  <c r="J403" i="28"/>
  <c r="G405" i="27" s="1"/>
  <c r="J404" i="28"/>
  <c r="G406" i="27" s="1"/>
  <c r="J405" i="28"/>
  <c r="G407" i="27" s="1"/>
  <c r="J406" i="28"/>
  <c r="G408" i="27" s="1"/>
  <c r="J407" i="28"/>
  <c r="G409" i="27" s="1"/>
  <c r="J408" i="28"/>
  <c r="G410" i="27" s="1"/>
  <c r="J409" i="28"/>
  <c r="G411" i="27" s="1"/>
  <c r="J410" i="28"/>
  <c r="G412" i="27" s="1"/>
  <c r="J411" i="28"/>
  <c r="G413" i="27" s="1"/>
  <c r="J412" i="28"/>
  <c r="G414" i="27" s="1"/>
  <c r="J413" i="28"/>
  <c r="G415" i="27" s="1"/>
  <c r="J414" i="28"/>
  <c r="G416" i="27" s="1"/>
  <c r="J415" i="28"/>
  <c r="G417" i="27" s="1"/>
  <c r="J416" i="28"/>
  <c r="J417" i="28"/>
  <c r="G419" i="27" s="1"/>
  <c r="J418" i="28"/>
  <c r="G420" i="27" s="1"/>
  <c r="J419" i="28"/>
  <c r="G421" i="27" s="1"/>
  <c r="J420" i="28"/>
  <c r="G422" i="27" s="1"/>
  <c r="J421" i="28"/>
  <c r="G423" i="27" s="1"/>
  <c r="J422" i="28"/>
  <c r="G424" i="27" s="1"/>
  <c r="J423" i="28"/>
  <c r="G425" i="27" s="1"/>
  <c r="J424" i="28"/>
  <c r="G426" i="27" s="1"/>
  <c r="J425" i="28"/>
  <c r="G427" i="27" s="1"/>
  <c r="J426" i="28"/>
  <c r="G428" i="27" s="1"/>
  <c r="J427" i="28"/>
  <c r="G429" i="27" s="1"/>
  <c r="J428" i="28"/>
  <c r="G430" i="27" s="1"/>
  <c r="J429" i="28"/>
  <c r="G431" i="27" s="1"/>
  <c r="J430" i="28"/>
  <c r="G432" i="27" s="1"/>
  <c r="J431" i="28"/>
  <c r="G433" i="27" s="1"/>
  <c r="J432" i="28"/>
  <c r="G434" i="27" s="1"/>
  <c r="J433" i="28"/>
  <c r="G435" i="27" s="1"/>
  <c r="J434" i="28"/>
  <c r="G436" i="27" s="1"/>
  <c r="J435" i="28"/>
  <c r="G437" i="27" s="1"/>
  <c r="J436" i="28"/>
  <c r="G438" i="27" s="1"/>
  <c r="J437" i="28"/>
  <c r="G439" i="27" s="1"/>
  <c r="J438" i="28"/>
  <c r="G440" i="27" s="1"/>
  <c r="J439" i="28"/>
  <c r="G441" i="27" s="1"/>
  <c r="J440" i="28"/>
  <c r="G442" i="27" s="1"/>
  <c r="J441" i="28"/>
  <c r="G443" i="27" s="1"/>
  <c r="J442" i="28"/>
  <c r="G444" i="27" s="1"/>
  <c r="J443" i="28"/>
  <c r="G445" i="27" s="1"/>
  <c r="J444" i="28"/>
  <c r="G446" i="27" s="1"/>
  <c r="J445" i="28"/>
  <c r="G447" i="27" s="1"/>
  <c r="J446" i="28"/>
  <c r="J447" i="28"/>
  <c r="G449" i="27" s="1"/>
  <c r="J448" i="28"/>
  <c r="G450" i="27" s="1"/>
  <c r="J449" i="28"/>
  <c r="G451" i="27" s="1"/>
  <c r="J450" i="28"/>
  <c r="G452" i="27" s="1"/>
  <c r="J451" i="28"/>
  <c r="J452" i="28"/>
  <c r="J453" i="28"/>
  <c r="J454" i="28"/>
  <c r="J455" i="28"/>
  <c r="J456" i="28"/>
  <c r="J457" i="28"/>
  <c r="J458" i="28"/>
  <c r="G460" i="27" s="1"/>
  <c r="J459" i="28"/>
  <c r="J460" i="28"/>
  <c r="G462" i="27" s="1"/>
  <c r="J461" i="28"/>
  <c r="G463" i="27" s="1"/>
  <c r="J462" i="28"/>
  <c r="G464" i="27" s="1"/>
  <c r="J463" i="28"/>
  <c r="G465" i="27" s="1"/>
  <c r="J464" i="28"/>
  <c r="G466" i="27" s="1"/>
  <c r="J465" i="28"/>
  <c r="G467" i="27" s="1"/>
  <c r="J466" i="28"/>
  <c r="G468" i="27" s="1"/>
  <c r="J467" i="28"/>
  <c r="G469" i="27" s="1"/>
  <c r="J468" i="28"/>
  <c r="J469" i="28"/>
  <c r="G471" i="27" s="1"/>
  <c r="J470" i="28"/>
  <c r="G472" i="27" s="1"/>
  <c r="J471" i="28"/>
  <c r="G473" i="27" s="1"/>
  <c r="J472" i="28"/>
  <c r="G474" i="27" s="1"/>
  <c r="J473" i="28"/>
  <c r="G475" i="27" s="1"/>
  <c r="J474" i="28"/>
  <c r="G476" i="27" s="1"/>
  <c r="J475" i="28"/>
  <c r="J476" i="28"/>
  <c r="G478" i="27" s="1"/>
  <c r="J477" i="28"/>
  <c r="J478" i="28"/>
  <c r="J479" i="28"/>
  <c r="G481" i="27" s="1"/>
  <c r="J480" i="28"/>
  <c r="J481" i="28"/>
  <c r="G483" i="27" s="1"/>
  <c r="J482" i="28"/>
  <c r="G484" i="27" s="1"/>
  <c r="J483" i="28"/>
  <c r="G485" i="27" s="1"/>
  <c r="J484" i="28"/>
  <c r="G486" i="27" s="1"/>
  <c r="J485" i="28"/>
  <c r="G487" i="27" s="1"/>
  <c r="J486" i="28"/>
  <c r="J487" i="28"/>
  <c r="G489" i="27" s="1"/>
  <c r="J488" i="28"/>
  <c r="G490" i="27" s="1"/>
  <c r="J489" i="28"/>
  <c r="G491" i="27" s="1"/>
  <c r="J490" i="28"/>
  <c r="G492" i="27" s="1"/>
  <c r="J491" i="28"/>
  <c r="G493" i="27" s="1"/>
  <c r="J492" i="28"/>
  <c r="G494" i="27" s="1"/>
  <c r="J493" i="28"/>
  <c r="G495" i="27" s="1"/>
  <c r="J494" i="28"/>
  <c r="G496" i="27" s="1"/>
  <c r="J495" i="28"/>
  <c r="J496" i="28"/>
  <c r="J497" i="28"/>
  <c r="G499" i="27" s="1"/>
  <c r="J498" i="28"/>
  <c r="G500" i="27" s="1"/>
  <c r="J499" i="28"/>
  <c r="G501" i="27" s="1"/>
  <c r="J500" i="28"/>
  <c r="G502" i="27" s="1"/>
  <c r="J501" i="28"/>
  <c r="G503" i="27" s="1"/>
  <c r="J502" i="28"/>
  <c r="G504" i="27" s="1"/>
  <c r="J503" i="28"/>
  <c r="G505" i="27" s="1"/>
  <c r="J504" i="28"/>
  <c r="G506" i="27" s="1"/>
  <c r="J505" i="28"/>
  <c r="G507" i="27" s="1"/>
  <c r="J506" i="28"/>
  <c r="G508" i="27" s="1"/>
  <c r="J507" i="28"/>
  <c r="G509" i="27" s="1"/>
  <c r="J508" i="28"/>
  <c r="G510" i="27" s="1"/>
  <c r="J509" i="28"/>
  <c r="G511" i="27" s="1"/>
  <c r="J510" i="28"/>
  <c r="G512" i="27" s="1"/>
  <c r="J511" i="28"/>
  <c r="G513" i="27" s="1"/>
  <c r="J512" i="28"/>
  <c r="G514" i="27" s="1"/>
  <c r="J513" i="28"/>
  <c r="G515" i="27" s="1"/>
  <c r="J514" i="28"/>
  <c r="G516" i="27" s="1"/>
  <c r="J515" i="28"/>
  <c r="G517" i="27" s="1"/>
  <c r="J516" i="28"/>
  <c r="G518" i="27" s="1"/>
  <c r="J517" i="28"/>
  <c r="J518" i="28"/>
  <c r="G520" i="27" s="1"/>
  <c r="J519" i="28"/>
  <c r="G521" i="27" s="1"/>
  <c r="J520" i="28"/>
  <c r="G522" i="27" s="1"/>
  <c r="J521" i="28"/>
  <c r="G523" i="27" s="1"/>
  <c r="J522" i="28"/>
  <c r="G524" i="27" s="1"/>
  <c r="J523" i="28"/>
  <c r="G525" i="27" s="1"/>
  <c r="J524" i="28"/>
  <c r="G526" i="27" s="1"/>
  <c r="J525" i="28"/>
  <c r="G527" i="27" s="1"/>
  <c r="J526" i="28"/>
  <c r="G528" i="27" s="1"/>
  <c r="J527" i="28"/>
  <c r="G529" i="27" s="1"/>
  <c r="J528" i="28"/>
  <c r="G530" i="27" s="1"/>
  <c r="J529" i="28"/>
  <c r="G531" i="27" s="1"/>
  <c r="J530" i="28"/>
  <c r="G532" i="27" s="1"/>
  <c r="J531" i="28"/>
  <c r="J532" i="28"/>
  <c r="G534" i="27" s="1"/>
  <c r="J533" i="28"/>
  <c r="G535" i="27" s="1"/>
  <c r="J534" i="28"/>
  <c r="G536" i="27" s="1"/>
  <c r="J535" i="28"/>
  <c r="G537" i="27" s="1"/>
  <c r="J536" i="28"/>
  <c r="G538" i="27" s="1"/>
  <c r="J537" i="28"/>
  <c r="G539" i="27" s="1"/>
  <c r="J538" i="28"/>
  <c r="G540" i="27" s="1"/>
  <c r="J539" i="28"/>
  <c r="G541" i="27" s="1"/>
  <c r="J540" i="28"/>
  <c r="G542" i="27" s="1"/>
  <c r="J541" i="28"/>
  <c r="J542" i="28"/>
  <c r="G544" i="27" s="1"/>
  <c r="J543" i="28"/>
  <c r="G545" i="27" s="1"/>
  <c r="J544" i="28"/>
  <c r="G546" i="27" s="1"/>
  <c r="J545" i="28"/>
  <c r="G547" i="27" s="1"/>
  <c r="J546" i="28"/>
  <c r="G548" i="27" s="1"/>
  <c r="J547" i="28"/>
  <c r="G549" i="27" s="1"/>
  <c r="J548" i="28"/>
  <c r="G550" i="27" s="1"/>
  <c r="J549" i="28"/>
  <c r="G551" i="27" s="1"/>
  <c r="J550" i="28"/>
  <c r="G552" i="27" s="1"/>
  <c r="J551" i="28"/>
  <c r="G553" i="27" s="1"/>
  <c r="J552" i="28"/>
  <c r="G554" i="27" s="1"/>
  <c r="J553" i="28"/>
  <c r="G555" i="27" s="1"/>
  <c r="J554" i="28"/>
  <c r="J555" i="28"/>
  <c r="G557" i="27" s="1"/>
  <c r="J556" i="28"/>
  <c r="G558" i="27" s="1"/>
  <c r="J557" i="28"/>
  <c r="J558" i="28"/>
  <c r="G560" i="27" s="1"/>
  <c r="J559" i="28"/>
  <c r="J560" i="28"/>
  <c r="G562" i="27" s="1"/>
  <c r="J561" i="28"/>
  <c r="G563" i="27" s="1"/>
  <c r="J562" i="28"/>
  <c r="G564" i="27" s="1"/>
  <c r="J563" i="28"/>
  <c r="G565" i="27" s="1"/>
  <c r="J564" i="28"/>
  <c r="G566" i="27" s="1"/>
  <c r="J565" i="28"/>
  <c r="G567" i="27" s="1"/>
  <c r="J566" i="28"/>
  <c r="J567" i="28"/>
  <c r="G569" i="27" s="1"/>
  <c r="J568" i="28"/>
  <c r="G570" i="27" s="1"/>
  <c r="J569" i="28"/>
  <c r="G571" i="27" s="1"/>
  <c r="J570" i="28"/>
  <c r="G572" i="27" s="1"/>
  <c r="J571" i="28"/>
  <c r="G573" i="27" s="1"/>
  <c r="J572" i="28"/>
  <c r="G574" i="27" s="1"/>
  <c r="J573" i="28"/>
  <c r="G575" i="27" s="1"/>
  <c r="J574" i="28"/>
  <c r="G576" i="27" s="1"/>
  <c r="J575" i="28"/>
  <c r="G577" i="27" s="1"/>
  <c r="J576" i="28"/>
  <c r="G578" i="27" s="1"/>
  <c r="J577" i="28"/>
  <c r="G579" i="27" s="1"/>
  <c r="J578" i="28"/>
  <c r="G580" i="27" s="1"/>
  <c r="J579" i="28"/>
  <c r="G581" i="27" s="1"/>
  <c r="J580" i="28"/>
  <c r="G582" i="27" s="1"/>
  <c r="J581" i="28"/>
  <c r="G583" i="27" s="1"/>
  <c r="J582" i="28"/>
  <c r="G584" i="27" s="1"/>
  <c r="J583" i="28"/>
  <c r="G585" i="27" s="1"/>
  <c r="J584" i="28"/>
  <c r="G586" i="27" s="1"/>
  <c r="J585" i="28"/>
  <c r="G587" i="27" s="1"/>
  <c r="J586" i="28"/>
  <c r="J587" i="28"/>
  <c r="G589" i="27" s="1"/>
  <c r="J588" i="28"/>
  <c r="G590" i="27" s="1"/>
  <c r="J589" i="28"/>
  <c r="J590" i="28"/>
  <c r="G592" i="27" s="1"/>
  <c r="J591" i="28"/>
  <c r="G593" i="27" s="1"/>
  <c r="J592" i="28"/>
  <c r="G594" i="27" s="1"/>
  <c r="J593" i="28"/>
  <c r="G595" i="27" s="1"/>
  <c r="J594" i="28"/>
  <c r="G596" i="27" s="1"/>
  <c r="J595" i="28"/>
  <c r="J596" i="28"/>
  <c r="G598" i="27" s="1"/>
  <c r="J597" i="28"/>
  <c r="J598" i="28"/>
  <c r="G600" i="27" s="1"/>
  <c r="J599" i="28"/>
  <c r="G601" i="27" s="1"/>
  <c r="J600" i="28"/>
  <c r="G602" i="27" s="1"/>
  <c r="J601" i="28"/>
  <c r="G603" i="27" s="1"/>
  <c r="J602" i="28"/>
  <c r="G604" i="27" s="1"/>
  <c r="J603" i="28"/>
  <c r="G605" i="27" s="1"/>
  <c r="J604" i="28"/>
  <c r="G606" i="27" s="1"/>
  <c r="J605" i="28"/>
  <c r="G607" i="27" s="1"/>
  <c r="J606" i="28"/>
  <c r="G608" i="27" s="1"/>
  <c r="J607" i="28"/>
  <c r="G609" i="27" s="1"/>
  <c r="J608" i="28"/>
  <c r="G610" i="27" s="1"/>
  <c r="J609" i="28"/>
  <c r="G611" i="27" s="1"/>
  <c r="J610" i="28"/>
  <c r="G612" i="27" s="1"/>
  <c r="J611" i="28"/>
  <c r="G613" i="27" s="1"/>
  <c r="J612" i="28"/>
  <c r="G614" i="27" s="1"/>
  <c r="J613" i="28"/>
  <c r="G615" i="27" s="1"/>
  <c r="J614" i="28"/>
  <c r="G616" i="27" s="1"/>
  <c r="J615" i="28"/>
  <c r="G617" i="27" s="1"/>
  <c r="J616" i="28"/>
  <c r="G618" i="27" s="1"/>
  <c r="J617" i="28"/>
  <c r="G619" i="27" s="1"/>
  <c r="J618" i="28"/>
  <c r="G620" i="27" s="1"/>
  <c r="J619" i="28"/>
  <c r="J620" i="28"/>
  <c r="J621" i="28"/>
  <c r="J622" i="28"/>
  <c r="G624" i="27" s="1"/>
  <c r="J623" i="28"/>
  <c r="J624" i="28"/>
  <c r="G626" i="27" s="1"/>
  <c r="J625" i="28"/>
  <c r="G627" i="27" s="1"/>
  <c r="J626" i="28"/>
  <c r="G628" i="27" s="1"/>
  <c r="J627" i="28"/>
  <c r="G629" i="27" s="1"/>
  <c r="J628" i="28"/>
  <c r="G630" i="27" s="1"/>
  <c r="J629" i="28"/>
  <c r="G631" i="27" s="1"/>
  <c r="J630" i="28"/>
  <c r="G632" i="27" s="1"/>
  <c r="J631" i="28"/>
  <c r="G633" i="27" s="1"/>
  <c r="J632" i="28"/>
  <c r="G634" i="27" s="1"/>
  <c r="J633" i="28"/>
  <c r="G635" i="27" s="1"/>
  <c r="J634" i="28"/>
  <c r="G636" i="27" s="1"/>
  <c r="J635" i="28"/>
  <c r="G637" i="27" s="1"/>
  <c r="J636" i="28"/>
  <c r="G638" i="27" s="1"/>
  <c r="J637" i="28"/>
  <c r="G639" i="27" s="1"/>
  <c r="J638" i="28"/>
  <c r="G640" i="27" s="1"/>
  <c r="J639" i="28"/>
  <c r="G641" i="27" s="1"/>
  <c r="J640" i="28"/>
  <c r="G642" i="27" s="1"/>
  <c r="J641" i="28"/>
  <c r="G643" i="27" s="1"/>
  <c r="J642" i="28"/>
  <c r="G644" i="27" s="1"/>
  <c r="J643" i="28"/>
  <c r="G645" i="27" s="1"/>
  <c r="J644" i="28"/>
  <c r="G646" i="27" s="1"/>
  <c r="J645" i="28"/>
  <c r="G647" i="27" s="1"/>
  <c r="J646" i="28"/>
  <c r="J647" i="28"/>
  <c r="G649" i="27" s="1"/>
  <c r="J648" i="28"/>
  <c r="J649" i="28"/>
  <c r="J650" i="28"/>
  <c r="J651" i="28"/>
  <c r="G653" i="27" s="1"/>
  <c r="J652" i="28"/>
  <c r="G654" i="27" s="1"/>
  <c r="J653" i="28"/>
  <c r="G655" i="27" s="1"/>
  <c r="J654" i="28"/>
  <c r="G656" i="27" s="1"/>
  <c r="J655" i="28"/>
  <c r="G657" i="27" s="1"/>
  <c r="J656" i="28"/>
  <c r="G658" i="27" s="1"/>
  <c r="J657" i="28"/>
  <c r="G659" i="27" s="1"/>
  <c r="J658" i="28"/>
  <c r="J659" i="28"/>
  <c r="G661" i="27" s="1"/>
  <c r="J660" i="28"/>
  <c r="G662" i="27" s="1"/>
  <c r="J661" i="28"/>
  <c r="G663" i="27" s="1"/>
  <c r="J662" i="28"/>
  <c r="G664" i="27" s="1"/>
  <c r="J663" i="28"/>
  <c r="G665" i="27" s="1"/>
  <c r="J664" i="28"/>
  <c r="G666" i="27" s="1"/>
  <c r="J665" i="28"/>
  <c r="J666" i="28"/>
  <c r="G668" i="27" s="1"/>
  <c r="J667" i="28"/>
  <c r="G669" i="27" s="1"/>
  <c r="J668" i="28"/>
  <c r="G670" i="27" s="1"/>
  <c r="J669" i="28"/>
  <c r="G671" i="27" s="1"/>
  <c r="J670" i="28"/>
  <c r="G672" i="27" s="1"/>
  <c r="J671" i="28"/>
  <c r="G673" i="27" s="1"/>
  <c r="J672" i="28"/>
  <c r="G674" i="27" s="1"/>
  <c r="J673" i="28"/>
  <c r="G675" i="27" s="1"/>
  <c r="J674" i="28"/>
  <c r="G676" i="27" s="1"/>
  <c r="J675" i="28"/>
  <c r="G677" i="27" s="1"/>
  <c r="J676" i="28"/>
  <c r="G678" i="27" s="1"/>
  <c r="J677" i="28"/>
  <c r="G679" i="27" s="1"/>
  <c r="J678" i="28"/>
  <c r="G680" i="27" s="1"/>
  <c r="J679" i="28"/>
  <c r="G681" i="27" s="1"/>
  <c r="J680" i="28"/>
  <c r="G682" i="27" s="1"/>
  <c r="J681" i="28"/>
  <c r="G683" i="27" s="1"/>
  <c r="J682" i="28"/>
  <c r="G684" i="27" s="1"/>
  <c r="J683" i="28"/>
  <c r="J684" i="28"/>
  <c r="G686" i="27" s="1"/>
  <c r="J685" i="28"/>
  <c r="G687" i="27" s="1"/>
  <c r="J686" i="28"/>
  <c r="G688" i="27" s="1"/>
  <c r="J687" i="28"/>
  <c r="G689" i="27" s="1"/>
  <c r="J688" i="28"/>
  <c r="G690" i="27" s="1"/>
  <c r="J689" i="28"/>
  <c r="G691" i="27" s="1"/>
  <c r="J690" i="28"/>
  <c r="G692" i="27" s="1"/>
  <c r="J691" i="28"/>
  <c r="J692" i="28"/>
  <c r="G694" i="27" s="1"/>
  <c r="J693" i="28"/>
  <c r="G695" i="27" s="1"/>
  <c r="J694" i="28"/>
  <c r="G696" i="27" s="1"/>
  <c r="J695" i="28"/>
  <c r="G697" i="27" s="1"/>
  <c r="J696" i="28"/>
  <c r="G698" i="27" s="1"/>
  <c r="J697" i="28"/>
  <c r="J698" i="28"/>
  <c r="G700" i="27" s="1"/>
  <c r="J699" i="28"/>
  <c r="G701" i="27" s="1"/>
  <c r="J700" i="28"/>
  <c r="G702" i="27" s="1"/>
  <c r="J701" i="28"/>
  <c r="G703" i="27" s="1"/>
  <c r="J702" i="28"/>
  <c r="G704" i="27" s="1"/>
  <c r="J703" i="28"/>
  <c r="J704" i="28"/>
  <c r="J705" i="28"/>
  <c r="J2" i="28"/>
  <c r="G4" i="27" s="1"/>
  <c r="G2" i="28"/>
  <c r="G3" i="28"/>
  <c r="G5" i="28"/>
  <c r="G6" i="28"/>
  <c r="G7" i="28"/>
  <c r="G8" i="28"/>
  <c r="G9" i="28"/>
  <c r="G10" i="28"/>
  <c r="G11" i="28"/>
  <c r="G12" i="28"/>
  <c r="G13" i="28"/>
  <c r="G14" i="28"/>
  <c r="G15" i="28"/>
  <c r="G16" i="28"/>
  <c r="G17" i="28"/>
  <c r="G18" i="28"/>
  <c r="G19" i="28"/>
  <c r="G20" i="28"/>
  <c r="G21" i="28"/>
  <c r="G22" i="28"/>
  <c r="G23" i="28"/>
  <c r="G24" i="28"/>
  <c r="G25" i="28"/>
  <c r="G26" i="28"/>
  <c r="G27" i="28"/>
  <c r="G28" i="28"/>
  <c r="G29" i="28"/>
  <c r="G30" i="28"/>
  <c r="G31" i="28"/>
  <c r="G32" i="28"/>
  <c r="G33" i="28"/>
  <c r="G34" i="28"/>
  <c r="G35" i="28"/>
  <c r="G36" i="28"/>
  <c r="G37" i="28"/>
  <c r="G38" i="28"/>
  <c r="G39" i="28"/>
  <c r="G40" i="28"/>
  <c r="G41" i="28"/>
  <c r="G42" i="28"/>
  <c r="G43" i="28"/>
  <c r="G44" i="28"/>
  <c r="G45" i="28"/>
  <c r="G47" i="28"/>
  <c r="G48" i="28"/>
  <c r="G49" i="28"/>
  <c r="G50" i="28"/>
  <c r="G51" i="28"/>
  <c r="G52" i="28"/>
  <c r="G53" i="28"/>
  <c r="G54" i="28"/>
  <c r="G56" i="28"/>
  <c r="G57" i="28"/>
  <c r="G58"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89" i="28"/>
  <c r="G90" i="28"/>
  <c r="G91" i="28"/>
  <c r="G92" i="28"/>
  <c r="G93" i="28"/>
  <c r="G94" i="28"/>
  <c r="G95" i="28"/>
  <c r="G96" i="28"/>
  <c r="G97" i="28"/>
  <c r="G98" i="28"/>
  <c r="G99" i="28"/>
  <c r="G100" i="28"/>
  <c r="G101" i="28"/>
  <c r="G102" i="28"/>
  <c r="G103" i="28"/>
  <c r="G104" i="28"/>
  <c r="G105" i="28"/>
  <c r="G106" i="28"/>
  <c r="G107" i="28"/>
  <c r="G108" i="28"/>
  <c r="G109" i="28"/>
  <c r="G110" i="28"/>
  <c r="G111" i="28"/>
  <c r="G112" i="28"/>
  <c r="G113" i="28"/>
  <c r="G114" i="28"/>
  <c r="G115" i="28"/>
  <c r="G116" i="28"/>
  <c r="G117" i="28"/>
  <c r="G118" i="28"/>
  <c r="G119" i="28"/>
  <c r="G120" i="28"/>
  <c r="G121" i="28"/>
  <c r="G122" i="28"/>
  <c r="G123" i="28"/>
  <c r="G124" i="28"/>
  <c r="G125" i="28"/>
  <c r="G126" i="28"/>
  <c r="G127" i="28"/>
  <c r="G128" i="28"/>
  <c r="G129" i="28"/>
  <c r="G130" i="28"/>
  <c r="G131" i="28"/>
  <c r="G132" i="28"/>
  <c r="G133" i="28"/>
  <c r="G134" i="28"/>
  <c r="G135" i="28"/>
  <c r="G136" i="28"/>
  <c r="G137" i="28"/>
  <c r="G138" i="28"/>
  <c r="G139" i="28"/>
  <c r="G140" i="28"/>
  <c r="G141" i="28"/>
  <c r="G142" i="28"/>
  <c r="G143" i="28"/>
  <c r="G144" i="28"/>
  <c r="G145" i="28"/>
  <c r="G146" i="28"/>
  <c r="G147" i="28"/>
  <c r="G148" i="28"/>
  <c r="G149" i="28"/>
  <c r="G150" i="28"/>
  <c r="G151" i="28"/>
  <c r="G152" i="28"/>
  <c r="G153" i="28"/>
  <c r="G154" i="28"/>
  <c r="G155" i="28"/>
  <c r="G156" i="28"/>
  <c r="G157" i="28"/>
  <c r="G158" i="28"/>
  <c r="G159" i="28"/>
  <c r="G160" i="28"/>
  <c r="G161" i="28"/>
  <c r="G162" i="28"/>
  <c r="G163" i="28"/>
  <c r="G164" i="28"/>
  <c r="G165" i="28"/>
  <c r="G166" i="28"/>
  <c r="G167" i="28"/>
  <c r="G168" i="28"/>
  <c r="G169" i="28"/>
  <c r="G170" i="28"/>
  <c r="G171" i="28"/>
  <c r="G172" i="28"/>
  <c r="G173" i="28"/>
  <c r="G174" i="28"/>
  <c r="G175" i="28"/>
  <c r="G176" i="28"/>
  <c r="G177" i="28"/>
  <c r="G178" i="28"/>
  <c r="G179" i="28"/>
  <c r="G180" i="28"/>
  <c r="G181" i="28"/>
  <c r="G182" i="28"/>
  <c r="G183" i="28"/>
  <c r="G184" i="28"/>
  <c r="G185" i="28"/>
  <c r="G186" i="28"/>
  <c r="G187" i="28"/>
  <c r="G188" i="28"/>
  <c r="G189" i="28"/>
  <c r="G190" i="28"/>
  <c r="G191" i="28"/>
  <c r="G192" i="28"/>
  <c r="G193" i="28"/>
  <c r="G194" i="28"/>
  <c r="G195" i="28"/>
  <c r="G196" i="28"/>
  <c r="G197" i="28"/>
  <c r="G198" i="28"/>
  <c r="G199" i="28"/>
  <c r="G200" i="28"/>
  <c r="G201" i="28"/>
  <c r="G202" i="28"/>
  <c r="G203" i="28"/>
  <c r="G204" i="28"/>
  <c r="G205" i="28"/>
  <c r="G206" i="28"/>
  <c r="G207" i="28"/>
  <c r="G208" i="28"/>
  <c r="G209" i="28"/>
  <c r="G210" i="28"/>
  <c r="G211" i="28"/>
  <c r="G212" i="28"/>
  <c r="G213" i="28"/>
  <c r="G214" i="28"/>
  <c r="G215" i="28"/>
  <c r="G216" i="28"/>
  <c r="G217" i="28"/>
  <c r="G218" i="28"/>
  <c r="G219" i="28"/>
  <c r="G220" i="28"/>
  <c r="G221" i="28"/>
  <c r="G222" i="28"/>
  <c r="G223" i="28"/>
  <c r="G224" i="28"/>
  <c r="G225" i="28"/>
  <c r="G226" i="28"/>
  <c r="G227" i="28"/>
  <c r="G228" i="28"/>
  <c r="G229" i="28"/>
  <c r="G230" i="28"/>
  <c r="G231" i="28"/>
  <c r="G232" i="28"/>
  <c r="G233" i="28"/>
  <c r="G234" i="28"/>
  <c r="G235" i="28"/>
  <c r="G236" i="28"/>
  <c r="G237" i="28"/>
  <c r="G238" i="28"/>
  <c r="G239" i="28"/>
  <c r="G240" i="28"/>
  <c r="G241" i="28"/>
  <c r="G242" i="28"/>
  <c r="G243" i="28"/>
  <c r="G244" i="28"/>
  <c r="G245" i="28"/>
  <c r="G246" i="28"/>
  <c r="G247" i="28"/>
  <c r="G248" i="28"/>
  <c r="G249" i="28"/>
  <c r="G250" i="28"/>
  <c r="G251" i="28"/>
  <c r="G252" i="28"/>
  <c r="G253" i="28"/>
  <c r="G254" i="28"/>
  <c r="G255" i="28"/>
  <c r="G256" i="28"/>
  <c r="G257" i="28"/>
  <c r="G258" i="28"/>
  <c r="G259" i="28"/>
  <c r="G260" i="28"/>
  <c r="G261" i="28"/>
  <c r="G262" i="28"/>
  <c r="G263" i="28"/>
  <c r="G264" i="28"/>
  <c r="G265" i="28"/>
  <c r="G266" i="28"/>
  <c r="G267" i="28"/>
  <c r="G268" i="28"/>
  <c r="G269" i="28"/>
  <c r="G270" i="28"/>
  <c r="G271" i="28"/>
  <c r="G272" i="28"/>
  <c r="G273" i="28"/>
  <c r="G274" i="28"/>
  <c r="G275" i="28"/>
  <c r="G276" i="28"/>
  <c r="G277" i="28"/>
  <c r="G278" i="28"/>
  <c r="G279" i="28"/>
  <c r="G280" i="28"/>
  <c r="G281" i="28"/>
  <c r="G282" i="28"/>
  <c r="G283" i="28"/>
  <c r="G284" i="28"/>
  <c r="G285" i="28"/>
  <c r="G286" i="28"/>
  <c r="G287" i="28"/>
  <c r="G288" i="28"/>
  <c r="G289" i="28"/>
  <c r="G290" i="28"/>
  <c r="G291" i="28"/>
  <c r="G292" i="28"/>
  <c r="G293" i="28"/>
  <c r="G294" i="28"/>
  <c r="G295" i="28"/>
  <c r="G296" i="28"/>
  <c r="G297" i="28"/>
  <c r="G298" i="28"/>
  <c r="G299" i="28"/>
  <c r="G300" i="28"/>
  <c r="G301" i="28"/>
  <c r="G302" i="28"/>
  <c r="G303" i="28"/>
  <c r="G304" i="28"/>
  <c r="G305" i="28"/>
  <c r="G306" i="28"/>
  <c r="G307" i="28"/>
  <c r="G308" i="28"/>
  <c r="G309" i="28"/>
  <c r="G310" i="28"/>
  <c r="G311" i="28"/>
  <c r="G312" i="28"/>
  <c r="G313" i="28"/>
  <c r="G314" i="28"/>
  <c r="G315" i="28"/>
  <c r="G316" i="28"/>
  <c r="G317" i="28"/>
  <c r="G318" i="28"/>
  <c r="G319" i="28"/>
  <c r="G320" i="28"/>
  <c r="G321" i="28"/>
  <c r="G322" i="28"/>
  <c r="G323" i="28"/>
  <c r="G324" i="28"/>
  <c r="G325" i="28"/>
  <c r="G326" i="28"/>
  <c r="G327" i="28"/>
  <c r="G328" i="28"/>
  <c r="G329" i="28"/>
  <c r="G330" i="28"/>
  <c r="G331" i="28"/>
  <c r="G332" i="28"/>
  <c r="G333" i="28"/>
  <c r="G334" i="28"/>
  <c r="G335" i="28"/>
  <c r="G336" i="28"/>
  <c r="G337" i="28"/>
  <c r="G338" i="28"/>
  <c r="G339" i="28"/>
  <c r="G340" i="28"/>
  <c r="G341" i="28"/>
  <c r="G342" i="28"/>
  <c r="G343" i="28"/>
  <c r="G344" i="28"/>
  <c r="G345" i="28"/>
  <c r="G346" i="28"/>
  <c r="G347" i="28"/>
  <c r="G348" i="28"/>
  <c r="G349" i="28"/>
  <c r="G350" i="28"/>
  <c r="G351" i="28"/>
  <c r="G352" i="28"/>
  <c r="G353" i="28"/>
  <c r="G354" i="28"/>
  <c r="G355" i="28"/>
  <c r="G356" i="28"/>
  <c r="G357" i="28"/>
  <c r="G358" i="28"/>
  <c r="G359" i="28"/>
  <c r="G360" i="28"/>
  <c r="G361" i="28"/>
  <c r="G362" i="28"/>
  <c r="G363" i="28"/>
  <c r="G364" i="28"/>
  <c r="G365" i="28"/>
  <c r="G366" i="28"/>
  <c r="G367" i="28"/>
  <c r="G368" i="28"/>
  <c r="G369" i="28"/>
  <c r="G370" i="28"/>
  <c r="G371" i="28"/>
  <c r="G372" i="28"/>
  <c r="G373" i="28"/>
  <c r="G374" i="28"/>
  <c r="G375" i="28"/>
  <c r="G376" i="28"/>
  <c r="G377" i="28"/>
  <c r="G378" i="28"/>
  <c r="G379" i="28"/>
  <c r="G380" i="28"/>
  <c r="G381" i="28"/>
  <c r="G382" i="28"/>
  <c r="G383" i="28"/>
  <c r="G384" i="28"/>
  <c r="G385" i="28"/>
  <c r="G386" i="28"/>
  <c r="G387" i="28"/>
  <c r="G388" i="28"/>
  <c r="G389" i="28"/>
  <c r="G390" i="28"/>
  <c r="G391" i="28"/>
  <c r="G392" i="28"/>
  <c r="G393" i="28"/>
  <c r="G394" i="28"/>
  <c r="G395" i="28"/>
  <c r="G396" i="28"/>
  <c r="G397" i="28"/>
  <c r="G398" i="28"/>
  <c r="G399" i="28"/>
  <c r="G400" i="28"/>
  <c r="G401" i="28"/>
  <c r="G402" i="28"/>
  <c r="G403" i="28"/>
  <c r="G404" i="28"/>
  <c r="G405" i="28"/>
  <c r="G406" i="28"/>
  <c r="G407" i="28"/>
  <c r="G408" i="28"/>
  <c r="G409" i="28"/>
  <c r="G410" i="28"/>
  <c r="G411" i="28"/>
  <c r="G412" i="28"/>
  <c r="G413" i="28"/>
  <c r="G414" i="28"/>
  <c r="G415" i="28"/>
  <c r="G416" i="28"/>
  <c r="G417" i="28"/>
  <c r="G418" i="28"/>
  <c r="G419" i="28"/>
  <c r="G420" i="28"/>
  <c r="G421" i="28"/>
  <c r="G422" i="28"/>
  <c r="G423" i="28"/>
  <c r="G424" i="28"/>
  <c r="G425" i="28"/>
  <c r="G426" i="28"/>
  <c r="G427" i="28"/>
  <c r="G428" i="28"/>
  <c r="G429" i="28"/>
  <c r="G430" i="28"/>
  <c r="G431" i="28"/>
  <c r="G432" i="28"/>
  <c r="G433" i="28"/>
  <c r="G434" i="28"/>
  <c r="G435" i="28"/>
  <c r="G436" i="28"/>
  <c r="G437" i="28"/>
  <c r="G438" i="28"/>
  <c r="G439" i="28"/>
  <c r="G440" i="28"/>
  <c r="G441" i="28"/>
  <c r="G442" i="28"/>
  <c r="G443" i="28"/>
  <c r="G444" i="28"/>
  <c r="G445" i="28"/>
  <c r="G446" i="28"/>
  <c r="G447" i="28"/>
  <c r="G448" i="28"/>
  <c r="G449" i="28"/>
  <c r="G450" i="28"/>
  <c r="G451" i="28"/>
  <c r="G452" i="28"/>
  <c r="G453" i="28"/>
  <c r="G454" i="28"/>
  <c r="G455" i="28"/>
  <c r="G456" i="28"/>
  <c r="G457" i="28"/>
  <c r="G458" i="28"/>
  <c r="G459" i="28"/>
  <c r="G460" i="28"/>
  <c r="G461" i="28"/>
  <c r="G462" i="28"/>
  <c r="G463" i="28"/>
  <c r="G464" i="28"/>
  <c r="G465" i="28"/>
  <c r="G466" i="28"/>
  <c r="G467" i="28"/>
  <c r="G468" i="28"/>
  <c r="G469" i="28"/>
  <c r="G470" i="28"/>
  <c r="G471" i="28"/>
  <c r="G472" i="28"/>
  <c r="G473" i="28"/>
  <c r="G474" i="28"/>
  <c r="G475" i="28"/>
  <c r="G476" i="28"/>
  <c r="G477" i="28"/>
  <c r="G478" i="28"/>
  <c r="G479" i="28"/>
  <c r="G480" i="28"/>
  <c r="G481" i="28"/>
  <c r="G482" i="28"/>
  <c r="G483" i="28"/>
  <c r="G484" i="28"/>
  <c r="G485" i="28"/>
  <c r="G486" i="28"/>
  <c r="G487" i="28"/>
  <c r="G488" i="28"/>
  <c r="G489" i="28"/>
  <c r="G490" i="28"/>
  <c r="G491" i="28"/>
  <c r="G492" i="28"/>
  <c r="G493" i="28"/>
  <c r="G494" i="28"/>
  <c r="G495" i="28"/>
  <c r="G496" i="28"/>
  <c r="G497" i="28"/>
  <c r="G498" i="28"/>
  <c r="G499" i="28"/>
  <c r="G500" i="28"/>
  <c r="G501" i="28"/>
  <c r="G502" i="28"/>
  <c r="G503" i="28"/>
  <c r="G504" i="28"/>
  <c r="G505" i="28"/>
  <c r="G506" i="28"/>
  <c r="G507" i="28"/>
  <c r="G508" i="28"/>
  <c r="G509" i="28"/>
  <c r="G510" i="28"/>
  <c r="G511" i="28"/>
  <c r="G512" i="28"/>
  <c r="G513" i="28"/>
  <c r="G514" i="28"/>
  <c r="G515" i="28"/>
  <c r="G516" i="28"/>
  <c r="G517" i="28"/>
  <c r="G518" i="28"/>
  <c r="G519" i="28"/>
  <c r="G520" i="28"/>
  <c r="G521" i="28"/>
  <c r="G522" i="28"/>
  <c r="G523" i="28"/>
  <c r="G524" i="28"/>
  <c r="G525" i="28"/>
  <c r="G526" i="28"/>
  <c r="G527" i="28"/>
  <c r="G528" i="28"/>
  <c r="G529" i="28"/>
  <c r="G530" i="28"/>
  <c r="G531" i="28"/>
  <c r="G532" i="28"/>
  <c r="G533" i="28"/>
  <c r="G534" i="28"/>
  <c r="G535" i="28"/>
  <c r="G536" i="28"/>
  <c r="G537" i="28"/>
  <c r="G538" i="28"/>
  <c r="G539" i="28"/>
  <c r="G540" i="28"/>
  <c r="G541" i="28"/>
  <c r="G542" i="28"/>
  <c r="G543" i="28"/>
  <c r="G544" i="28"/>
  <c r="G545" i="28"/>
  <c r="G546" i="28"/>
  <c r="G547" i="28"/>
  <c r="G548" i="28"/>
  <c r="G549" i="28"/>
  <c r="G550" i="28"/>
  <c r="G551" i="28"/>
  <c r="G552" i="28"/>
  <c r="G553" i="28"/>
  <c r="G554" i="28"/>
  <c r="G555" i="28"/>
  <c r="G556" i="28"/>
  <c r="G557" i="28"/>
  <c r="G558" i="28"/>
  <c r="G559" i="28"/>
  <c r="G560" i="28"/>
  <c r="G561" i="28"/>
  <c r="G562" i="28"/>
  <c r="G563" i="28"/>
  <c r="G564" i="28"/>
  <c r="G565" i="28"/>
  <c r="G566" i="28"/>
  <c r="G567" i="28"/>
  <c r="G568" i="28"/>
  <c r="G569" i="28"/>
  <c r="G570" i="28"/>
  <c r="G571" i="28"/>
  <c r="G572" i="28"/>
  <c r="G573" i="28"/>
  <c r="G574" i="28"/>
  <c r="G575" i="28"/>
  <c r="G576" i="28"/>
  <c r="G577" i="28"/>
  <c r="G578" i="28"/>
  <c r="G579" i="28"/>
  <c r="G580" i="28"/>
  <c r="G581" i="28"/>
  <c r="G582" i="28"/>
  <c r="G583" i="28"/>
  <c r="G584" i="28"/>
  <c r="G585" i="28"/>
  <c r="G586" i="28"/>
  <c r="G587" i="28"/>
  <c r="G588" i="28"/>
  <c r="G589" i="28"/>
  <c r="G590" i="28"/>
  <c r="G591" i="28"/>
  <c r="G592" i="28"/>
  <c r="G593" i="28"/>
  <c r="G594" i="28"/>
  <c r="G595" i="28"/>
  <c r="G596" i="28"/>
  <c r="G597" i="28"/>
  <c r="G598" i="28"/>
  <c r="G599" i="28"/>
  <c r="G600" i="28"/>
  <c r="G601" i="28"/>
  <c r="G602" i="28"/>
  <c r="G603" i="28"/>
  <c r="G604" i="28"/>
  <c r="G605" i="28"/>
  <c r="G606" i="28"/>
  <c r="G607" i="28"/>
  <c r="G608" i="28"/>
  <c r="G609" i="28"/>
  <c r="G610" i="28"/>
  <c r="G611" i="28"/>
  <c r="G612" i="28"/>
  <c r="G613" i="28"/>
  <c r="G614" i="28"/>
  <c r="G615" i="28"/>
  <c r="G616" i="28"/>
  <c r="G617" i="28"/>
  <c r="G618" i="28"/>
  <c r="G619" i="28"/>
  <c r="G620" i="28"/>
  <c r="G621" i="28"/>
  <c r="G622" i="28"/>
  <c r="G623" i="28"/>
  <c r="G624" i="28"/>
  <c r="G625" i="28"/>
  <c r="G626" i="28"/>
  <c r="G627" i="28"/>
  <c r="G628" i="28"/>
  <c r="G629" i="28"/>
  <c r="G630" i="28"/>
  <c r="G631" i="28"/>
  <c r="G632" i="28"/>
  <c r="G633" i="28"/>
  <c r="G634" i="28"/>
  <c r="G635" i="28"/>
  <c r="G636" i="28"/>
  <c r="G637" i="28"/>
  <c r="G638" i="28"/>
  <c r="G639" i="28"/>
  <c r="G640" i="28"/>
  <c r="G641" i="28"/>
  <c r="G642" i="28"/>
  <c r="G643" i="28"/>
  <c r="G644" i="28"/>
  <c r="G645" i="28"/>
  <c r="G646" i="28"/>
  <c r="G647" i="28"/>
  <c r="G648" i="28"/>
  <c r="G649" i="28"/>
  <c r="G650" i="28"/>
  <c r="G651" i="28"/>
  <c r="G652" i="28"/>
  <c r="G653" i="28"/>
  <c r="G654" i="28"/>
  <c r="G655" i="28"/>
  <c r="G656" i="28"/>
  <c r="G657" i="28"/>
  <c r="G658" i="28"/>
  <c r="G659" i="28"/>
  <c r="G660" i="28"/>
  <c r="G661" i="28"/>
  <c r="G662" i="28"/>
  <c r="G663" i="28"/>
  <c r="G664" i="28"/>
  <c r="G665" i="28"/>
  <c r="G666" i="28"/>
  <c r="G667" i="28"/>
  <c r="G668" i="28"/>
  <c r="G669" i="28"/>
  <c r="G670" i="28"/>
  <c r="G671" i="28"/>
  <c r="G672" i="28"/>
  <c r="G673" i="28"/>
  <c r="G674" i="28"/>
  <c r="G675" i="28"/>
  <c r="G676" i="28"/>
  <c r="G677" i="28"/>
  <c r="G678" i="28"/>
  <c r="G679" i="28"/>
  <c r="G680" i="28"/>
  <c r="G681" i="28"/>
  <c r="G682" i="28"/>
  <c r="G683" i="28"/>
  <c r="G684" i="28"/>
  <c r="G685" i="28"/>
  <c r="G686" i="28"/>
  <c r="G687" i="28"/>
  <c r="G688" i="28"/>
  <c r="G689" i="28"/>
  <c r="G690" i="28"/>
  <c r="G691" i="28"/>
  <c r="G692" i="28"/>
  <c r="G693" i="28"/>
  <c r="G694" i="28"/>
  <c r="G695" i="28"/>
  <c r="G696" i="28"/>
  <c r="G697" i="28"/>
  <c r="G698" i="28"/>
  <c r="G699" i="28"/>
  <c r="G700" i="28"/>
  <c r="G701" i="28"/>
  <c r="G702" i="28"/>
  <c r="G703" i="28"/>
  <c r="G704" i="28"/>
  <c r="G705" i="28"/>
  <c r="O6" i="19"/>
  <c r="D43" i="22"/>
  <c r="E43" i="22" s="1"/>
  <c r="F43" i="22" s="1"/>
  <c r="G43" i="22" s="1"/>
  <c r="H43" i="22" s="1"/>
  <c r="I43" i="22" s="1"/>
  <c r="J43" i="22" s="1"/>
  <c r="K43" i="22" s="1"/>
  <c r="L43" i="22" s="1"/>
  <c r="M43" i="22" s="1"/>
  <c r="N43" i="22" s="1"/>
  <c r="O43" i="22" s="1"/>
  <c r="P43" i="22" s="1"/>
  <c r="Q43" i="22" s="1"/>
  <c r="R43" i="22" s="1"/>
  <c r="S43" i="22" s="1"/>
  <c r="T43" i="22" s="1"/>
  <c r="U43" i="22" s="1"/>
  <c r="V43" i="22" s="1"/>
  <c r="W43" i="22" s="1"/>
  <c r="X43" i="22" s="1"/>
  <c r="Y43" i="22" s="1"/>
  <c r="Z43" i="22" s="1"/>
  <c r="AA43" i="22" s="1"/>
  <c r="AB43" i="22" s="1"/>
  <c r="K7" i="4"/>
  <c r="L7" i="4" s="1"/>
  <c r="M7" i="4" s="1"/>
  <c r="N7" i="4" s="1"/>
  <c r="O7" i="4" s="1"/>
  <c r="P7" i="4" s="1"/>
  <c r="Q7" i="4" s="1"/>
  <c r="R7" i="4" s="1"/>
  <c r="S7" i="4" s="1"/>
  <c r="T7" i="4" s="1"/>
  <c r="U7" i="4" s="1"/>
  <c r="V7" i="4" s="1"/>
  <c r="W7" i="4" s="1"/>
  <c r="X7" i="4" s="1"/>
  <c r="Y7" i="4" s="1"/>
  <c r="Z7" i="4" s="1"/>
  <c r="AA7" i="4" s="1"/>
  <c r="AB7" i="4" s="1"/>
  <c r="AC7" i="4" s="1"/>
  <c r="AD7" i="4" s="1"/>
  <c r="AE7" i="4" s="1"/>
  <c r="AF7" i="4" s="1"/>
  <c r="AG7" i="4" s="1"/>
  <c r="AD1" i="27"/>
  <c r="AJ9" i="27"/>
  <c r="AK9" i="27"/>
  <c r="AL9" i="27"/>
  <c r="AM9" i="27"/>
  <c r="AN9" i="27"/>
  <c r="AE12" i="27"/>
  <c r="AG12" i="27"/>
  <c r="AH12" i="27"/>
  <c r="R30" i="27"/>
  <c r="R39" i="27"/>
  <c r="R45" i="27"/>
  <c r="R53" i="27"/>
  <c r="R93" i="27"/>
  <c r="H98" i="22"/>
  <c r="G98" i="22"/>
  <c r="D44" i="3"/>
  <c r="G24" i="22"/>
  <c r="D4" i="3"/>
  <c r="E4" i="3" s="1"/>
  <c r="F4" i="3" s="1"/>
  <c r="G4" i="3" s="1"/>
  <c r="H4" i="3" s="1"/>
  <c r="I4" i="3" s="1"/>
  <c r="D5" i="3"/>
  <c r="E5" i="3"/>
  <c r="F5" i="3"/>
  <c r="G5" i="3"/>
  <c r="G8" i="3" s="1"/>
  <c r="H5" i="3"/>
  <c r="H8" i="3" s="1"/>
  <c r="I5" i="3"/>
  <c r="I8" i="3" s="1"/>
  <c r="D6" i="3"/>
  <c r="E6" i="3"/>
  <c r="F6" i="3"/>
  <c r="D7" i="3"/>
  <c r="E7" i="3"/>
  <c r="F7" i="3"/>
  <c r="D17" i="3"/>
  <c r="E17" i="3" s="1"/>
  <c r="F17" i="3" s="1"/>
  <c r="G17" i="3" s="1"/>
  <c r="H17" i="3" s="1"/>
  <c r="I17" i="3" s="1"/>
  <c r="D18" i="3"/>
  <c r="E18" i="3"/>
  <c r="D19" i="3"/>
  <c r="E19" i="3"/>
  <c r="F20" i="3"/>
  <c r="G20" i="3"/>
  <c r="H20" i="3"/>
  <c r="I20" i="3"/>
  <c r="D4" i="1" a="1"/>
  <c r="D4" i="1" s="1"/>
  <c r="F27" i="1"/>
  <c r="H17" i="10"/>
  <c r="E18" i="22"/>
  <c r="D18" i="22"/>
  <c r="C18" i="22"/>
  <c r="D17" i="22"/>
  <c r="E17" i="22"/>
  <c r="C23" i="22"/>
  <c r="C126" i="22"/>
  <c r="C117" i="22"/>
  <c r="AB125" i="22"/>
  <c r="AA125" i="22"/>
  <c r="Z125" i="22"/>
  <c r="Y125" i="22"/>
  <c r="X125" i="22"/>
  <c r="W125" i="22"/>
  <c r="V125" i="22"/>
  <c r="U125" i="22"/>
  <c r="T125" i="22"/>
  <c r="S125" i="22"/>
  <c r="R125" i="22"/>
  <c r="Q125" i="22"/>
  <c r="P125" i="22"/>
  <c r="O125" i="22"/>
  <c r="N125" i="22"/>
  <c r="M125" i="22"/>
  <c r="L125" i="22"/>
  <c r="K125" i="22"/>
  <c r="J125" i="22"/>
  <c r="I125" i="22"/>
  <c r="H125" i="22"/>
  <c r="F125" i="22"/>
  <c r="E125" i="22"/>
  <c r="C121" i="22"/>
  <c r="G126" i="22"/>
  <c r="F21" i="4"/>
  <c r="E11" i="4"/>
  <c r="D11" i="4"/>
  <c r="E55" i="4"/>
  <c r="D55" i="4"/>
  <c r="E54" i="4"/>
  <c r="D54" i="4"/>
  <c r="B44" i="17"/>
  <c r="D65" i="17"/>
  <c r="E24" i="22" s="1"/>
  <c r="M70" i="17"/>
  <c r="M75" i="17" s="1"/>
  <c r="L70" i="17"/>
  <c r="K70" i="17"/>
  <c r="J70" i="17"/>
  <c r="L69" i="17"/>
  <c r="C44" i="10"/>
  <c r="C43" i="10"/>
  <c r="D49" i="10"/>
  <c r="D44" i="10"/>
  <c r="E49" i="10"/>
  <c r="E44" i="10"/>
  <c r="H49" i="10"/>
  <c r="H44" i="10"/>
  <c r="H39" i="10"/>
  <c r="F49" i="10"/>
  <c r="C48" i="17"/>
  <c r="C44" i="17"/>
  <c r="L9" i="17"/>
  <c r="M9" i="17"/>
  <c r="B70" i="17"/>
  <c r="F44" i="10"/>
  <c r="F39" i="10"/>
  <c r="D23" i="22"/>
  <c r="E23" i="22"/>
  <c r="F23" i="22"/>
  <c r="G23" i="22"/>
  <c r="D22" i="22"/>
  <c r="E22" i="22"/>
  <c r="F22" i="22"/>
  <c r="G22" i="22"/>
  <c r="C21" i="22"/>
  <c r="D21" i="22"/>
  <c r="E21" i="22"/>
  <c r="F21" i="22"/>
  <c r="G21" i="22"/>
  <c r="E19" i="1"/>
  <c r="E39" i="10"/>
  <c r="D39" i="10"/>
  <c r="G8" i="10"/>
  <c r="G10" i="10" s="1" a="1"/>
  <c r="G10" i="10" s="1"/>
  <c r="H8" i="10"/>
  <c r="H10" i="10" s="1" a="1"/>
  <c r="H10" i="10" s="1"/>
  <c r="F8" i="10"/>
  <c r="F10" i="10" s="1" a="1"/>
  <c r="F10" i="10" s="1"/>
  <c r="E8" i="10"/>
  <c r="E10" i="10" s="1" a="1"/>
  <c r="E10" i="10" s="1"/>
  <c r="D8" i="10"/>
  <c r="D10" i="10" s="1" a="1"/>
  <c r="D10" i="10" s="1"/>
  <c r="B51" i="17"/>
  <c r="E20" i="1" s="1"/>
  <c r="G44" i="10"/>
  <c r="G49" i="10"/>
  <c r="G39" i="10"/>
  <c r="D22" i="10"/>
  <c r="G19" i="22"/>
  <c r="F19" i="22"/>
  <c r="G18" i="22"/>
  <c r="F18" i="22"/>
  <c r="G17" i="22"/>
  <c r="F17" i="22"/>
  <c r="F77" i="22"/>
  <c r="B11" i="16"/>
  <c r="C44" i="22"/>
  <c r="C112" i="22" s="1"/>
  <c r="D54" i="22"/>
  <c r="E54" i="22" s="1"/>
  <c r="F54" i="22" s="1"/>
  <c r="G54" i="22" s="1"/>
  <c r="H54" i="22" s="1"/>
  <c r="D58" i="22"/>
  <c r="E58" i="22" s="1"/>
  <c r="F58" i="22" s="1"/>
  <c r="G58" i="22" s="1"/>
  <c r="H58" i="22" s="1"/>
  <c r="I58" i="22" s="1"/>
  <c r="J58" i="22" s="1"/>
  <c r="K58" i="22" s="1"/>
  <c r="L58" i="22" s="1"/>
  <c r="M58" i="22" s="1"/>
  <c r="D56" i="22"/>
  <c r="D60" i="22" s="1"/>
  <c r="E56" i="22"/>
  <c r="E60" i="22" s="1"/>
  <c r="F56" i="22"/>
  <c r="F60" i="22" s="1"/>
  <c r="G56" i="22"/>
  <c r="G60" i="22" s="1"/>
  <c r="C56" i="22"/>
  <c r="C60" i="22" s="1"/>
  <c r="D51" i="22"/>
  <c r="C51" i="22"/>
  <c r="D49" i="22"/>
  <c r="E49" i="22"/>
  <c r="F49" i="22"/>
  <c r="G49" i="22"/>
  <c r="H49" i="22"/>
  <c r="I49" i="22"/>
  <c r="J49" i="22"/>
  <c r="K49" i="22"/>
  <c r="L49" i="22"/>
  <c r="M49" i="22"/>
  <c r="C49" i="22"/>
  <c r="D24" i="10"/>
  <c r="D27" i="10"/>
  <c r="D17" i="10"/>
  <c r="D47" i="22"/>
  <c r="D59" i="22" s="1"/>
  <c r="E47" i="22"/>
  <c r="E59" i="22" s="1"/>
  <c r="F47" i="22"/>
  <c r="F59" i="22" s="1"/>
  <c r="G47" i="22"/>
  <c r="G59" i="22" s="1"/>
  <c r="H47" i="22"/>
  <c r="H59" i="22" s="1"/>
  <c r="I47" i="22"/>
  <c r="I59" i="22" s="1"/>
  <c r="J47" i="22"/>
  <c r="J59" i="22" s="1"/>
  <c r="K47" i="22"/>
  <c r="K59" i="22" s="1"/>
  <c r="L47" i="22"/>
  <c r="L59" i="22" s="1"/>
  <c r="M47" i="22"/>
  <c r="M59" i="22" s="1"/>
  <c r="C47" i="22"/>
  <c r="C59" i="22" s="1"/>
  <c r="D46" i="22"/>
  <c r="E46" i="22" s="1"/>
  <c r="F46" i="22" s="1"/>
  <c r="G46" i="22" s="1"/>
  <c r="H46" i="22" s="1"/>
  <c r="I46" i="22" s="1"/>
  <c r="J46" i="22" s="1"/>
  <c r="K46" i="22" s="1"/>
  <c r="L46" i="22" s="1"/>
  <c r="M46" i="22" s="1"/>
  <c r="N46" i="22" s="1"/>
  <c r="P11" i="19"/>
  <c r="N11" i="19"/>
  <c r="M11" i="19"/>
  <c r="Q11" i="19"/>
  <c r="L11" i="19"/>
  <c r="E11" i="10"/>
  <c r="M65" i="17"/>
  <c r="M67" i="17" s="1"/>
  <c r="M51" i="17"/>
  <c r="M47" i="17" s="1"/>
  <c r="M50" i="17" s="1"/>
  <c r="L65" i="17"/>
  <c r="I51" i="17"/>
  <c r="L51" i="17"/>
  <c r="M10" i="17"/>
  <c r="M7" i="17"/>
  <c r="L10" i="17"/>
  <c r="L12" i="19"/>
  <c r="J73" i="17"/>
  <c r="J51" i="17"/>
  <c r="H73" i="17"/>
  <c r="H51" i="17"/>
  <c r="I73" i="17"/>
  <c r="G70" i="17"/>
  <c r="G65" i="17"/>
  <c r="G51" i="17"/>
  <c r="C70" i="17"/>
  <c r="C51" i="17"/>
  <c r="D44" i="17"/>
  <c r="D48" i="17"/>
  <c r="E44" i="17"/>
  <c r="D70" i="17"/>
  <c r="E70" i="17"/>
  <c r="F20" i="1"/>
  <c r="C8" i="19"/>
  <c r="B39" i="16"/>
  <c r="C6" i="19"/>
  <c r="F73" i="17"/>
  <c r="K73" i="17"/>
  <c r="F44" i="17"/>
  <c r="G11" i="17"/>
  <c r="H11" i="17"/>
  <c r="I11" i="17"/>
  <c r="J11" i="17"/>
  <c r="K11" i="17"/>
  <c r="L11" i="17"/>
  <c r="D11" i="17"/>
  <c r="E11" i="17"/>
  <c r="F11" i="17"/>
  <c r="C11" i="17"/>
  <c r="M23" i="17"/>
  <c r="M22" i="17" s="1"/>
  <c r="M31" i="17"/>
  <c r="M32" i="17"/>
  <c r="M36" i="17" s="1"/>
  <c r="M46" i="17"/>
  <c r="M60" i="17"/>
  <c r="M63" i="17" s="1"/>
  <c r="M77" i="17"/>
  <c r="C5" i="17"/>
  <c r="D5" i="17" s="1"/>
  <c r="E5" i="17" s="1"/>
  <c r="F5" i="17" s="1"/>
  <c r="G5" i="17" s="1"/>
  <c r="H5" i="17" s="1"/>
  <c r="I5" i="17" s="1"/>
  <c r="J5" i="17" s="1"/>
  <c r="K5" i="17" s="1"/>
  <c r="L5" i="17" s="1"/>
  <c r="M5" i="17" s="1"/>
  <c r="D24" i="22"/>
  <c r="F24" i="22"/>
  <c r="C24" i="22"/>
  <c r="D25" i="22"/>
  <c r="E25" i="22"/>
  <c r="F25" i="22"/>
  <c r="G25" i="22"/>
  <c r="C25" i="22"/>
  <c r="F54" i="4"/>
  <c r="F55" i="4"/>
  <c r="F56" i="4"/>
  <c r="F57" i="4"/>
  <c r="F58" i="4"/>
  <c r="F59" i="4"/>
  <c r="F60" i="4"/>
  <c r="F61" i="4"/>
  <c r="F62" i="4"/>
  <c r="F63" i="4"/>
  <c r="F64" i="4"/>
  <c r="F53" i="4"/>
  <c r="D57" i="4"/>
  <c r="E57" i="4"/>
  <c r="D58" i="4"/>
  <c r="E58" i="4"/>
  <c r="D60" i="4"/>
  <c r="E60" i="4"/>
  <c r="D61" i="4"/>
  <c r="E61" i="4"/>
  <c r="D62" i="4"/>
  <c r="E62" i="4"/>
  <c r="D63" i="4"/>
  <c r="E63" i="4"/>
  <c r="D64" i="4"/>
  <c r="E64" i="4"/>
  <c r="D18" i="10"/>
  <c r="E18" i="10"/>
  <c r="F18" i="10"/>
  <c r="G18" i="10"/>
  <c r="H18" i="10"/>
  <c r="B13" i="17"/>
  <c r="B87" i="17"/>
  <c r="L3" i="27" l="1"/>
  <c r="M13" i="17"/>
  <c r="M14" i="17" s="1"/>
  <c r="R653" i="27"/>
  <c r="R202" i="27"/>
  <c r="R79" i="27"/>
  <c r="R70" i="27"/>
  <c r="R65" i="27"/>
  <c r="R61" i="27"/>
  <c r="R56" i="27"/>
  <c r="R42" i="27"/>
  <c r="R21" i="27"/>
  <c r="R16" i="27"/>
  <c r="R4" i="27"/>
  <c r="R692" i="27"/>
  <c r="R684" i="27"/>
  <c r="R676" i="27"/>
  <c r="R668" i="27"/>
  <c r="R652" i="27"/>
  <c r="R636" i="27"/>
  <c r="R604" i="27"/>
  <c r="R596" i="27"/>
  <c r="R588" i="27"/>
  <c r="R532" i="27"/>
  <c r="R524" i="27"/>
  <c r="R500" i="27"/>
  <c r="R476" i="27"/>
  <c r="R460" i="27"/>
  <c r="R412" i="27"/>
  <c r="R404" i="27"/>
  <c r="R396" i="27"/>
  <c r="R568" i="27"/>
  <c r="R378" i="27"/>
  <c r="R96" i="27"/>
  <c r="R87" i="27"/>
  <c r="R83" i="27"/>
  <c r="R73" i="27"/>
  <c r="R47" i="27"/>
  <c r="R38" i="27"/>
  <c r="R33" i="27"/>
  <c r="R29" i="27"/>
  <c r="R24" i="27"/>
  <c r="R6" i="27"/>
  <c r="R632" i="27"/>
  <c r="R330" i="27"/>
  <c r="R167" i="27"/>
  <c r="K9" i="22"/>
  <c r="R64" i="27"/>
  <c r="R15" i="27"/>
  <c r="R701" i="27"/>
  <c r="R551" i="27"/>
  <c r="R446" i="27"/>
  <c r="R326" i="27"/>
  <c r="R166" i="27"/>
  <c r="R495" i="27"/>
  <c r="R91" i="27"/>
  <c r="R82" i="27"/>
  <c r="R78" i="27"/>
  <c r="R55" i="27"/>
  <c r="R51" i="27"/>
  <c r="R41" i="27"/>
  <c r="M37" i="17"/>
  <c r="R95" i="27"/>
  <c r="R90" i="27"/>
  <c r="R69" i="27"/>
  <c r="R59" i="27"/>
  <c r="R50" i="27"/>
  <c r="R46" i="27"/>
  <c r="R32" i="27"/>
  <c r="R23" i="27"/>
  <c r="R19" i="27"/>
  <c r="R9" i="27"/>
  <c r="R5" i="27"/>
  <c r="R610" i="27"/>
  <c r="R546" i="27"/>
  <c r="R442" i="27"/>
  <c r="R135" i="27"/>
  <c r="R86" i="27"/>
  <c r="R81" i="27"/>
  <c r="R77" i="27"/>
  <c r="R72" i="27"/>
  <c r="R63" i="27"/>
  <c r="R58" i="27"/>
  <c r="R37" i="27"/>
  <c r="R27" i="27"/>
  <c r="R18" i="27"/>
  <c r="R14" i="27"/>
  <c r="R10" i="27"/>
  <c r="R681" i="27"/>
  <c r="R607" i="27"/>
  <c r="R268" i="27"/>
  <c r="R128" i="27"/>
  <c r="R680" i="27"/>
  <c r="R523" i="27"/>
  <c r="R266" i="27"/>
  <c r="AN12" i="27"/>
  <c r="R85" i="27"/>
  <c r="R80" i="27"/>
  <c r="R71" i="27"/>
  <c r="R66" i="27"/>
  <c r="R62" i="27"/>
  <c r="R57" i="27"/>
  <c r="R22" i="27"/>
  <c r="R17" i="27"/>
  <c r="R13" i="27"/>
  <c r="R657" i="27"/>
  <c r="R574" i="27"/>
  <c r="R520" i="27"/>
  <c r="R386" i="27"/>
  <c r="R208" i="27"/>
  <c r="R348" i="27"/>
  <c r="R332" i="27"/>
  <c r="R308" i="27"/>
  <c r="R284" i="27"/>
  <c r="R276" i="27"/>
  <c r="R220" i="27"/>
  <c r="R180" i="27"/>
  <c r="R172" i="27"/>
  <c r="R156" i="27"/>
  <c r="R132" i="27"/>
  <c r="R124" i="27"/>
  <c r="R116" i="27"/>
  <c r="R100" i="27"/>
  <c r="R92" i="27"/>
  <c r="R84" i="27"/>
  <c r="R76" i="27"/>
  <c r="R68" i="27"/>
  <c r="R60" i="27"/>
  <c r="R52" i="27"/>
  <c r="R44" i="27"/>
  <c r="R36" i="27"/>
  <c r="R28" i="27"/>
  <c r="R20" i="27"/>
  <c r="R12" i="27"/>
  <c r="R697" i="27"/>
  <c r="R679" i="27"/>
  <c r="R631" i="27"/>
  <c r="R602" i="27"/>
  <c r="R566" i="27"/>
  <c r="R543" i="27"/>
  <c r="R518" i="27"/>
  <c r="R490" i="27"/>
  <c r="R423" i="27"/>
  <c r="R375" i="27"/>
  <c r="R318" i="27"/>
  <c r="R258" i="27"/>
  <c r="R198" i="27"/>
  <c r="R160" i="27"/>
  <c r="R675" i="27"/>
  <c r="R659" i="27"/>
  <c r="R643" i="27"/>
  <c r="R627" i="27"/>
  <c r="R587" i="27"/>
  <c r="R579" i="27"/>
  <c r="R515" i="27"/>
  <c r="R491" i="27"/>
  <c r="R483" i="27"/>
  <c r="R451" i="27"/>
  <c r="R435" i="27"/>
  <c r="R427" i="27"/>
  <c r="R403" i="27"/>
  <c r="R363" i="27"/>
  <c r="R355" i="27"/>
  <c r="R307" i="27"/>
  <c r="R299" i="27"/>
  <c r="R259" i="27"/>
  <c r="R235" i="27"/>
  <c r="R227" i="27"/>
  <c r="R211" i="27"/>
  <c r="R171" i="27"/>
  <c r="R99" i="27"/>
  <c r="R75" i="27"/>
  <c r="R67" i="27"/>
  <c r="R43" i="27"/>
  <c r="R35" i="27"/>
  <c r="R11" i="27"/>
  <c r="R696" i="27"/>
  <c r="R673" i="27"/>
  <c r="R648" i="27"/>
  <c r="R625" i="27"/>
  <c r="R538" i="27"/>
  <c r="R514" i="27"/>
  <c r="R482" i="27"/>
  <c r="R367" i="27"/>
  <c r="R314" i="27"/>
  <c r="R250" i="27"/>
  <c r="R192" i="27"/>
  <c r="R159" i="27"/>
  <c r="R123" i="27"/>
  <c r="R706" i="27"/>
  <c r="R690" i="27"/>
  <c r="R669" i="27"/>
  <c r="R647" i="27"/>
  <c r="R621" i="27"/>
  <c r="R591" i="27"/>
  <c r="R560" i="27"/>
  <c r="R510" i="27"/>
  <c r="R472" i="27"/>
  <c r="R247" i="27"/>
  <c r="R190" i="27"/>
  <c r="R158" i="27"/>
  <c r="R122" i="27"/>
  <c r="AM12" i="27"/>
  <c r="AM13" i="27" s="1"/>
  <c r="AM14" i="27" s="1"/>
  <c r="D20" i="3"/>
  <c r="R689" i="27"/>
  <c r="R620" i="27"/>
  <c r="R583" i="27"/>
  <c r="R559" i="27"/>
  <c r="R471" i="27"/>
  <c r="R416" i="27"/>
  <c r="R354" i="27"/>
  <c r="R295" i="27"/>
  <c r="R240" i="27"/>
  <c r="R186" i="27"/>
  <c r="R150" i="27"/>
  <c r="R111" i="27"/>
  <c r="R687" i="27"/>
  <c r="R664" i="27"/>
  <c r="R641" i="27"/>
  <c r="R616" i="27"/>
  <c r="R582" i="27"/>
  <c r="R552" i="27"/>
  <c r="R536" i="27"/>
  <c r="R506" i="27"/>
  <c r="R398" i="27"/>
  <c r="R344" i="27"/>
  <c r="R288" i="27"/>
  <c r="R239" i="27"/>
  <c r="R144" i="27"/>
  <c r="R110" i="27"/>
  <c r="R685" i="27"/>
  <c r="R663" i="27"/>
  <c r="R637" i="27"/>
  <c r="R614" i="27"/>
  <c r="R575" i="27"/>
  <c r="R528" i="27"/>
  <c r="R502" i="27"/>
  <c r="R464" i="27"/>
  <c r="R394" i="27"/>
  <c r="R336" i="27"/>
  <c r="R270" i="27"/>
  <c r="R216" i="27"/>
  <c r="R179" i="27"/>
  <c r="R702" i="27"/>
  <c r="R454" i="27"/>
  <c r="R422" i="27"/>
  <c r="K51" i="27"/>
  <c r="M56" i="17"/>
  <c r="O547" i="27"/>
  <c r="K23" i="22"/>
  <c r="D59" i="4" s="1"/>
  <c r="R108" i="27"/>
  <c r="R114" i="27"/>
  <c r="R130" i="27"/>
  <c r="R146" i="27"/>
  <c r="R162" i="27"/>
  <c r="R182" i="27"/>
  <c r="R191" i="27"/>
  <c r="R200" i="27"/>
  <c r="R214" i="27"/>
  <c r="R223" i="27"/>
  <c r="R232" i="27"/>
  <c r="R246" i="27"/>
  <c r="R255" i="27"/>
  <c r="R264" i="27"/>
  <c r="R278" i="27"/>
  <c r="R287" i="27"/>
  <c r="R296" i="27"/>
  <c r="R310" i="27"/>
  <c r="R319" i="27"/>
  <c r="R328" i="27"/>
  <c r="R342" i="27"/>
  <c r="R351" i="27"/>
  <c r="R360" i="27"/>
  <c r="R374" i="27"/>
  <c r="R383" i="27"/>
  <c r="R392" i="27"/>
  <c r="R406" i="27"/>
  <c r="R415" i="27"/>
  <c r="R424" i="27"/>
  <c r="R438" i="27"/>
  <c r="R447" i="27"/>
  <c r="R456" i="27"/>
  <c r="R470" i="27"/>
  <c r="R479" i="27"/>
  <c r="R488" i="27"/>
  <c r="R102" i="27"/>
  <c r="R115" i="27"/>
  <c r="R120" i="27"/>
  <c r="R131" i="27"/>
  <c r="R136" i="27"/>
  <c r="R147" i="27"/>
  <c r="R152" i="27"/>
  <c r="R163" i="27"/>
  <c r="R168" i="27"/>
  <c r="R178" i="27"/>
  <c r="R187" i="27"/>
  <c r="R196" i="27"/>
  <c r="R210" i="27"/>
  <c r="R219" i="27"/>
  <c r="R228" i="27"/>
  <c r="R242" i="27"/>
  <c r="R251" i="27"/>
  <c r="R260" i="27"/>
  <c r="R274" i="27"/>
  <c r="R283" i="27"/>
  <c r="R292" i="27"/>
  <c r="R306" i="27"/>
  <c r="R315" i="27"/>
  <c r="R324" i="27"/>
  <c r="R338" i="27"/>
  <c r="R347" i="27"/>
  <c r="R356" i="27"/>
  <c r="R370" i="27"/>
  <c r="R379" i="27"/>
  <c r="R388" i="27"/>
  <c r="R402" i="27"/>
  <c r="R411" i="27"/>
  <c r="R420" i="27"/>
  <c r="R434" i="27"/>
  <c r="R443" i="27"/>
  <c r="R452" i="27"/>
  <c r="R466" i="27"/>
  <c r="R475" i="27"/>
  <c r="R484" i="27"/>
  <c r="R498" i="27"/>
  <c r="R103" i="27"/>
  <c r="R118" i="27"/>
  <c r="R126" i="27"/>
  <c r="R154" i="27"/>
  <c r="R175" i="27"/>
  <c r="R199" i="27"/>
  <c r="R206" i="27"/>
  <c r="R224" i="27"/>
  <c r="R230" i="27"/>
  <c r="R248" i="27"/>
  <c r="R254" i="27"/>
  <c r="R272" i="27"/>
  <c r="R279" i="27"/>
  <c r="R303" i="27"/>
  <c r="R327" i="27"/>
  <c r="R334" i="27"/>
  <c r="R352" i="27"/>
  <c r="R358" i="27"/>
  <c r="R376" i="27"/>
  <c r="R382" i="27"/>
  <c r="R400" i="27"/>
  <c r="R407" i="27"/>
  <c r="R431" i="27"/>
  <c r="R455" i="27"/>
  <c r="R462" i="27"/>
  <c r="R480" i="27"/>
  <c r="R486" i="27"/>
  <c r="R507" i="27"/>
  <c r="R516" i="27"/>
  <c r="R530" i="27"/>
  <c r="R539" i="27"/>
  <c r="R548" i="27"/>
  <c r="R562" i="27"/>
  <c r="R571" i="27"/>
  <c r="R580" i="27"/>
  <c r="R594" i="27"/>
  <c r="R603" i="27"/>
  <c r="R612" i="27"/>
  <c r="R678" i="27"/>
  <c r="R682" i="27"/>
  <c r="R686" i="27"/>
  <c r="R104" i="27"/>
  <c r="R112" i="27"/>
  <c r="R119" i="27"/>
  <c r="R127" i="27"/>
  <c r="R140" i="27"/>
  <c r="R148" i="27"/>
  <c r="R155" i="27"/>
  <c r="R188" i="27"/>
  <c r="R194" i="27"/>
  <c r="R212" i="27"/>
  <c r="R218" i="27"/>
  <c r="R236" i="27"/>
  <c r="R243" i="27"/>
  <c r="R267" i="27"/>
  <c r="R291" i="27"/>
  <c r="R298" i="27"/>
  <c r="R316" i="27"/>
  <c r="R322" i="27"/>
  <c r="R340" i="27"/>
  <c r="R346" i="27"/>
  <c r="R364" i="27"/>
  <c r="R371" i="27"/>
  <c r="R395" i="27"/>
  <c r="R419" i="27"/>
  <c r="R426" i="27"/>
  <c r="R444" i="27"/>
  <c r="R450" i="27"/>
  <c r="R468" i="27"/>
  <c r="R474" i="27"/>
  <c r="R492" i="27"/>
  <c r="R503" i="27"/>
  <c r="R512" i="27"/>
  <c r="R526" i="27"/>
  <c r="R535" i="27"/>
  <c r="R544" i="27"/>
  <c r="R558" i="27"/>
  <c r="R567" i="27"/>
  <c r="R576" i="27"/>
  <c r="R590" i="27"/>
  <c r="R599" i="27"/>
  <c r="R608" i="27"/>
  <c r="R618" i="27"/>
  <c r="R622" i="27"/>
  <c r="R626" i="27"/>
  <c r="R630" i="27"/>
  <c r="R634" i="27"/>
  <c r="R638" i="27"/>
  <c r="R642" i="27"/>
  <c r="R646" i="27"/>
  <c r="R650" i="27"/>
  <c r="R654" i="27"/>
  <c r="R658" i="27"/>
  <c r="R662" i="27"/>
  <c r="R666" i="27"/>
  <c r="R670" i="27"/>
  <c r="R691" i="27"/>
  <c r="R695" i="27"/>
  <c r="R699" i="27"/>
  <c r="R703" i="27"/>
  <c r="R134" i="27"/>
  <c r="R142" i="27"/>
  <c r="R170" i="27"/>
  <c r="R176" i="27"/>
  <c r="R183" i="27"/>
  <c r="R207" i="27"/>
  <c r="R231" i="27"/>
  <c r="R238" i="27"/>
  <c r="R256" i="27"/>
  <c r="R262" i="27"/>
  <c r="R280" i="27"/>
  <c r="R286" i="27"/>
  <c r="R304" i="27"/>
  <c r="R311" i="27"/>
  <c r="R335" i="27"/>
  <c r="R359" i="27"/>
  <c r="R366" i="27"/>
  <c r="R384" i="27"/>
  <c r="R390" i="27"/>
  <c r="R408" i="27"/>
  <c r="R414" i="27"/>
  <c r="R432" i="27"/>
  <c r="R439" i="27"/>
  <c r="R463" i="27"/>
  <c r="R487" i="27"/>
  <c r="R494" i="27"/>
  <c r="R499" i="27"/>
  <c r="R508" i="27"/>
  <c r="R522" i="27"/>
  <c r="R531" i="27"/>
  <c r="R540" i="27"/>
  <c r="R554" i="27"/>
  <c r="R563" i="27"/>
  <c r="R572" i="27"/>
  <c r="R586" i="27"/>
  <c r="R595" i="27"/>
  <c r="R674" i="27"/>
  <c r="E20" i="3"/>
  <c r="E21" i="3" s="1"/>
  <c r="E8" i="3"/>
  <c r="AK12" i="27"/>
  <c r="R705" i="27"/>
  <c r="R700" i="27"/>
  <c r="R694" i="27"/>
  <c r="R672" i="27"/>
  <c r="R667" i="27"/>
  <c r="R661" i="27"/>
  <c r="R656" i="27"/>
  <c r="R651" i="27"/>
  <c r="R645" i="27"/>
  <c r="R640" i="27"/>
  <c r="R635" i="27"/>
  <c r="R629" i="27"/>
  <c r="R624" i="27"/>
  <c r="R619" i="27"/>
  <c r="R606" i="27"/>
  <c r="R600" i="27"/>
  <c r="R564" i="27"/>
  <c r="R556" i="27"/>
  <c r="R550" i="27"/>
  <c r="R542" i="27"/>
  <c r="R534" i="27"/>
  <c r="R478" i="27"/>
  <c r="R459" i="27"/>
  <c r="R440" i="27"/>
  <c r="R430" i="27"/>
  <c r="R410" i="27"/>
  <c r="R391" i="27"/>
  <c r="R372" i="27"/>
  <c r="R362" i="27"/>
  <c r="R343" i="27"/>
  <c r="R323" i="27"/>
  <c r="R294" i="27"/>
  <c r="R275" i="27"/>
  <c r="R226" i="27"/>
  <c r="R204" i="27"/>
  <c r="K19" i="3"/>
  <c r="F8" i="3"/>
  <c r="D8" i="3"/>
  <c r="AJ12" i="27"/>
  <c r="AJ13" i="27" s="1"/>
  <c r="AJ14" i="27" s="1"/>
  <c r="R688" i="27"/>
  <c r="R683" i="27"/>
  <c r="R677" i="27"/>
  <c r="R611" i="27"/>
  <c r="R592" i="27"/>
  <c r="R584" i="27"/>
  <c r="R578" i="27"/>
  <c r="R570" i="27"/>
  <c r="R527" i="27"/>
  <c r="R519" i="27"/>
  <c r="R511" i="27"/>
  <c r="R496" i="27"/>
  <c r="R467" i="27"/>
  <c r="R448" i="27"/>
  <c r="R428" i="27"/>
  <c r="R418" i="27"/>
  <c r="R399" i="27"/>
  <c r="R380" i="27"/>
  <c r="R350" i="27"/>
  <c r="R331" i="27"/>
  <c r="R312" i="27"/>
  <c r="R302" i="27"/>
  <c r="R282" i="27"/>
  <c r="R263" i="27"/>
  <c r="R244" i="27"/>
  <c r="R234" i="27"/>
  <c r="R215" i="27"/>
  <c r="R195" i="27"/>
  <c r="R143" i="27"/>
  <c r="R107" i="27"/>
  <c r="R704" i="27"/>
  <c r="R698" i="27"/>
  <c r="R693" i="27"/>
  <c r="R671" i="27"/>
  <c r="R665" i="27"/>
  <c r="R660" i="27"/>
  <c r="R655" i="27"/>
  <c r="R649" i="27"/>
  <c r="R644" i="27"/>
  <c r="R639" i="27"/>
  <c r="R633" i="27"/>
  <c r="R628" i="27"/>
  <c r="R623" i="27"/>
  <c r="R598" i="27"/>
  <c r="R555" i="27"/>
  <c r="R547" i="27"/>
  <c r="R504" i="27"/>
  <c r="R458" i="27"/>
  <c r="R436" i="27"/>
  <c r="R387" i="27"/>
  <c r="R368" i="27"/>
  <c r="R339" i="27"/>
  <c r="R320" i="27"/>
  <c r="R300" i="27"/>
  <c r="R290" i="27"/>
  <c r="R271" i="27"/>
  <c r="R252" i="27"/>
  <c r="R222" i="27"/>
  <c r="R203" i="27"/>
  <c r="R184" i="27"/>
  <c r="R174" i="27"/>
  <c r="R164" i="27"/>
  <c r="R151" i="27"/>
  <c r="R139" i="27"/>
  <c r="R106" i="27"/>
  <c r="R615" i="27"/>
  <c r="K57" i="27"/>
  <c r="K59" i="27"/>
  <c r="K61" i="27"/>
  <c r="K63" i="27"/>
  <c r="K65" i="27"/>
  <c r="K67" i="27"/>
  <c r="K69" i="27"/>
  <c r="K71" i="27"/>
  <c r="K73" i="27"/>
  <c r="K75" i="27"/>
  <c r="K77" i="27"/>
  <c r="K79" i="27"/>
  <c r="K81" i="27"/>
  <c r="K83" i="27"/>
  <c r="K85" i="27"/>
  <c r="K87" i="27"/>
  <c r="K89" i="27"/>
  <c r="K91" i="27"/>
  <c r="K93" i="27"/>
  <c r="K95" i="27"/>
  <c r="K97" i="27"/>
  <c r="K99" i="27"/>
  <c r="K101" i="27"/>
  <c r="K103" i="27"/>
  <c r="K105" i="27"/>
  <c r="K107" i="27"/>
  <c r="K109" i="27"/>
  <c r="K111" i="27"/>
  <c r="K113" i="27"/>
  <c r="K115" i="27"/>
  <c r="K117" i="27"/>
  <c r="K119" i="27"/>
  <c r="K121" i="27"/>
  <c r="K123" i="27"/>
  <c r="K125" i="27"/>
  <c r="K127" i="27"/>
  <c r="K129" i="27"/>
  <c r="K131" i="27"/>
  <c r="K133" i="27"/>
  <c r="K135" i="27"/>
  <c r="K137" i="27"/>
  <c r="K139" i="27"/>
  <c r="K141" i="27"/>
  <c r="K143" i="27"/>
  <c r="K145" i="27"/>
  <c r="K147" i="27"/>
  <c r="K149" i="27"/>
  <c r="K151" i="27"/>
  <c r="K153" i="27"/>
  <c r="K155" i="27"/>
  <c r="K157" i="27"/>
  <c r="K159" i="27"/>
  <c r="K161" i="27"/>
  <c r="K163" i="27"/>
  <c r="K165" i="27"/>
  <c r="K167" i="27"/>
  <c r="K58" i="27"/>
  <c r="K74" i="27"/>
  <c r="K90" i="27"/>
  <c r="K106" i="27"/>
  <c r="K122" i="27"/>
  <c r="K138" i="27"/>
  <c r="K154" i="27"/>
  <c r="K72" i="27"/>
  <c r="K88" i="27"/>
  <c r="K66" i="27"/>
  <c r="K82" i="27"/>
  <c r="K98" i="27"/>
  <c r="K114" i="27"/>
  <c r="K4" i="27"/>
  <c r="K60" i="27"/>
  <c r="K76" i="27"/>
  <c r="K92" i="27"/>
  <c r="K108" i="27"/>
  <c r="K124" i="27"/>
  <c r="K140" i="27"/>
  <c r="K156" i="27"/>
  <c r="K100" i="27"/>
  <c r="K152" i="27"/>
  <c r="K166" i="27"/>
  <c r="K173" i="27"/>
  <c r="K180" i="27"/>
  <c r="K189" i="27"/>
  <c r="K196" i="27"/>
  <c r="K205" i="27"/>
  <c r="K212" i="27"/>
  <c r="K221" i="27"/>
  <c r="K228" i="27"/>
  <c r="K48" i="27"/>
  <c r="K62" i="27"/>
  <c r="K80" i="27"/>
  <c r="K94" i="27"/>
  <c r="K116" i="27"/>
  <c r="K130" i="27"/>
  <c r="K144" i="27"/>
  <c r="K158" i="27"/>
  <c r="K171" i="27"/>
  <c r="K178" i="27"/>
  <c r="K187" i="27"/>
  <c r="K194" i="27"/>
  <c r="K203" i="27"/>
  <c r="K210" i="27"/>
  <c r="K219" i="27"/>
  <c r="K226" i="27"/>
  <c r="K235" i="27"/>
  <c r="K237" i="27"/>
  <c r="K239" i="27"/>
  <c r="K241" i="27"/>
  <c r="K70" i="27"/>
  <c r="K84" i="27"/>
  <c r="K110" i="27"/>
  <c r="K136" i="27"/>
  <c r="K150" i="27"/>
  <c r="K164" i="27"/>
  <c r="K169" i="27"/>
  <c r="K176" i="27"/>
  <c r="K185" i="27"/>
  <c r="K192" i="27"/>
  <c r="K201" i="27"/>
  <c r="K208" i="27"/>
  <c r="K68" i="27"/>
  <c r="K86" i="27"/>
  <c r="K96" i="27"/>
  <c r="K118" i="27"/>
  <c r="K132" i="27"/>
  <c r="K168" i="27"/>
  <c r="K177" i="27"/>
  <c r="K184" i="27"/>
  <c r="K193" i="27"/>
  <c r="K78" i="27"/>
  <c r="K112" i="27"/>
  <c r="K162" i="27"/>
  <c r="K170" i="27"/>
  <c r="K174" i="27"/>
  <c r="K181" i="27"/>
  <c r="K195" i="27"/>
  <c r="K211" i="27"/>
  <c r="K214" i="27"/>
  <c r="K225" i="27"/>
  <c r="K236" i="27"/>
  <c r="K246" i="27"/>
  <c r="K253" i="27"/>
  <c r="K262" i="27"/>
  <c r="K269" i="27"/>
  <c r="K278" i="27"/>
  <c r="K285" i="27"/>
  <c r="K294" i="27"/>
  <c r="K301" i="27"/>
  <c r="K310" i="27"/>
  <c r="K312" i="27"/>
  <c r="K314" i="27"/>
  <c r="K316" i="27"/>
  <c r="K318" i="27"/>
  <c r="K320" i="27"/>
  <c r="K322" i="27"/>
  <c r="K324" i="27"/>
  <c r="K326" i="27"/>
  <c r="K328" i="27"/>
  <c r="K330" i="27"/>
  <c r="K332" i="27"/>
  <c r="K334" i="27"/>
  <c r="K336" i="27"/>
  <c r="K338" i="27"/>
  <c r="K340" i="27"/>
  <c r="K342" i="27"/>
  <c r="K344" i="27"/>
  <c r="K346" i="27"/>
  <c r="K348" i="27"/>
  <c r="K350" i="27"/>
  <c r="K352" i="27"/>
  <c r="K354" i="27"/>
  <c r="K356" i="27"/>
  <c r="K358" i="27"/>
  <c r="K360" i="27"/>
  <c r="K362" i="27"/>
  <c r="K364" i="27"/>
  <c r="K366" i="27"/>
  <c r="K368" i="27"/>
  <c r="K370" i="27"/>
  <c r="K372" i="27"/>
  <c r="K374" i="27"/>
  <c r="K376" i="27"/>
  <c r="K378" i="27"/>
  <c r="K380" i="27"/>
  <c r="K382" i="27"/>
  <c r="K384" i="27"/>
  <c r="K386" i="27"/>
  <c r="K388" i="27"/>
  <c r="K390" i="27"/>
  <c r="K392" i="27"/>
  <c r="K394" i="27"/>
  <c r="K396" i="27"/>
  <c r="K398" i="27"/>
  <c r="K400" i="27"/>
  <c r="K402" i="27"/>
  <c r="K404" i="27"/>
  <c r="K406" i="27"/>
  <c r="K408" i="27"/>
  <c r="K410" i="27"/>
  <c r="K412" i="27"/>
  <c r="K414" i="27"/>
  <c r="K416" i="27"/>
  <c r="K418" i="27"/>
  <c r="K420" i="27"/>
  <c r="K422" i="27"/>
  <c r="K424" i="27"/>
  <c r="K426" i="27"/>
  <c r="K428" i="27"/>
  <c r="K430" i="27"/>
  <c r="K432" i="27"/>
  <c r="K434" i="27"/>
  <c r="K436" i="27"/>
  <c r="K438" i="27"/>
  <c r="K440" i="27"/>
  <c r="K442" i="27"/>
  <c r="K444" i="27"/>
  <c r="K446" i="27"/>
  <c r="K448" i="27"/>
  <c r="K450" i="27"/>
  <c r="K452" i="27"/>
  <c r="K454" i="27"/>
  <c r="K456" i="27"/>
  <c r="K458" i="27"/>
  <c r="K460" i="27"/>
  <c r="K462" i="27"/>
  <c r="K464" i="27"/>
  <c r="K466" i="27"/>
  <c r="K468" i="27"/>
  <c r="K470" i="27"/>
  <c r="K472" i="27"/>
  <c r="K474" i="27"/>
  <c r="K476" i="27"/>
  <c r="K478" i="27"/>
  <c r="K480" i="27"/>
  <c r="K482" i="27"/>
  <c r="K484" i="27"/>
  <c r="K486" i="27"/>
  <c r="K488" i="27"/>
  <c r="K490" i="27"/>
  <c r="K492" i="27"/>
  <c r="K494" i="27"/>
  <c r="K496" i="27"/>
  <c r="K498" i="27"/>
  <c r="K500" i="27"/>
  <c r="K502" i="27"/>
  <c r="K504" i="27"/>
  <c r="K506" i="27"/>
  <c r="K508" i="27"/>
  <c r="K510" i="27"/>
  <c r="K512" i="27"/>
  <c r="K146" i="27"/>
  <c r="K199" i="27"/>
  <c r="K202" i="27"/>
  <c r="K217" i="27"/>
  <c r="K220" i="27"/>
  <c r="K231" i="27"/>
  <c r="K244" i="27"/>
  <c r="K251" i="27"/>
  <c r="K260" i="27"/>
  <c r="K267" i="27"/>
  <c r="K276" i="27"/>
  <c r="K283" i="27"/>
  <c r="K292" i="27"/>
  <c r="K299" i="27"/>
  <c r="K308" i="27"/>
  <c r="K104" i="27"/>
  <c r="K134" i="27"/>
  <c r="K142" i="27"/>
  <c r="K206" i="27"/>
  <c r="K223" i="27"/>
  <c r="K234" i="27"/>
  <c r="K242" i="27"/>
  <c r="K249" i="27"/>
  <c r="K258" i="27"/>
  <c r="K265" i="27"/>
  <c r="K274" i="27"/>
  <c r="K281" i="27"/>
  <c r="K290" i="27"/>
  <c r="K297" i="27"/>
  <c r="K306" i="27"/>
  <c r="K64" i="27"/>
  <c r="K126" i="27"/>
  <c r="K172" i="27"/>
  <c r="K175" i="27"/>
  <c r="K182" i="27"/>
  <c r="K209" i="27"/>
  <c r="K215" i="27"/>
  <c r="K120" i="27"/>
  <c r="K207" i="27"/>
  <c r="K216" i="27"/>
  <c r="K222" i="27"/>
  <c r="K227" i="27"/>
  <c r="K230" i="27"/>
  <c r="K238" i="27"/>
  <c r="K250" i="27"/>
  <c r="K257" i="27"/>
  <c r="K266" i="27"/>
  <c r="K273" i="27"/>
  <c r="K282" i="27"/>
  <c r="K289" i="27"/>
  <c r="K298" i="27"/>
  <c r="K305" i="27"/>
  <c r="K183" i="27"/>
  <c r="K245" i="27"/>
  <c r="K248" i="27"/>
  <c r="K255" i="27"/>
  <c r="K277" i="27"/>
  <c r="K280" i="27"/>
  <c r="K287" i="27"/>
  <c r="K309" i="27"/>
  <c r="K317" i="27"/>
  <c r="K325" i="27"/>
  <c r="K333" i="27"/>
  <c r="K341" i="27"/>
  <c r="K349" i="27"/>
  <c r="K357" i="27"/>
  <c r="K365" i="27"/>
  <c r="K373" i="27"/>
  <c r="K381" i="27"/>
  <c r="K389" i="27"/>
  <c r="K403" i="27"/>
  <c r="K419" i="27"/>
  <c r="K435" i="27"/>
  <c r="K102" i="27"/>
  <c r="K198" i="27"/>
  <c r="K213" i="27"/>
  <c r="K218" i="27"/>
  <c r="K252" i="27"/>
  <c r="K259" i="27"/>
  <c r="K263" i="27"/>
  <c r="K270" i="27"/>
  <c r="K284" i="27"/>
  <c r="K291" i="27"/>
  <c r="K295" i="27"/>
  <c r="K302" i="27"/>
  <c r="K401" i="27"/>
  <c r="K417" i="27"/>
  <c r="K433" i="27"/>
  <c r="K449" i="27"/>
  <c r="K465" i="27"/>
  <c r="K481" i="27"/>
  <c r="K497" i="27"/>
  <c r="K513" i="27"/>
  <c r="K515" i="27"/>
  <c r="K517" i="27"/>
  <c r="K519" i="27"/>
  <c r="K521" i="27"/>
  <c r="K523" i="27"/>
  <c r="K525" i="27"/>
  <c r="K527" i="27"/>
  <c r="K529" i="27"/>
  <c r="K531" i="27"/>
  <c r="K533" i="27"/>
  <c r="K535" i="27"/>
  <c r="K537" i="27"/>
  <c r="K539" i="27"/>
  <c r="K541" i="27"/>
  <c r="K543" i="27"/>
  <c r="K545" i="27"/>
  <c r="K547" i="27"/>
  <c r="K549" i="27"/>
  <c r="K551" i="27"/>
  <c r="K553" i="27"/>
  <c r="K555" i="27"/>
  <c r="K557" i="27"/>
  <c r="K559" i="27"/>
  <c r="K561" i="27"/>
  <c r="K563" i="27"/>
  <c r="K565" i="27"/>
  <c r="K567" i="27"/>
  <c r="K569" i="27"/>
  <c r="K571" i="27"/>
  <c r="K573" i="27"/>
  <c r="K575" i="27"/>
  <c r="K577" i="27"/>
  <c r="K579" i="27"/>
  <c r="K581" i="27"/>
  <c r="K583" i="27"/>
  <c r="K585" i="27"/>
  <c r="K587" i="27"/>
  <c r="K589" i="27"/>
  <c r="K591" i="27"/>
  <c r="K593" i="27"/>
  <c r="K595" i="27"/>
  <c r="K597" i="27"/>
  <c r="K599" i="27"/>
  <c r="K601" i="27"/>
  <c r="K603" i="27"/>
  <c r="K605" i="27"/>
  <c r="K607" i="27"/>
  <c r="K609" i="27"/>
  <c r="K611" i="27"/>
  <c r="K613" i="27"/>
  <c r="K615" i="27"/>
  <c r="K617" i="27"/>
  <c r="K619" i="27"/>
  <c r="K621" i="27"/>
  <c r="K623" i="27"/>
  <c r="K625" i="27"/>
  <c r="K627" i="27"/>
  <c r="K629" i="27"/>
  <c r="K631" i="27"/>
  <c r="K633" i="27"/>
  <c r="K635" i="27"/>
  <c r="K637" i="27"/>
  <c r="K639" i="27"/>
  <c r="K641" i="27"/>
  <c r="K643" i="27"/>
  <c r="K645" i="27"/>
  <c r="K647" i="27"/>
  <c r="K649" i="27"/>
  <c r="K651" i="27"/>
  <c r="K653" i="27"/>
  <c r="K655" i="27"/>
  <c r="K657" i="27"/>
  <c r="K659" i="27"/>
  <c r="K661" i="27"/>
  <c r="K179" i="27"/>
  <c r="K190" i="27"/>
  <c r="K256" i="27"/>
  <c r="K288" i="27"/>
  <c r="K315" i="27"/>
  <c r="K323" i="27"/>
  <c r="K331" i="27"/>
  <c r="K339" i="27"/>
  <c r="K347" i="27"/>
  <c r="K355" i="27"/>
  <c r="K363" i="27"/>
  <c r="K371" i="27"/>
  <c r="K379" i="27"/>
  <c r="K387" i="27"/>
  <c r="K399" i="27"/>
  <c r="K415" i="27"/>
  <c r="K431" i="27"/>
  <c r="K128" i="27"/>
  <c r="K204" i="27"/>
  <c r="K397" i="27"/>
  <c r="K413" i="27"/>
  <c r="K429" i="27"/>
  <c r="K186" i="27"/>
  <c r="K200" i="27"/>
  <c r="K224" i="27"/>
  <c r="K232" i="27"/>
  <c r="K261" i="27"/>
  <c r="K264" i="27"/>
  <c r="K271" i="27"/>
  <c r="K293" i="27"/>
  <c r="K296" i="27"/>
  <c r="K303" i="27"/>
  <c r="K313" i="27"/>
  <c r="K321" i="27"/>
  <c r="K329" i="27"/>
  <c r="K337" i="27"/>
  <c r="K345" i="27"/>
  <c r="K197" i="27"/>
  <c r="K240" i="27"/>
  <c r="K272" i="27"/>
  <c r="K304" i="27"/>
  <c r="K311" i="27"/>
  <c r="K319" i="27"/>
  <c r="K327" i="27"/>
  <c r="K335" i="27"/>
  <c r="K343" i="27"/>
  <c r="K351" i="27"/>
  <c r="K359" i="27"/>
  <c r="K367" i="27"/>
  <c r="K375" i="27"/>
  <c r="K383" i="27"/>
  <c r="K391" i="27"/>
  <c r="K407" i="27"/>
  <c r="K423" i="27"/>
  <c r="K439" i="27"/>
  <c r="K455" i="27"/>
  <c r="K471" i="27"/>
  <c r="K279" i="27"/>
  <c r="K385" i="27"/>
  <c r="K393" i="27"/>
  <c r="K459" i="27"/>
  <c r="K467" i="27"/>
  <c r="K483" i="27"/>
  <c r="K493" i="27"/>
  <c r="K503" i="27"/>
  <c r="K520" i="27"/>
  <c r="K536" i="27"/>
  <c r="K552" i="27"/>
  <c r="K568" i="27"/>
  <c r="K584" i="27"/>
  <c r="K600" i="27"/>
  <c r="K616" i="27"/>
  <c r="K632" i="27"/>
  <c r="K648" i="27"/>
  <c r="K160" i="27"/>
  <c r="K188" i="27"/>
  <c r="K243" i="27"/>
  <c r="K286" i="27"/>
  <c r="K377" i="27"/>
  <c r="K427" i="27"/>
  <c r="K445" i="27"/>
  <c r="K473" i="27"/>
  <c r="K491" i="27"/>
  <c r="K501" i="27"/>
  <c r="K511" i="27"/>
  <c r="K518" i="27"/>
  <c r="K534" i="27"/>
  <c r="K550" i="27"/>
  <c r="K566" i="27"/>
  <c r="K582" i="27"/>
  <c r="K598" i="27"/>
  <c r="K614" i="27"/>
  <c r="K630" i="27"/>
  <c r="K646" i="27"/>
  <c r="K233" i="27"/>
  <c r="K268" i="27"/>
  <c r="K369" i="27"/>
  <c r="K411" i="27"/>
  <c r="K443" i="27"/>
  <c r="K451" i="27"/>
  <c r="K516" i="27"/>
  <c r="K532" i="27"/>
  <c r="K548" i="27"/>
  <c r="K564" i="27"/>
  <c r="K580" i="27"/>
  <c r="K596" i="27"/>
  <c r="K612" i="27"/>
  <c r="K628" i="27"/>
  <c r="K644" i="27"/>
  <c r="K660" i="27"/>
  <c r="K275" i="27"/>
  <c r="K361" i="27"/>
  <c r="K395" i="27"/>
  <c r="K457" i="27"/>
  <c r="K479" i="27"/>
  <c r="K489" i="27"/>
  <c r="K499" i="27"/>
  <c r="K509" i="27"/>
  <c r="K514" i="27"/>
  <c r="K530" i="27"/>
  <c r="K546" i="27"/>
  <c r="K562" i="27"/>
  <c r="K578" i="27"/>
  <c r="K594" i="27"/>
  <c r="K610" i="27"/>
  <c r="K626" i="27"/>
  <c r="K642" i="27"/>
  <c r="K658" i="27"/>
  <c r="K148" i="27"/>
  <c r="K229" i="27"/>
  <c r="K300" i="27"/>
  <c r="K353" i="27"/>
  <c r="K463" i="27"/>
  <c r="K507" i="27"/>
  <c r="K528" i="27"/>
  <c r="K544" i="27"/>
  <c r="K560" i="27"/>
  <c r="K576" i="27"/>
  <c r="K592" i="27"/>
  <c r="K608" i="27"/>
  <c r="K624" i="27"/>
  <c r="K640" i="27"/>
  <c r="K191" i="27"/>
  <c r="K307" i="27"/>
  <c r="K437" i="27"/>
  <c r="K441" i="27"/>
  <c r="K469" i="27"/>
  <c r="K477" i="27"/>
  <c r="K487" i="27"/>
  <c r="K526" i="27"/>
  <c r="K542" i="27"/>
  <c r="K558" i="27"/>
  <c r="K574" i="27"/>
  <c r="K590" i="27"/>
  <c r="K606" i="27"/>
  <c r="K622" i="27"/>
  <c r="K638" i="27"/>
  <c r="K654" i="27"/>
  <c r="K663" i="27"/>
  <c r="K665" i="27"/>
  <c r="K667" i="27"/>
  <c r="K669" i="27"/>
  <c r="K671" i="27"/>
  <c r="K673" i="27"/>
  <c r="K675" i="27"/>
  <c r="K677" i="27"/>
  <c r="K679" i="27"/>
  <c r="K681" i="27"/>
  <c r="K683" i="27"/>
  <c r="K685" i="27"/>
  <c r="K687" i="27"/>
  <c r="K689" i="27"/>
  <c r="K691" i="27"/>
  <c r="K693" i="27"/>
  <c r="K695" i="27"/>
  <c r="K697" i="27"/>
  <c r="K699" i="27"/>
  <c r="K701" i="27"/>
  <c r="K703" i="27"/>
  <c r="K705" i="27"/>
  <c r="K247" i="27"/>
  <c r="K421" i="27"/>
  <c r="K425" i="27"/>
  <c r="K447" i="27"/>
  <c r="K475" i="27"/>
  <c r="K485" i="27"/>
  <c r="K495" i="27"/>
  <c r="K505" i="27"/>
  <c r="K524" i="27"/>
  <c r="K540" i="27"/>
  <c r="K556" i="27"/>
  <c r="K572" i="27"/>
  <c r="K588" i="27"/>
  <c r="K604" i="27"/>
  <c r="K254" i="27"/>
  <c r="K405" i="27"/>
  <c r="K409" i="27"/>
  <c r="K453" i="27"/>
  <c r="K461" i="27"/>
  <c r="K522" i="27"/>
  <c r="K538" i="27"/>
  <c r="K554" i="27"/>
  <c r="K570" i="27"/>
  <c r="K586" i="27"/>
  <c r="K602" i="27"/>
  <c r="K618" i="27"/>
  <c r="K634" i="27"/>
  <c r="K650" i="27"/>
  <c r="K670" i="27"/>
  <c r="K686" i="27"/>
  <c r="K702" i="27"/>
  <c r="K620" i="27"/>
  <c r="K656" i="27"/>
  <c r="K664" i="27"/>
  <c r="K680" i="27"/>
  <c r="K696" i="27"/>
  <c r="K674" i="27"/>
  <c r="K690" i="27"/>
  <c r="K706" i="27"/>
  <c r="K3" i="27"/>
  <c r="P103" i="27" s="1"/>
  <c r="K652" i="27"/>
  <c r="K668" i="27"/>
  <c r="K684" i="27"/>
  <c r="K700" i="27"/>
  <c r="K662" i="27"/>
  <c r="K678" i="27"/>
  <c r="K694" i="27"/>
  <c r="K672" i="27"/>
  <c r="K688" i="27"/>
  <c r="K704" i="27"/>
  <c r="K636" i="27"/>
  <c r="K666" i="27"/>
  <c r="K682" i="27"/>
  <c r="K698" i="27"/>
  <c r="K676" i="27"/>
  <c r="K692" i="27"/>
  <c r="L701" i="27"/>
  <c r="Q701" i="27" s="1"/>
  <c r="L677" i="27"/>
  <c r="L669" i="27"/>
  <c r="L661" i="27"/>
  <c r="L653" i="27"/>
  <c r="L645" i="27"/>
  <c r="L637" i="27"/>
  <c r="L629" i="27"/>
  <c r="L613" i="27"/>
  <c r="Q613" i="27" s="1"/>
  <c r="L605" i="27"/>
  <c r="L589" i="27"/>
  <c r="L581" i="27"/>
  <c r="L573" i="27"/>
  <c r="L565" i="27"/>
  <c r="L557" i="27"/>
  <c r="L549" i="27"/>
  <c r="L541" i="27"/>
  <c r="Q541" i="27" s="1"/>
  <c r="L525" i="27"/>
  <c r="L517" i="27"/>
  <c r="L509" i="27"/>
  <c r="L501" i="27"/>
  <c r="L493" i="27"/>
  <c r="L485" i="27"/>
  <c r="L469" i="27"/>
  <c r="L445" i="27"/>
  <c r="L437" i="27"/>
  <c r="L429" i="27"/>
  <c r="L421" i="27"/>
  <c r="L413" i="27"/>
  <c r="L405" i="27"/>
  <c r="L397" i="27"/>
  <c r="L373" i="27"/>
  <c r="L365" i="27"/>
  <c r="Q365" i="27" s="1"/>
  <c r="L349" i="27"/>
  <c r="L341" i="27"/>
  <c r="L333" i="27"/>
  <c r="L325" i="27"/>
  <c r="L317" i="27"/>
  <c r="L309" i="27"/>
  <c r="L301" i="27"/>
  <c r="L293" i="27"/>
  <c r="Q293" i="27" s="1"/>
  <c r="L285" i="27"/>
  <c r="L277" i="27"/>
  <c r="L269" i="27"/>
  <c r="L261" i="27"/>
  <c r="L253" i="27"/>
  <c r="L245" i="27"/>
  <c r="L237" i="27"/>
  <c r="L229" i="27"/>
  <c r="Q229" i="27" s="1"/>
  <c r="L221" i="27"/>
  <c r="L205" i="27"/>
  <c r="L197" i="27"/>
  <c r="L189" i="27"/>
  <c r="L173" i="27"/>
  <c r="L165" i="27"/>
  <c r="L157" i="27"/>
  <c r="L149" i="27"/>
  <c r="Q149" i="27" s="1"/>
  <c r="L141" i="27"/>
  <c r="L133" i="27"/>
  <c r="L125" i="27"/>
  <c r="L117" i="27"/>
  <c r="L109" i="27"/>
  <c r="L101" i="27"/>
  <c r="L93" i="27"/>
  <c r="L85" i="27"/>
  <c r="L77" i="27"/>
  <c r="L69" i="27"/>
  <c r="L61" i="27"/>
  <c r="L53" i="27"/>
  <c r="L45" i="27"/>
  <c r="L37" i="27"/>
  <c r="L29" i="27"/>
  <c r="L21" i="27"/>
  <c r="L13" i="27"/>
  <c r="L5" i="27"/>
  <c r="O702" i="27"/>
  <c r="O686" i="27"/>
  <c r="O678" i="27"/>
  <c r="O670" i="27"/>
  <c r="O662" i="27"/>
  <c r="O654" i="27"/>
  <c r="O646" i="27"/>
  <c r="O638" i="27"/>
  <c r="O630" i="27"/>
  <c r="O614" i="27"/>
  <c r="O606" i="27"/>
  <c r="O590" i="27"/>
  <c r="O582" i="27"/>
  <c r="O574" i="27"/>
  <c r="O566" i="27"/>
  <c r="O558" i="27"/>
  <c r="O550" i="27"/>
  <c r="O542" i="27"/>
  <c r="O526" i="27"/>
  <c r="O518" i="27"/>
  <c r="O510" i="27"/>
  <c r="O502" i="27"/>
  <c r="O494" i="27"/>
  <c r="O486" i="27"/>
  <c r="O446" i="27"/>
  <c r="O438" i="27"/>
  <c r="O430" i="27"/>
  <c r="O350" i="27"/>
  <c r="O342" i="27"/>
  <c r="O318" i="27"/>
  <c r="O270" i="27"/>
  <c r="O158" i="27"/>
  <c r="O134" i="27"/>
  <c r="O429" i="27"/>
  <c r="O280" i="27"/>
  <c r="O116" i="27"/>
  <c r="K43" i="27"/>
  <c r="K35" i="27"/>
  <c r="K27" i="27"/>
  <c r="K19" i="27"/>
  <c r="K11" i="27"/>
  <c r="L60" i="27"/>
  <c r="L62" i="27"/>
  <c r="L78" i="27"/>
  <c r="L72" i="27"/>
  <c r="L166" i="27"/>
  <c r="Q166" i="27" s="1"/>
  <c r="L212" i="27"/>
  <c r="L122" i="27"/>
  <c r="L194" i="27"/>
  <c r="L129" i="27"/>
  <c r="L170" i="27"/>
  <c r="L181" i="27"/>
  <c r="L236" i="27"/>
  <c r="L310" i="27"/>
  <c r="Q310" i="27" s="1"/>
  <c r="L334" i="27"/>
  <c r="L338" i="27"/>
  <c r="L356" i="27"/>
  <c r="L358" i="27"/>
  <c r="L368" i="27"/>
  <c r="L370" i="27"/>
  <c r="L374" i="27"/>
  <c r="L376" i="27"/>
  <c r="Q376" i="27" s="1"/>
  <c r="L378" i="27"/>
  <c r="L380" i="27"/>
  <c r="L382" i="27"/>
  <c r="L384" i="27"/>
  <c r="L386" i="27"/>
  <c r="Q386" i="27" s="1"/>
  <c r="L388" i="27"/>
  <c r="L79" i="27"/>
  <c r="L283" i="27"/>
  <c r="Q283" i="27" s="1"/>
  <c r="L308" i="27"/>
  <c r="L134" i="27"/>
  <c r="L213" i="27"/>
  <c r="L268" i="27"/>
  <c r="L275" i="27"/>
  <c r="L284" i="27"/>
  <c r="L307" i="27"/>
  <c r="L56" i="27"/>
  <c r="L357" i="27"/>
  <c r="L381" i="27"/>
  <c r="L389" i="27"/>
  <c r="L458" i="27"/>
  <c r="L270" i="27"/>
  <c r="L281" i="27"/>
  <c r="L401" i="27"/>
  <c r="L235" i="27"/>
  <c r="Q235" i="27" s="1"/>
  <c r="L355" i="27"/>
  <c r="L379" i="27"/>
  <c r="L387" i="27"/>
  <c r="L448" i="27"/>
  <c r="L457" i="27"/>
  <c r="L337" i="27"/>
  <c r="L359" i="27"/>
  <c r="L418" i="27"/>
  <c r="Q418" i="27" s="1"/>
  <c r="L453" i="27"/>
  <c r="L456" i="27"/>
  <c r="L461" i="27"/>
  <c r="L488" i="27"/>
  <c r="L498" i="27"/>
  <c r="L561" i="27"/>
  <c r="L625" i="27"/>
  <c r="L650" i="27"/>
  <c r="Q650" i="27" s="1"/>
  <c r="L304" i="27"/>
  <c r="L319" i="27"/>
  <c r="L385" i="27"/>
  <c r="L459" i="27"/>
  <c r="L470" i="27"/>
  <c r="L543" i="27"/>
  <c r="L559" i="27"/>
  <c r="L568" i="27"/>
  <c r="Q568" i="27" s="1"/>
  <c r="L591" i="27"/>
  <c r="L623" i="27"/>
  <c r="L648" i="27"/>
  <c r="L621" i="27"/>
  <c r="L706" i="27"/>
  <c r="L4" i="27"/>
  <c r="L454" i="27"/>
  <c r="L651" i="27"/>
  <c r="L660" i="27"/>
  <c r="L282" i="27"/>
  <c r="L479" i="27"/>
  <c r="L353" i="27"/>
  <c r="L383" i="27"/>
  <c r="L404" i="27"/>
  <c r="L482" i="27"/>
  <c r="L497" i="27"/>
  <c r="Q497" i="27" s="1"/>
  <c r="L519" i="27"/>
  <c r="L599" i="27"/>
  <c r="L375" i="27"/>
  <c r="L455" i="27"/>
  <c r="L477" i="27"/>
  <c r="L533" i="27"/>
  <c r="L597" i="27"/>
  <c r="L367" i="27"/>
  <c r="Q367" i="27" s="1"/>
  <c r="L480" i="27"/>
  <c r="L556" i="27"/>
  <c r="L588" i="27"/>
  <c r="L652" i="27"/>
  <c r="L705" i="27"/>
  <c r="L667" i="27"/>
  <c r="L699" i="27"/>
  <c r="L693" i="27"/>
  <c r="L622" i="27"/>
  <c r="L685" i="27"/>
  <c r="L700" i="27"/>
  <c r="L692" i="27"/>
  <c r="L684" i="27"/>
  <c r="L564" i="27"/>
  <c r="L452" i="27"/>
  <c r="O701" i="27"/>
  <c r="O685" i="27"/>
  <c r="O645" i="27"/>
  <c r="O629" i="27"/>
  <c r="O581" i="27"/>
  <c r="O509" i="27"/>
  <c r="O493" i="27"/>
  <c r="O453" i="27"/>
  <c r="O445" i="27"/>
  <c r="O437" i="27"/>
  <c r="O277" i="27"/>
  <c r="O245" i="27"/>
  <c r="O133" i="27"/>
  <c r="O109" i="27"/>
  <c r="O93" i="27"/>
  <c r="O618" i="27"/>
  <c r="K50" i="27"/>
  <c r="K42" i="27"/>
  <c r="K34" i="27"/>
  <c r="K26" i="27"/>
  <c r="K18" i="27"/>
  <c r="K10" i="27"/>
  <c r="L411" i="27"/>
  <c r="O511" i="27"/>
  <c r="L694" i="27"/>
  <c r="L666" i="27"/>
  <c r="L242" i="27"/>
  <c r="O699" i="27"/>
  <c r="O691" i="27"/>
  <c r="O683" i="27"/>
  <c r="O675" i="27"/>
  <c r="O667" i="27"/>
  <c r="O659" i="27"/>
  <c r="O643" i="27"/>
  <c r="O635" i="27"/>
  <c r="O627" i="27"/>
  <c r="O619" i="27"/>
  <c r="O611" i="27"/>
  <c r="O603" i="27"/>
  <c r="O595" i="27"/>
  <c r="O587" i="27"/>
  <c r="O579" i="27"/>
  <c r="O571" i="27"/>
  <c r="O563" i="27"/>
  <c r="O555" i="27"/>
  <c r="O539" i="27"/>
  <c r="O531" i="27"/>
  <c r="O523" i="27"/>
  <c r="O515" i="27"/>
  <c r="O507" i="27"/>
  <c r="O491" i="27"/>
  <c r="O475" i="27"/>
  <c r="O467" i="27"/>
  <c r="O451" i="27"/>
  <c r="O443" i="27"/>
  <c r="O435" i="27"/>
  <c r="O427" i="27"/>
  <c r="O411" i="27"/>
  <c r="O403" i="27"/>
  <c r="O395" i="27"/>
  <c r="O363" i="27"/>
  <c r="O355" i="27"/>
  <c r="O347" i="27"/>
  <c r="O331" i="27"/>
  <c r="O323" i="27"/>
  <c r="O315" i="27"/>
  <c r="O307" i="27"/>
  <c r="O299" i="27"/>
  <c r="O291" i="27"/>
  <c r="O275" i="27"/>
  <c r="O267" i="27"/>
  <c r="O259" i="27"/>
  <c r="O139" i="27"/>
  <c r="O27" i="27"/>
  <c r="O681" i="27"/>
  <c r="O349" i="27"/>
  <c r="O166" i="27"/>
  <c r="L436" i="27"/>
  <c r="L345" i="27"/>
  <c r="L33" i="27"/>
  <c r="O690" i="27"/>
  <c r="O674" i="27"/>
  <c r="O666" i="27"/>
  <c r="O658" i="27"/>
  <c r="O610" i="27"/>
  <c r="O602" i="27"/>
  <c r="O554" i="27"/>
  <c r="O482" i="27"/>
  <c r="O426" i="27"/>
  <c r="O418" i="27"/>
  <c r="O410" i="27"/>
  <c r="O322" i="27"/>
  <c r="O234" i="27"/>
  <c r="O210" i="27"/>
  <c r="O122" i="27"/>
  <c r="O90" i="27"/>
  <c r="O473" i="27"/>
  <c r="L145" i="27"/>
  <c r="L9" i="22"/>
  <c r="G6" i="4"/>
  <c r="L704" i="27"/>
  <c r="L696" i="27"/>
  <c r="Q696" i="27" s="1"/>
  <c r="L688" i="27"/>
  <c r="L680" i="27"/>
  <c r="L672" i="27"/>
  <c r="L664" i="27"/>
  <c r="L656" i="27"/>
  <c r="L640" i="27"/>
  <c r="L632" i="27"/>
  <c r="L624" i="27"/>
  <c r="L616" i="27"/>
  <c r="L608" i="27"/>
  <c r="L600" i="27"/>
  <c r="L592" i="27"/>
  <c r="L584" i="27"/>
  <c r="L576" i="27"/>
  <c r="L560" i="27"/>
  <c r="L552" i="27"/>
  <c r="L544" i="27"/>
  <c r="L536" i="27"/>
  <c r="L528" i="27"/>
  <c r="L520" i="27"/>
  <c r="L512" i="27"/>
  <c r="L504" i="27"/>
  <c r="L496" i="27"/>
  <c r="L472" i="27"/>
  <c r="L464" i="27"/>
  <c r="L440" i="27"/>
  <c r="L432" i="27"/>
  <c r="L424" i="27"/>
  <c r="L416" i="27"/>
  <c r="L408" i="27"/>
  <c r="L400" i="27"/>
  <c r="L392" i="27"/>
  <c r="L360" i="27"/>
  <c r="L352" i="27"/>
  <c r="L344" i="27"/>
  <c r="L336" i="27"/>
  <c r="L328" i="27"/>
  <c r="L320" i="27"/>
  <c r="L312" i="27"/>
  <c r="L296" i="27"/>
  <c r="L288" i="27"/>
  <c r="L280" i="27"/>
  <c r="L272" i="27"/>
  <c r="L264" i="27"/>
  <c r="L256" i="27"/>
  <c r="L248" i="27"/>
  <c r="L240" i="27"/>
  <c r="L232" i="27"/>
  <c r="L224" i="27"/>
  <c r="L216" i="27"/>
  <c r="L208" i="27"/>
  <c r="L200" i="27"/>
  <c r="L192" i="27"/>
  <c r="L184" i="27"/>
  <c r="L176" i="27"/>
  <c r="L168" i="27"/>
  <c r="L160" i="27"/>
  <c r="L152" i="27"/>
  <c r="L144" i="27"/>
  <c r="L136" i="27"/>
  <c r="L128" i="27"/>
  <c r="L120" i="27"/>
  <c r="L112" i="27"/>
  <c r="L104" i="27"/>
  <c r="L96" i="27"/>
  <c r="L88" i="27"/>
  <c r="L80" i="27"/>
  <c r="L64" i="27"/>
  <c r="L48" i="27"/>
  <c r="L40" i="27"/>
  <c r="L32" i="27"/>
  <c r="L24" i="27"/>
  <c r="L16" i="27"/>
  <c r="L8" i="27"/>
  <c r="O673" i="27"/>
  <c r="O657" i="27"/>
  <c r="O545" i="27"/>
  <c r="O537" i="27"/>
  <c r="O401" i="27"/>
  <c r="O361" i="27"/>
  <c r="O329" i="27"/>
  <c r="O297" i="27"/>
  <c r="O201" i="27"/>
  <c r="O583" i="27"/>
  <c r="O227" i="27"/>
  <c r="O69" i="27"/>
  <c r="K54" i="27"/>
  <c r="K46" i="27"/>
  <c r="K38" i="27"/>
  <c r="K30" i="27"/>
  <c r="K22" i="27"/>
  <c r="K14" i="27"/>
  <c r="K5" i="27"/>
  <c r="L703" i="27"/>
  <c r="L695" i="27"/>
  <c r="L687" i="27"/>
  <c r="L679" i="27"/>
  <c r="L671" i="27"/>
  <c r="L663" i="27"/>
  <c r="L655" i="27"/>
  <c r="L647" i="27"/>
  <c r="L639" i="27"/>
  <c r="L631" i="27"/>
  <c r="L615" i="27"/>
  <c r="L535" i="27"/>
  <c r="L215" i="27"/>
  <c r="L103" i="27"/>
  <c r="O647" i="27"/>
  <c r="E52" i="10"/>
  <c r="AL12" i="27"/>
  <c r="K53" i="27"/>
  <c r="K45" i="27"/>
  <c r="K37" i="27"/>
  <c r="K29" i="27"/>
  <c r="K21" i="27"/>
  <c r="K13" i="27"/>
  <c r="L518" i="27"/>
  <c r="L198" i="27"/>
  <c r="O703" i="27"/>
  <c r="O639" i="27"/>
  <c r="O631" i="27"/>
  <c r="O599" i="27"/>
  <c r="O591" i="27"/>
  <c r="O575" i="27"/>
  <c r="O519" i="27"/>
  <c r="O503" i="27"/>
  <c r="L607" i="27"/>
  <c r="L583" i="27"/>
  <c r="L575" i="27"/>
  <c r="L567" i="27"/>
  <c r="L551" i="27"/>
  <c r="L527" i="27"/>
  <c r="L511" i="27"/>
  <c r="L503" i="27"/>
  <c r="L495" i="27"/>
  <c r="L487" i="27"/>
  <c r="Q487" i="27" s="1"/>
  <c r="L471" i="27"/>
  <c r="L463" i="27"/>
  <c r="L447" i="27"/>
  <c r="L439" i="27"/>
  <c r="L431" i="27"/>
  <c r="L423" i="27"/>
  <c r="L415" i="27"/>
  <c r="L407" i="27"/>
  <c r="L399" i="27"/>
  <c r="L391" i="27"/>
  <c r="L351" i="27"/>
  <c r="L343" i="27"/>
  <c r="L335" i="27"/>
  <c r="L327" i="27"/>
  <c r="L311" i="27"/>
  <c r="L303" i="27"/>
  <c r="L295" i="27"/>
  <c r="L287" i="27"/>
  <c r="L279" i="27"/>
  <c r="Q279" i="27" s="1"/>
  <c r="L271" i="27"/>
  <c r="L263" i="27"/>
  <c r="L255" i="27"/>
  <c r="L247" i="27"/>
  <c r="L239" i="27"/>
  <c r="L231" i="27"/>
  <c r="L223" i="27"/>
  <c r="L207" i="27"/>
  <c r="Q207" i="27" s="1"/>
  <c r="L199" i="27"/>
  <c r="L191" i="27"/>
  <c r="L183" i="27"/>
  <c r="L175" i="27"/>
  <c r="L167" i="27"/>
  <c r="Q167" i="27" s="1"/>
  <c r="L159" i="27"/>
  <c r="L151" i="27"/>
  <c r="L143" i="27"/>
  <c r="Q143" i="27" s="1"/>
  <c r="L135" i="27"/>
  <c r="L127" i="27"/>
  <c r="L119" i="27"/>
  <c r="L111" i="27"/>
  <c r="L95" i="27"/>
  <c r="L87" i="27"/>
  <c r="L71" i="27"/>
  <c r="L63" i="27"/>
  <c r="L55" i="27"/>
  <c r="L47" i="27"/>
  <c r="L39" i="27"/>
  <c r="L31" i="27"/>
  <c r="L23" i="27"/>
  <c r="L15" i="27"/>
  <c r="L7" i="27"/>
  <c r="O693" i="27"/>
  <c r="O677" i="27"/>
  <c r="O669" i="27"/>
  <c r="O661" i="27"/>
  <c r="O637" i="27"/>
  <c r="O621" i="27"/>
  <c r="O613" i="27"/>
  <c r="O605" i="27"/>
  <c r="O597" i="27"/>
  <c r="O573" i="27"/>
  <c r="O565" i="27"/>
  <c r="O549" i="27"/>
  <c r="O541" i="27"/>
  <c r="O533" i="27"/>
  <c r="O525" i="27"/>
  <c r="O517" i="27"/>
  <c r="O501" i="27"/>
  <c r="O485" i="27"/>
  <c r="O477" i="27"/>
  <c r="O469" i="27"/>
  <c r="O461" i="27"/>
  <c r="O421" i="27"/>
  <c r="O413" i="27"/>
  <c r="O373" i="27"/>
  <c r="O365" i="27"/>
  <c r="O341" i="27"/>
  <c r="O333" i="27"/>
  <c r="O325" i="27"/>
  <c r="O317" i="27"/>
  <c r="O301" i="27"/>
  <c r="O293" i="27"/>
  <c r="O261" i="27"/>
  <c r="O253" i="27"/>
  <c r="O229" i="27"/>
  <c r="O221" i="27"/>
  <c r="O213" i="27"/>
  <c r="O205" i="27"/>
  <c r="O197" i="27"/>
  <c r="O189" i="27"/>
  <c r="O181" i="27"/>
  <c r="O173" i="27"/>
  <c r="O165" i="27"/>
  <c r="O157" i="27"/>
  <c r="O149" i="27"/>
  <c r="O141" i="27"/>
  <c r="O125" i="27"/>
  <c r="O117" i="27"/>
  <c r="O101" i="27"/>
  <c r="O85" i="27"/>
  <c r="O53" i="27"/>
  <c r="O21" i="27"/>
  <c r="O12" i="27"/>
  <c r="O676" i="27"/>
  <c r="O616" i="27"/>
  <c r="O470" i="27"/>
  <c r="O336" i="27"/>
  <c r="O224" i="27"/>
  <c r="O159" i="27"/>
  <c r="O62" i="27"/>
  <c r="K52" i="27"/>
  <c r="K44" i="27"/>
  <c r="K36" i="27"/>
  <c r="K28" i="27"/>
  <c r="K20" i="27"/>
  <c r="K12" i="27"/>
  <c r="L702" i="27"/>
  <c r="L686" i="27"/>
  <c r="L678" i="27"/>
  <c r="L670" i="27"/>
  <c r="L662" i="27"/>
  <c r="Q662" i="27" s="1"/>
  <c r="L654" i="27"/>
  <c r="L646" i="27"/>
  <c r="L638" i="27"/>
  <c r="Q638" i="27" s="1"/>
  <c r="L630" i="27"/>
  <c r="L614" i="27"/>
  <c r="L606" i="27"/>
  <c r="L598" i="27"/>
  <c r="L590" i="27"/>
  <c r="L582" i="27"/>
  <c r="L574" i="27"/>
  <c r="L566" i="27"/>
  <c r="Q566" i="27" s="1"/>
  <c r="L558" i="27"/>
  <c r="L550" i="27"/>
  <c r="L542" i="27"/>
  <c r="L534" i="27"/>
  <c r="L526" i="27"/>
  <c r="L510" i="27"/>
  <c r="L502" i="27"/>
  <c r="L494" i="27"/>
  <c r="Q494" i="27" s="1"/>
  <c r="L486" i="27"/>
  <c r="L478" i="27"/>
  <c r="L462" i="27"/>
  <c r="L446" i="27"/>
  <c r="L438" i="27"/>
  <c r="L430" i="27"/>
  <c r="L422" i="27"/>
  <c r="L414" i="27"/>
  <c r="Q414" i="27" s="1"/>
  <c r="L406" i="27"/>
  <c r="L398" i="27"/>
  <c r="L390" i="27"/>
  <c r="L366" i="27"/>
  <c r="L350" i="27"/>
  <c r="L342" i="27"/>
  <c r="L326" i="27"/>
  <c r="L318" i="27"/>
  <c r="Q318" i="27" s="1"/>
  <c r="L302" i="27"/>
  <c r="L294" i="27"/>
  <c r="L286" i="27"/>
  <c r="L278" i="27"/>
  <c r="L262" i="27"/>
  <c r="L254" i="27"/>
  <c r="L246" i="27"/>
  <c r="L238" i="27"/>
  <c r="Q238" i="27" s="1"/>
  <c r="L230" i="27"/>
  <c r="L222" i="27"/>
  <c r="L214" i="27"/>
  <c r="L206" i="27"/>
  <c r="L190" i="27"/>
  <c r="L182" i="27"/>
  <c r="L174" i="27"/>
  <c r="L158" i="27"/>
  <c r="Q158" i="27" s="1"/>
  <c r="L150" i="27"/>
  <c r="L142" i="27"/>
  <c r="L126" i="27"/>
  <c r="L118" i="27"/>
  <c r="L110" i="27"/>
  <c r="L102" i="27"/>
  <c r="L94" i="27"/>
  <c r="L86" i="27"/>
  <c r="O644" i="27"/>
  <c r="O556" i="27"/>
  <c r="O548" i="27"/>
  <c r="O492" i="27"/>
  <c r="O452" i="27"/>
  <c r="O444" i="27"/>
  <c r="O420" i="27"/>
  <c r="O340" i="27"/>
  <c r="O260" i="27"/>
  <c r="O164" i="27"/>
  <c r="O124" i="27"/>
  <c r="O92" i="27"/>
  <c r="O464" i="27"/>
  <c r="O268" i="27"/>
  <c r="O156" i="27"/>
  <c r="O20" i="27"/>
  <c r="O251" i="27"/>
  <c r="O243" i="27"/>
  <c r="O235" i="27"/>
  <c r="O219" i="27"/>
  <c r="O211" i="27"/>
  <c r="O203" i="27"/>
  <c r="O187" i="27"/>
  <c r="O179" i="27"/>
  <c r="O171" i="27"/>
  <c r="O163" i="27"/>
  <c r="O155" i="27"/>
  <c r="O147" i="27"/>
  <c r="O131" i="27"/>
  <c r="O123" i="27"/>
  <c r="O115" i="27"/>
  <c r="O107" i="27"/>
  <c r="O99" i="27"/>
  <c r="O91" i="27"/>
  <c r="O83" i="27"/>
  <c r="O75" i="27"/>
  <c r="O67" i="27"/>
  <c r="O59" i="27"/>
  <c r="O51" i="27"/>
  <c r="O43" i="27"/>
  <c r="O35" i="27"/>
  <c r="O19" i="27"/>
  <c r="O609" i="27"/>
  <c r="O536" i="27"/>
  <c r="O258" i="27"/>
  <c r="O207" i="27"/>
  <c r="O100" i="27"/>
  <c r="O50" i="27"/>
  <c r="O16" i="27"/>
  <c r="L58" i="27"/>
  <c r="L676" i="27"/>
  <c r="L668" i="27"/>
  <c r="L644" i="27"/>
  <c r="L636" i="27"/>
  <c r="L628" i="27"/>
  <c r="L620" i="27"/>
  <c r="Q620" i="27" s="1"/>
  <c r="L612" i="27"/>
  <c r="L604" i="27"/>
  <c r="L596" i="27"/>
  <c r="L580" i="27"/>
  <c r="L572" i="27"/>
  <c r="L548" i="27"/>
  <c r="L540" i="27"/>
  <c r="L532" i="27"/>
  <c r="Q532" i="27" s="1"/>
  <c r="L524" i="27"/>
  <c r="L516" i="27"/>
  <c r="L508" i="27"/>
  <c r="L500" i="27"/>
  <c r="L492" i="27"/>
  <c r="L484" i="27"/>
  <c r="L476" i="27"/>
  <c r="L468" i="27"/>
  <c r="Q468" i="27" s="1"/>
  <c r="L460" i="27"/>
  <c r="L444" i="27"/>
  <c r="L428" i="27"/>
  <c r="L420" i="27"/>
  <c r="L412" i="27"/>
  <c r="L396" i="27"/>
  <c r="L372" i="27"/>
  <c r="L364" i="27"/>
  <c r="Q364" i="27" s="1"/>
  <c r="L348" i="27"/>
  <c r="L340" i="27"/>
  <c r="L332" i="27"/>
  <c r="L324" i="27"/>
  <c r="L316" i="27"/>
  <c r="L300" i="27"/>
  <c r="L292" i="27"/>
  <c r="L276" i="27"/>
  <c r="Q276" i="27" s="1"/>
  <c r="L260" i="27"/>
  <c r="L252" i="27"/>
  <c r="L244" i="27"/>
  <c r="L228" i="27"/>
  <c r="L220" i="27"/>
  <c r="L204" i="27"/>
  <c r="L196" i="27"/>
  <c r="L188" i="27"/>
  <c r="Q188" i="27" s="1"/>
  <c r="L180" i="27"/>
  <c r="L172" i="27"/>
  <c r="L164" i="27"/>
  <c r="L156" i="27"/>
  <c r="L148" i="27"/>
  <c r="L140" i="27"/>
  <c r="L132" i="27"/>
  <c r="L124" i="27"/>
  <c r="Q124" i="27" s="1"/>
  <c r="L116" i="27"/>
  <c r="L108" i="27"/>
  <c r="L100" i="27"/>
  <c r="L92" i="27"/>
  <c r="L84" i="27"/>
  <c r="L76" i="27"/>
  <c r="L68" i="27"/>
  <c r="L52" i="27"/>
  <c r="L44" i="27"/>
  <c r="L36" i="27"/>
  <c r="L28" i="27"/>
  <c r="L20" i="27"/>
  <c r="L12" i="27"/>
  <c r="O698" i="27"/>
  <c r="O682" i="27"/>
  <c r="O650" i="27"/>
  <c r="O642" i="27"/>
  <c r="O634" i="27"/>
  <c r="O594" i="27"/>
  <c r="O586" i="27"/>
  <c r="O578" i="27"/>
  <c r="O570" i="27"/>
  <c r="O546" i="27"/>
  <c r="O538" i="27"/>
  <c r="O530" i="27"/>
  <c r="O522" i="27"/>
  <c r="O514" i="27"/>
  <c r="O506" i="27"/>
  <c r="O490" i="27"/>
  <c r="O474" i="27"/>
  <c r="O466" i="27"/>
  <c r="O450" i="27"/>
  <c r="O442" i="27"/>
  <c r="O434" i="27"/>
  <c r="O394" i="27"/>
  <c r="O370" i="27"/>
  <c r="O362" i="27"/>
  <c r="O346" i="27"/>
  <c r="O330" i="27"/>
  <c r="O314" i="27"/>
  <c r="O306" i="27"/>
  <c r="O298" i="27"/>
  <c r="O290" i="27"/>
  <c r="O274" i="27"/>
  <c r="O266" i="27"/>
  <c r="O250" i="27"/>
  <c r="O242" i="27"/>
  <c r="O226" i="27"/>
  <c r="O218" i="27"/>
  <c r="O202" i="27"/>
  <c r="O194" i="27"/>
  <c r="O186" i="27"/>
  <c r="O178" i="27"/>
  <c r="O170" i="27"/>
  <c r="O162" i="27"/>
  <c r="O154" i="27"/>
  <c r="O146" i="27"/>
  <c r="O138" i="27"/>
  <c r="O114" i="27"/>
  <c r="O106" i="27"/>
  <c r="O98" i="27"/>
  <c r="O82" i="27"/>
  <c r="O74" i="27"/>
  <c r="O66" i="27"/>
  <c r="O58" i="27"/>
  <c r="O42" i="27"/>
  <c r="O34" i="27"/>
  <c r="O26" i="27"/>
  <c r="O17" i="27"/>
  <c r="O9" i="27"/>
  <c r="O692" i="27"/>
  <c r="O636" i="27"/>
  <c r="O528" i="27"/>
  <c r="O310" i="27"/>
  <c r="O252" i="27"/>
  <c r="O142" i="27"/>
  <c r="K49" i="27"/>
  <c r="K41" i="27"/>
  <c r="K33" i="27"/>
  <c r="K25" i="27"/>
  <c r="K17" i="27"/>
  <c r="K9" i="27"/>
  <c r="L691" i="27"/>
  <c r="L683" i="27"/>
  <c r="L675" i="27"/>
  <c r="L659" i="27"/>
  <c r="L643" i="27"/>
  <c r="L635" i="27"/>
  <c r="Q635" i="27" s="1"/>
  <c r="L627" i="27"/>
  <c r="L619" i="27"/>
  <c r="L611" i="27"/>
  <c r="L603" i="27"/>
  <c r="L595" i="27"/>
  <c r="L587" i="27"/>
  <c r="L579" i="27"/>
  <c r="L571" i="27"/>
  <c r="Q571" i="27" s="1"/>
  <c r="L563" i="27"/>
  <c r="L555" i="27"/>
  <c r="L547" i="27"/>
  <c r="L539" i="27"/>
  <c r="L531" i="27"/>
  <c r="L523" i="27"/>
  <c r="L515" i="27"/>
  <c r="L507" i="27"/>
  <c r="Q507" i="27" s="1"/>
  <c r="L499" i="27"/>
  <c r="L491" i="27"/>
  <c r="L483" i="27"/>
  <c r="L475" i="27"/>
  <c r="L467" i="27"/>
  <c r="L451" i="27"/>
  <c r="L443" i="27"/>
  <c r="L435" i="27"/>
  <c r="Q435" i="27" s="1"/>
  <c r="L427" i="27"/>
  <c r="L419" i="27"/>
  <c r="L403" i="27"/>
  <c r="L395" i="27"/>
  <c r="L371" i="27"/>
  <c r="L363" i="27"/>
  <c r="L347" i="27"/>
  <c r="L339" i="27"/>
  <c r="Q339" i="27" s="1"/>
  <c r="L331" i="27"/>
  <c r="L323" i="27"/>
  <c r="L315" i="27"/>
  <c r="L299" i="27"/>
  <c r="L291" i="27"/>
  <c r="L267" i="27"/>
  <c r="L259" i="27"/>
  <c r="L251" i="27"/>
  <c r="Q251" i="27" s="1"/>
  <c r="L243" i="27"/>
  <c r="L227" i="27"/>
  <c r="L219" i="27"/>
  <c r="L211" i="27"/>
  <c r="L203" i="27"/>
  <c r="L195" i="27"/>
  <c r="L187" i="27"/>
  <c r="L179" i="27"/>
  <c r="Q179" i="27" s="1"/>
  <c r="L171" i="27"/>
  <c r="L163" i="27"/>
  <c r="L155" i="27"/>
  <c r="L147" i="27"/>
  <c r="L139" i="27"/>
  <c r="L131" i="27"/>
  <c r="L123" i="27"/>
  <c r="L115" i="27"/>
  <c r="Q115" i="27" s="1"/>
  <c r="L107" i="27"/>
  <c r="L99" i="27"/>
  <c r="L91" i="27"/>
  <c r="L83" i="27"/>
  <c r="L75" i="27"/>
  <c r="L67" i="27"/>
  <c r="L59" i="27"/>
  <c r="L51" i="27"/>
  <c r="L43" i="27"/>
  <c r="L35" i="27"/>
  <c r="L27" i="27"/>
  <c r="L19" i="27"/>
  <c r="L11" i="27"/>
  <c r="O705" i="27"/>
  <c r="O697" i="27"/>
  <c r="O689" i="27"/>
  <c r="O665" i="27"/>
  <c r="O641" i="27"/>
  <c r="O633" i="27"/>
  <c r="O625" i="27"/>
  <c r="O617" i="27"/>
  <c r="O601" i="27"/>
  <c r="O593" i="27"/>
  <c r="O585" i="27"/>
  <c r="O577" i="27"/>
  <c r="O561" i="27"/>
  <c r="O553" i="27"/>
  <c r="O529" i="27"/>
  <c r="O521" i="27"/>
  <c r="O513" i="27"/>
  <c r="O505" i="27"/>
  <c r="O497" i="27"/>
  <c r="O481" i="27"/>
  <c r="O465" i="27"/>
  <c r="O441" i="27"/>
  <c r="O433" i="27"/>
  <c r="O417" i="27"/>
  <c r="O409" i="27"/>
  <c r="O393" i="27"/>
  <c r="O353" i="27"/>
  <c r="O345" i="27"/>
  <c r="O337" i="27"/>
  <c r="O321" i="27"/>
  <c r="O289" i="27"/>
  <c r="O281" i="27"/>
  <c r="O273" i="27"/>
  <c r="O265" i="27"/>
  <c r="O257" i="27"/>
  <c r="O249" i="27"/>
  <c r="O241" i="27"/>
  <c r="O233" i="27"/>
  <c r="O225" i="27"/>
  <c r="O217" i="27"/>
  <c r="O209" i="27"/>
  <c r="O193" i="27"/>
  <c r="O185" i="27"/>
  <c r="O177" i="27"/>
  <c r="O169" i="27"/>
  <c r="O161" i="27"/>
  <c r="O153" i="27"/>
  <c r="O145" i="27"/>
  <c r="O137" i="27"/>
  <c r="O129" i="27"/>
  <c r="O121" i="27"/>
  <c r="O113" i="27"/>
  <c r="O105" i="27"/>
  <c r="O25" i="27"/>
  <c r="O8" i="27"/>
  <c r="O664" i="27"/>
  <c r="O564" i="27"/>
  <c r="O398" i="27"/>
  <c r="O300" i="27"/>
  <c r="O190" i="27"/>
  <c r="O44" i="27"/>
  <c r="K56" i="27"/>
  <c r="K40" i="27"/>
  <c r="K32" i="27"/>
  <c r="K24" i="27"/>
  <c r="K16" i="27"/>
  <c r="K8" i="27"/>
  <c r="L698" i="27"/>
  <c r="L690" i="27"/>
  <c r="L682" i="27"/>
  <c r="L674" i="27"/>
  <c r="L658" i="27"/>
  <c r="L642" i="27"/>
  <c r="L634" i="27"/>
  <c r="L626" i="27"/>
  <c r="Q626" i="27" s="1"/>
  <c r="L618" i="27"/>
  <c r="L610" i="27"/>
  <c r="L602" i="27"/>
  <c r="L594" i="27"/>
  <c r="L586" i="27"/>
  <c r="L578" i="27"/>
  <c r="L570" i="27"/>
  <c r="L562" i="27"/>
  <c r="Q562" i="27" s="1"/>
  <c r="L554" i="27"/>
  <c r="L546" i="27"/>
  <c r="L538" i="27"/>
  <c r="L530" i="27"/>
  <c r="L522" i="27"/>
  <c r="L514" i="27"/>
  <c r="L506" i="27"/>
  <c r="L490" i="27"/>
  <c r="Q490" i="27" s="1"/>
  <c r="L474" i="27"/>
  <c r="L466" i="27"/>
  <c r="L450" i="27"/>
  <c r="L442" i="27"/>
  <c r="L434" i="27"/>
  <c r="L426" i="27"/>
  <c r="L410" i="27"/>
  <c r="L402" i="27"/>
  <c r="Q402" i="27" s="1"/>
  <c r="L394" i="27"/>
  <c r="L362" i="27"/>
  <c r="L354" i="27"/>
  <c r="L346" i="27"/>
  <c r="L330" i="27"/>
  <c r="L322" i="27"/>
  <c r="L314" i="27"/>
  <c r="L306" i="27"/>
  <c r="Q306" i="27" s="1"/>
  <c r="L298" i="27"/>
  <c r="L290" i="27"/>
  <c r="L274" i="27"/>
  <c r="L266" i="27"/>
  <c r="L258" i="27"/>
  <c r="L250" i="27"/>
  <c r="L234" i="27"/>
  <c r="L226" i="27"/>
  <c r="Q226" i="27" s="1"/>
  <c r="L218" i="27"/>
  <c r="L210" i="27"/>
  <c r="L202" i="27"/>
  <c r="L186" i="27"/>
  <c r="L178" i="27"/>
  <c r="L162" i="27"/>
  <c r="L154" i="27"/>
  <c r="L146" i="27"/>
  <c r="Q146" i="27" s="1"/>
  <c r="L138" i="27"/>
  <c r="L130" i="27"/>
  <c r="L114" i="27"/>
  <c r="L106" i="27"/>
  <c r="L98" i="27"/>
  <c r="L90" i="27"/>
  <c r="L82" i="27"/>
  <c r="L74" i="27"/>
  <c r="L66" i="27"/>
  <c r="L50" i="27"/>
  <c r="L42" i="27"/>
  <c r="L34" i="27"/>
  <c r="L26" i="27"/>
  <c r="L18" i="27"/>
  <c r="L10" i="27"/>
  <c r="O704" i="27"/>
  <c r="O656" i="27"/>
  <c r="O608" i="27"/>
  <c r="O584" i="27"/>
  <c r="O576" i="27"/>
  <c r="O512" i="27"/>
  <c r="O504" i="27"/>
  <c r="O472" i="27"/>
  <c r="O416" i="27"/>
  <c r="O408" i="27"/>
  <c r="O400" i="27"/>
  <c r="O392" i="27"/>
  <c r="O312" i="27"/>
  <c r="O232" i="27"/>
  <c r="O216" i="27"/>
  <c r="O192" i="27"/>
  <c r="O168" i="27"/>
  <c r="O64" i="27"/>
  <c r="O592" i="27"/>
  <c r="O484" i="27"/>
  <c r="O364" i="27"/>
  <c r="O184" i="27"/>
  <c r="O37" i="27"/>
  <c r="K55" i="27"/>
  <c r="K47" i="27"/>
  <c r="K39" i="27"/>
  <c r="K31" i="27"/>
  <c r="K23" i="27"/>
  <c r="K15" i="27"/>
  <c r="K7" i="27"/>
  <c r="L697" i="27"/>
  <c r="L689" i="27"/>
  <c r="L681" i="27"/>
  <c r="Q681" i="27" s="1"/>
  <c r="L673" i="27"/>
  <c r="L665" i="27"/>
  <c r="L657" i="27"/>
  <c r="L649" i="27"/>
  <c r="L641" i="27"/>
  <c r="L633" i="27"/>
  <c r="L617" i="27"/>
  <c r="L609" i="27"/>
  <c r="Q609" i="27" s="1"/>
  <c r="L601" i="27"/>
  <c r="L593" i="27"/>
  <c r="L585" i="27"/>
  <c r="L577" i="27"/>
  <c r="L569" i="27"/>
  <c r="L553" i="27"/>
  <c r="L545" i="27"/>
  <c r="L537" i="27"/>
  <c r="Q537" i="27" s="1"/>
  <c r="L529" i="27"/>
  <c r="L521" i="27"/>
  <c r="L513" i="27"/>
  <c r="L505" i="27"/>
  <c r="L489" i="27"/>
  <c r="L481" i="27"/>
  <c r="L473" i="27"/>
  <c r="L465" i="27"/>
  <c r="Q465" i="27" s="1"/>
  <c r="L449" i="27"/>
  <c r="L441" i="27"/>
  <c r="L433" i="27"/>
  <c r="L425" i="27"/>
  <c r="L417" i="27"/>
  <c r="L409" i="27"/>
  <c r="L393" i="27"/>
  <c r="L377" i="27"/>
  <c r="Q377" i="27" s="1"/>
  <c r="L369" i="27"/>
  <c r="L361" i="27"/>
  <c r="L329" i="27"/>
  <c r="L321" i="27"/>
  <c r="L313" i="27"/>
  <c r="L305" i="27"/>
  <c r="L297" i="27"/>
  <c r="L289" i="27"/>
  <c r="Q289" i="27" s="1"/>
  <c r="L273" i="27"/>
  <c r="L265" i="27"/>
  <c r="L257" i="27"/>
  <c r="L249" i="27"/>
  <c r="L241" i="27"/>
  <c r="L233" i="27"/>
  <c r="L225" i="27"/>
  <c r="L217" i="27"/>
  <c r="Q217" i="27" s="1"/>
  <c r="L209" i="27"/>
  <c r="L201" i="27"/>
  <c r="L193" i="27"/>
  <c r="L185" i="27"/>
  <c r="L177" i="27"/>
  <c r="L169" i="27"/>
  <c r="L161" i="27"/>
  <c r="L153" i="27"/>
  <c r="Q153" i="27" s="1"/>
  <c r="L137" i="27"/>
  <c r="L121" i="27"/>
  <c r="L113" i="27"/>
  <c r="L105" i="27"/>
  <c r="L97" i="27"/>
  <c r="L89" i="27"/>
  <c r="L81" i="27"/>
  <c r="L73" i="27"/>
  <c r="L65" i="27"/>
  <c r="L57" i="27"/>
  <c r="L49" i="27"/>
  <c r="L41" i="27"/>
  <c r="L25" i="27"/>
  <c r="L17" i="27"/>
  <c r="L9" i="27"/>
  <c r="O695" i="27"/>
  <c r="O687" i="27"/>
  <c r="O679" i="27"/>
  <c r="O671" i="27"/>
  <c r="O655" i="27"/>
  <c r="O615" i="27"/>
  <c r="O607" i="27"/>
  <c r="O567" i="27"/>
  <c r="O559" i="27"/>
  <c r="O551" i="27"/>
  <c r="O543" i="27"/>
  <c r="O535" i="27"/>
  <c r="O527" i="27"/>
  <c r="O495" i="27"/>
  <c r="O487" i="27"/>
  <c r="O479" i="27"/>
  <c r="O463" i="27"/>
  <c r="O447" i="27"/>
  <c r="O439" i="27"/>
  <c r="O431" i="27"/>
  <c r="O423" i="27"/>
  <c r="O415" i="27"/>
  <c r="O407" i="27"/>
  <c r="O399" i="27"/>
  <c r="O391" i="27"/>
  <c r="O351" i="27"/>
  <c r="O343" i="27"/>
  <c r="O327" i="27"/>
  <c r="O319" i="27"/>
  <c r="O303" i="27"/>
  <c r="O295" i="27"/>
  <c r="O287" i="27"/>
  <c r="O279" i="27"/>
  <c r="O263" i="27"/>
  <c r="O255" i="27"/>
  <c r="O247" i="27"/>
  <c r="O239" i="27"/>
  <c r="O231" i="27"/>
  <c r="O223" i="27"/>
  <c r="O215" i="27"/>
  <c r="O199" i="27"/>
  <c r="O191" i="27"/>
  <c r="O183" i="27"/>
  <c r="O175" i="27"/>
  <c r="O143" i="27"/>
  <c r="O135" i="27"/>
  <c r="O127" i="27"/>
  <c r="O119" i="27"/>
  <c r="O111" i="27"/>
  <c r="O103" i="27"/>
  <c r="O95" i="27"/>
  <c r="O87" i="27"/>
  <c r="O71" i="27"/>
  <c r="O55" i="27"/>
  <c r="O47" i="27"/>
  <c r="O39" i="27"/>
  <c r="O31" i="27"/>
  <c r="O23" i="27"/>
  <c r="O14" i="27"/>
  <c r="O6" i="27"/>
  <c r="O684" i="27"/>
  <c r="O628" i="27"/>
  <c r="O436" i="27"/>
  <c r="O176" i="27"/>
  <c r="O72" i="27"/>
  <c r="O696" i="27"/>
  <c r="O688" i="27"/>
  <c r="O680" i="27"/>
  <c r="O672" i="27"/>
  <c r="O648" i="27"/>
  <c r="O640" i="27"/>
  <c r="O632" i="27"/>
  <c r="O568" i="27"/>
  <c r="O552" i="27"/>
  <c r="O496" i="27"/>
  <c r="O488" i="27"/>
  <c r="O448" i="27"/>
  <c r="O440" i="27"/>
  <c r="O432" i="27"/>
  <c r="O424" i="27"/>
  <c r="O352" i="27"/>
  <c r="O344" i="27"/>
  <c r="O328" i="27"/>
  <c r="O304" i="27"/>
  <c r="O296" i="27"/>
  <c r="O288" i="27"/>
  <c r="O272" i="27"/>
  <c r="O264" i="27"/>
  <c r="O256" i="27"/>
  <c r="O248" i="27"/>
  <c r="O240" i="27"/>
  <c r="O208" i="27"/>
  <c r="O200" i="27"/>
  <c r="O160" i="27"/>
  <c r="O152" i="27"/>
  <c r="O144" i="27"/>
  <c r="O136" i="27"/>
  <c r="O128" i="27"/>
  <c r="O120" i="27"/>
  <c r="O112" i="27"/>
  <c r="O104" i="27"/>
  <c r="O96" i="27"/>
  <c r="O88" i="27"/>
  <c r="O56" i="27"/>
  <c r="O48" i="27"/>
  <c r="O40" i="27"/>
  <c r="O32" i="27"/>
  <c r="O24" i="27"/>
  <c r="O15" i="27"/>
  <c r="O7" i="27"/>
  <c r="O52" i="27"/>
  <c r="O29" i="27"/>
  <c r="O422" i="27"/>
  <c r="O414" i="27"/>
  <c r="O406" i="27"/>
  <c r="O374" i="27"/>
  <c r="O366" i="27"/>
  <c r="O334" i="27"/>
  <c r="O326" i="27"/>
  <c r="O302" i="27"/>
  <c r="O294" i="27"/>
  <c r="O286" i="27"/>
  <c r="O278" i="27"/>
  <c r="O262" i="27"/>
  <c r="O254" i="27"/>
  <c r="O246" i="27"/>
  <c r="O238" i="27"/>
  <c r="O230" i="27"/>
  <c r="O222" i="27"/>
  <c r="O206" i="27"/>
  <c r="O198" i="27"/>
  <c r="O174" i="27"/>
  <c r="O126" i="27"/>
  <c r="O118" i="27"/>
  <c r="O110" i="27"/>
  <c r="O102" i="27"/>
  <c r="O94" i="27"/>
  <c r="O86" i="27"/>
  <c r="O78" i="27"/>
  <c r="O70" i="27"/>
  <c r="O54" i="27"/>
  <c r="O46" i="27"/>
  <c r="O38" i="27"/>
  <c r="O30" i="27"/>
  <c r="O22" i="27"/>
  <c r="O13" i="27"/>
  <c r="O5" i="27"/>
  <c r="O45" i="27"/>
  <c r="L70" i="27"/>
  <c r="L54" i="27"/>
  <c r="L46" i="27"/>
  <c r="L38" i="27"/>
  <c r="L30" i="27"/>
  <c r="L22" i="27"/>
  <c r="L14" i="27"/>
  <c r="L6" i="27"/>
  <c r="O28" i="27"/>
  <c r="O80" i="27"/>
  <c r="O151" i="27"/>
  <c r="O167" i="27"/>
  <c r="O195" i="27"/>
  <c r="O63" i="27"/>
  <c r="O79" i="27"/>
  <c r="O18" i="27"/>
  <c r="O57" i="27"/>
  <c r="O73" i="27"/>
  <c r="O130" i="27"/>
  <c r="O61" i="27"/>
  <c r="O236" i="27"/>
  <c r="O276" i="27"/>
  <c r="O282" i="27"/>
  <c r="O284" i="27"/>
  <c r="O308" i="27"/>
  <c r="O76" i="27"/>
  <c r="O182" i="27"/>
  <c r="O305" i="27"/>
  <c r="O214" i="27"/>
  <c r="O271" i="27"/>
  <c r="O269" i="27"/>
  <c r="O283" i="27"/>
  <c r="O425" i="27"/>
  <c r="O237" i="27"/>
  <c r="O311" i="27"/>
  <c r="O335" i="27"/>
  <c r="O338" i="27"/>
  <c r="O354" i="27"/>
  <c r="O359" i="27"/>
  <c r="O367" i="27"/>
  <c r="O375" i="27"/>
  <c r="O378" i="27"/>
  <c r="O383" i="27"/>
  <c r="O386" i="27"/>
  <c r="O455" i="27"/>
  <c r="O462" i="27"/>
  <c r="O471" i="27"/>
  <c r="O478" i="27"/>
  <c r="O405" i="27"/>
  <c r="O428" i="27"/>
  <c r="O77" i="27"/>
  <c r="O309" i="27"/>
  <c r="O320" i="27"/>
  <c r="O357" i="27"/>
  <c r="O360" i="27"/>
  <c r="O368" i="27"/>
  <c r="O376" i="27"/>
  <c r="O381" i="27"/>
  <c r="O384" i="27"/>
  <c r="O389" i="27"/>
  <c r="O419" i="27"/>
  <c r="O285" i="27"/>
  <c r="O397" i="27"/>
  <c r="O313" i="27"/>
  <c r="O371" i="27"/>
  <c r="O388" i="27"/>
  <c r="O622" i="27"/>
  <c r="O663" i="27"/>
  <c r="O380" i="27"/>
  <c r="O480" i="27"/>
  <c r="O540" i="27"/>
  <c r="O652" i="27"/>
  <c r="O456" i="27"/>
  <c r="O483" i="27"/>
  <c r="O498" i="27"/>
  <c r="O385" i="27"/>
  <c r="O390" i="27"/>
  <c r="O402" i="27"/>
  <c r="O459" i="27"/>
  <c r="O520" i="27"/>
  <c r="O600" i="27"/>
  <c r="O623" i="27"/>
  <c r="O356" i="27"/>
  <c r="O377" i="27"/>
  <c r="O382" i="27"/>
  <c r="O534" i="27"/>
  <c r="O557" i="27"/>
  <c r="O589" i="27"/>
  <c r="O598" i="27"/>
  <c r="O653" i="27"/>
  <c r="O339" i="27"/>
  <c r="O369" i="27"/>
  <c r="O454" i="27"/>
  <c r="O457" i="27"/>
  <c r="O499" i="27"/>
  <c r="O651" i="27"/>
  <c r="O4" i="27"/>
  <c r="O387" i="27"/>
  <c r="O449" i="27"/>
  <c r="O460" i="27"/>
  <c r="O489" i="27"/>
  <c r="O562" i="27"/>
  <c r="O569" i="27"/>
  <c r="O358" i="27"/>
  <c r="O379" i="27"/>
  <c r="O458" i="27"/>
  <c r="O544" i="27"/>
  <c r="O560" i="27"/>
  <c r="O624" i="27"/>
  <c r="O649" i="27"/>
  <c r="O626" i="27"/>
  <c r="O706" i="27"/>
  <c r="O668" i="27"/>
  <c r="O700" i="27"/>
  <c r="O3" i="27"/>
  <c r="O694" i="27"/>
  <c r="O660" i="27"/>
  <c r="O620" i="27"/>
  <c r="O612" i="27"/>
  <c r="O604" i="27"/>
  <c r="O596" i="27"/>
  <c r="O588" i="27"/>
  <c r="O580" i="27"/>
  <c r="O572" i="27"/>
  <c r="O532" i="27"/>
  <c r="O524" i="27"/>
  <c r="O516" i="27"/>
  <c r="O508" i="27"/>
  <c r="O500" i="27"/>
  <c r="O476" i="27"/>
  <c r="O468" i="27"/>
  <c r="O412" i="27"/>
  <c r="O404" i="27"/>
  <c r="O396" i="27"/>
  <c r="O372" i="27"/>
  <c r="O348" i="27"/>
  <c r="O332" i="27"/>
  <c r="O324" i="27"/>
  <c r="O316" i="27"/>
  <c r="O228" i="27"/>
  <c r="O220" i="27"/>
  <c r="O212" i="27"/>
  <c r="O204" i="27"/>
  <c r="O196" i="27"/>
  <c r="O188" i="27"/>
  <c r="O180" i="27"/>
  <c r="O172" i="27"/>
  <c r="O148" i="27"/>
  <c r="O140" i="27"/>
  <c r="O132" i="27"/>
  <c r="O68" i="27"/>
  <c r="O60" i="27"/>
  <c r="O292" i="27"/>
  <c r="O244" i="27"/>
  <c r="O150" i="27"/>
  <c r="T150" i="27" s="1"/>
  <c r="O108" i="27"/>
  <c r="O36" i="27"/>
  <c r="O11" i="27"/>
  <c r="O97" i="27"/>
  <c r="O89" i="27"/>
  <c r="O81" i="27"/>
  <c r="O65" i="27"/>
  <c r="O49" i="27"/>
  <c r="O41" i="27"/>
  <c r="O33" i="27"/>
  <c r="O84" i="27"/>
  <c r="O10" i="27"/>
  <c r="K6" i="27"/>
  <c r="R101" i="27"/>
  <c r="R105" i="27"/>
  <c r="R109" i="27"/>
  <c r="R113" i="27"/>
  <c r="R117" i="27"/>
  <c r="R121" i="27"/>
  <c r="R125" i="27"/>
  <c r="R129" i="27"/>
  <c r="R133" i="27"/>
  <c r="R137" i="27"/>
  <c r="R141" i="27"/>
  <c r="R145" i="27"/>
  <c r="R149" i="27"/>
  <c r="R153" i="27"/>
  <c r="R157" i="27"/>
  <c r="R161" i="27"/>
  <c r="R165" i="27"/>
  <c r="R169" i="27"/>
  <c r="R173" i="27"/>
  <c r="R177" i="27"/>
  <c r="R181" i="27"/>
  <c r="R185" i="27"/>
  <c r="R189" i="27"/>
  <c r="R193" i="27"/>
  <c r="R197" i="27"/>
  <c r="R201" i="27"/>
  <c r="R205" i="27"/>
  <c r="R209" i="27"/>
  <c r="R213" i="27"/>
  <c r="R217" i="27"/>
  <c r="R221" i="27"/>
  <c r="R225" i="27"/>
  <c r="R229" i="27"/>
  <c r="R233" i="27"/>
  <c r="R237" i="27"/>
  <c r="R241" i="27"/>
  <c r="R245" i="27"/>
  <c r="R249" i="27"/>
  <c r="R253" i="27"/>
  <c r="R257" i="27"/>
  <c r="R261" i="27"/>
  <c r="R265" i="27"/>
  <c r="R269" i="27"/>
  <c r="R273" i="27"/>
  <c r="R277" i="27"/>
  <c r="R281" i="27"/>
  <c r="R285" i="27"/>
  <c r="R289" i="27"/>
  <c r="R293" i="27"/>
  <c r="R297" i="27"/>
  <c r="R301" i="27"/>
  <c r="R305" i="27"/>
  <c r="R309" i="27"/>
  <c r="R313" i="27"/>
  <c r="R317" i="27"/>
  <c r="R321" i="27"/>
  <c r="R325" i="27"/>
  <c r="R329" i="27"/>
  <c r="R333" i="27"/>
  <c r="R337" i="27"/>
  <c r="R341" i="27"/>
  <c r="R345" i="27"/>
  <c r="R349" i="27"/>
  <c r="R353" i="27"/>
  <c r="R357" i="27"/>
  <c r="R361" i="27"/>
  <c r="R365" i="27"/>
  <c r="R369" i="27"/>
  <c r="R373" i="27"/>
  <c r="R377" i="27"/>
  <c r="R381" i="27"/>
  <c r="R385" i="27"/>
  <c r="R389" i="27"/>
  <c r="R393" i="27"/>
  <c r="R397" i="27"/>
  <c r="R401" i="27"/>
  <c r="R405" i="27"/>
  <c r="R409" i="27"/>
  <c r="R413" i="27"/>
  <c r="R417" i="27"/>
  <c r="R421" i="27"/>
  <c r="R425" i="27"/>
  <c r="R429" i="27"/>
  <c r="R433" i="27"/>
  <c r="R437" i="27"/>
  <c r="R441" i="27"/>
  <c r="R445" i="27"/>
  <c r="R449" i="27"/>
  <c r="R453" i="27"/>
  <c r="R457" i="27"/>
  <c r="R461" i="27"/>
  <c r="R465" i="27"/>
  <c r="R469" i="27"/>
  <c r="R473" i="27"/>
  <c r="R477" i="27"/>
  <c r="R481" i="27"/>
  <c r="R485" i="27"/>
  <c r="R489" i="27"/>
  <c r="R493" i="27"/>
  <c r="R497" i="27"/>
  <c r="R501" i="27"/>
  <c r="R505" i="27"/>
  <c r="R509" i="27"/>
  <c r="R513" i="27"/>
  <c r="R517" i="27"/>
  <c r="R521" i="27"/>
  <c r="R525" i="27"/>
  <c r="R529" i="27"/>
  <c r="R533" i="27"/>
  <c r="R537" i="27"/>
  <c r="R541" i="27"/>
  <c r="R545" i="27"/>
  <c r="R549" i="27"/>
  <c r="R553" i="27"/>
  <c r="R557" i="27"/>
  <c r="R561" i="27"/>
  <c r="R565" i="27"/>
  <c r="R569" i="27"/>
  <c r="R573" i="27"/>
  <c r="R577" i="27"/>
  <c r="R581" i="27"/>
  <c r="R585" i="27"/>
  <c r="R589" i="27"/>
  <c r="R593" i="27"/>
  <c r="R597" i="27"/>
  <c r="R601" i="27"/>
  <c r="R605" i="27"/>
  <c r="R609" i="27"/>
  <c r="R613" i="27"/>
  <c r="R617" i="27"/>
  <c r="Q136" i="27"/>
  <c r="Q253" i="27"/>
  <c r="Q262" i="27"/>
  <c r="Q335" i="27"/>
  <c r="Q398" i="27"/>
  <c r="Q456" i="27"/>
  <c r="Q555" i="27"/>
  <c r="Q581" i="27"/>
  <c r="Q647" i="27"/>
  <c r="I22" i="3"/>
  <c r="I21" i="3"/>
  <c r="H22" i="3"/>
  <c r="H21" i="3"/>
  <c r="G22" i="3"/>
  <c r="G21" i="3"/>
  <c r="F22" i="3"/>
  <c r="F21" i="3"/>
  <c r="D22" i="3"/>
  <c r="D21" i="3"/>
  <c r="D33" i="10"/>
  <c r="D37" i="10"/>
  <c r="C118" i="22"/>
  <c r="C127" i="22"/>
  <c r="C125" i="22"/>
  <c r="G125" i="22"/>
  <c r="D125" i="22"/>
  <c r="C122" i="22"/>
  <c r="K18" i="3"/>
  <c r="L18" i="3"/>
  <c r="C78" i="22"/>
  <c r="D44" i="22"/>
  <c r="H6" i="4" s="1"/>
  <c r="G77" i="22"/>
  <c r="K10" i="22" s="1"/>
  <c r="C39" i="22"/>
  <c r="C38" i="22"/>
  <c r="C37" i="22"/>
  <c r="I48" i="10"/>
  <c r="O6" i="3"/>
  <c r="O7" i="3"/>
  <c r="N6" i="3"/>
  <c r="N7" i="3"/>
  <c r="M6" i="3"/>
  <c r="M7" i="3"/>
  <c r="L6" i="3"/>
  <c r="L7" i="3"/>
  <c r="K6" i="3"/>
  <c r="K7" i="3"/>
  <c r="P375" i="27" l="1"/>
  <c r="Q170" i="27"/>
  <c r="Q656" i="27"/>
  <c r="Q563" i="27"/>
  <c r="Q472" i="27"/>
  <c r="Q392" i="27"/>
  <c r="Q328" i="27"/>
  <c r="Q256" i="27"/>
  <c r="Q142" i="27"/>
  <c r="Q225" i="27"/>
  <c r="Q473" i="27"/>
  <c r="Q154" i="27"/>
  <c r="Q123" i="27"/>
  <c r="Q443" i="27"/>
  <c r="Q515" i="27"/>
  <c r="Q132" i="27"/>
  <c r="Q628" i="27"/>
  <c r="Q246" i="27"/>
  <c r="Q326" i="27"/>
  <c r="Q422" i="27"/>
  <c r="Q502" i="27"/>
  <c r="Q151" i="27"/>
  <c r="Q287" i="27"/>
  <c r="Q671" i="27"/>
  <c r="Q216" i="27"/>
  <c r="Q608" i="27"/>
  <c r="Q680" i="27"/>
  <c r="Q452" i="27"/>
  <c r="Q699" i="27"/>
  <c r="Q597" i="27"/>
  <c r="Q482" i="27"/>
  <c r="Q559" i="27"/>
  <c r="Q625" i="27"/>
  <c r="Q401" i="27"/>
  <c r="Q307" i="27"/>
  <c r="Q236" i="27"/>
  <c r="Q237" i="27"/>
  <c r="Q301" i="27"/>
  <c r="Q469" i="27"/>
  <c r="Q169" i="27"/>
  <c r="Q642" i="27"/>
  <c r="Q195" i="27"/>
  <c r="Q267" i="27"/>
  <c r="Q363" i="27"/>
  <c r="Q451" i="27"/>
  <c r="Q523" i="27"/>
  <c r="Q587" i="27"/>
  <c r="Q659" i="27"/>
  <c r="Q140" i="27"/>
  <c r="Q204" i="27"/>
  <c r="Q300" i="27"/>
  <c r="Q396" i="27"/>
  <c r="Q484" i="27"/>
  <c r="Q548" i="27"/>
  <c r="Q636" i="27"/>
  <c r="Q182" i="27"/>
  <c r="Q342" i="27"/>
  <c r="Q510" i="27"/>
  <c r="Q582" i="27"/>
  <c r="Q654" i="27"/>
  <c r="Q159" i="27"/>
  <c r="Q231" i="27"/>
  <c r="Q295" i="27"/>
  <c r="Q399" i="27"/>
  <c r="Q575" i="27"/>
  <c r="Q535" i="27"/>
  <c r="Q160" i="27"/>
  <c r="Q360" i="27"/>
  <c r="Q464" i="27"/>
  <c r="Q544" i="27"/>
  <c r="Q616" i="27"/>
  <c r="Q688" i="27"/>
  <c r="Q345" i="27"/>
  <c r="Q533" i="27"/>
  <c r="Q404" i="27"/>
  <c r="Q561" i="27"/>
  <c r="Q337" i="27"/>
  <c r="Q281" i="27"/>
  <c r="Q284" i="27"/>
  <c r="Q388" i="27"/>
  <c r="Q370" i="27"/>
  <c r="Q181" i="27"/>
  <c r="Q101" i="27"/>
  <c r="Q165" i="27"/>
  <c r="Q245" i="27"/>
  <c r="Q557" i="27"/>
  <c r="Q637" i="27"/>
  <c r="Q233" i="27"/>
  <c r="Q178" i="27"/>
  <c r="Q258" i="27"/>
  <c r="Q434" i="27"/>
  <c r="Q658" i="27"/>
  <c r="Q139" i="27"/>
  <c r="Q203" i="27"/>
  <c r="Q371" i="27"/>
  <c r="Q467" i="27"/>
  <c r="Q220" i="27"/>
  <c r="Q316" i="27"/>
  <c r="Q572" i="27"/>
  <c r="Q644" i="27"/>
  <c r="Q110" i="27"/>
  <c r="Q590" i="27"/>
  <c r="Q583" i="27"/>
  <c r="Q687" i="27"/>
  <c r="Q104" i="27"/>
  <c r="Q409" i="27"/>
  <c r="Q380" i="27"/>
  <c r="Q546" i="27"/>
  <c r="Q232" i="27"/>
  <c r="Q211" i="27"/>
  <c r="Q603" i="27"/>
  <c r="Q668" i="27"/>
  <c r="Q488" i="27"/>
  <c r="Q189" i="27"/>
  <c r="Q261" i="27"/>
  <c r="Q573" i="27"/>
  <c r="Q550" i="27"/>
  <c r="Q438" i="27"/>
  <c r="Q303" i="27"/>
  <c r="Q242" i="27"/>
  <c r="Q133" i="27"/>
  <c r="Q417" i="27"/>
  <c r="Q684" i="27"/>
  <c r="Q615" i="27"/>
  <c r="Q436" i="27"/>
  <c r="Q379" i="27"/>
  <c r="Q291" i="27"/>
  <c r="Q128" i="27"/>
  <c r="Q675" i="27"/>
  <c r="Q595" i="27"/>
  <c r="Q526" i="27"/>
  <c r="Q429" i="27"/>
  <c r="Q350" i="27"/>
  <c r="Q282" i="27"/>
  <c r="Q205" i="27"/>
  <c r="Q122" i="27"/>
  <c r="Q113" i="27"/>
  <c r="Q193" i="27"/>
  <c r="Q257" i="27"/>
  <c r="Q329" i="27"/>
  <c r="Q433" i="27"/>
  <c r="Q513" i="27"/>
  <c r="Q585" i="27"/>
  <c r="Q657" i="27"/>
  <c r="Q274" i="27"/>
  <c r="Q354" i="27"/>
  <c r="Q508" i="27"/>
  <c r="Q639" i="27"/>
  <c r="Q700" i="27"/>
  <c r="Q479" i="27"/>
  <c r="Q385" i="27"/>
  <c r="Q382" i="27"/>
  <c r="Q356" i="27"/>
  <c r="Q125" i="27"/>
  <c r="Q333" i="27"/>
  <c r="Q421" i="27"/>
  <c r="Q509" i="27"/>
  <c r="Q481" i="27"/>
  <c r="Q686" i="27"/>
  <c r="Q669" i="27"/>
  <c r="Q589" i="27"/>
  <c r="Q518" i="27"/>
  <c r="Q412" i="27"/>
  <c r="Q341" i="27"/>
  <c r="Q277" i="27"/>
  <c r="Q191" i="27"/>
  <c r="Q623" i="27"/>
  <c r="Q666" i="27"/>
  <c r="Q586" i="27"/>
  <c r="Q516" i="27"/>
  <c r="Q407" i="27"/>
  <c r="Q338" i="27"/>
  <c r="Q265" i="27"/>
  <c r="Q554" i="27"/>
  <c r="Q427" i="27"/>
  <c r="Q524" i="27"/>
  <c r="Q622" i="27"/>
  <c r="P676" i="27"/>
  <c r="P299" i="27"/>
  <c r="P208" i="27"/>
  <c r="P556" i="27"/>
  <c r="P195" i="27"/>
  <c r="P572" i="27"/>
  <c r="P665" i="27"/>
  <c r="P281" i="27"/>
  <c r="P480" i="27"/>
  <c r="P124" i="27"/>
  <c r="P460" i="27"/>
  <c r="P116" i="27"/>
  <c r="P390" i="27"/>
  <c r="P448" i="27"/>
  <c r="P109" i="27"/>
  <c r="P634" i="27"/>
  <c r="P537" i="27"/>
  <c r="P441" i="27"/>
  <c r="P354" i="27"/>
  <c r="P265" i="27"/>
  <c r="P179" i="27"/>
  <c r="P550" i="27"/>
  <c r="P187" i="27"/>
  <c r="P627" i="27"/>
  <c r="P525" i="27"/>
  <c r="P433" i="27"/>
  <c r="P350" i="27"/>
  <c r="P257" i="27"/>
  <c r="P169" i="27"/>
  <c r="P367" i="27"/>
  <c r="P614" i="27"/>
  <c r="P515" i="27"/>
  <c r="P418" i="27"/>
  <c r="P333" i="27"/>
  <c r="P244" i="27"/>
  <c r="P155" i="27"/>
  <c r="P651" i="27"/>
  <c r="P277" i="27"/>
  <c r="E22" i="3"/>
  <c r="P600" i="27"/>
  <c r="P501" i="27"/>
  <c r="P414" i="27"/>
  <c r="P324" i="27"/>
  <c r="P235" i="27"/>
  <c r="P150" i="27"/>
  <c r="P686" i="27"/>
  <c r="P583" i="27"/>
  <c r="P483" i="27"/>
  <c r="P399" i="27"/>
  <c r="P310" i="27"/>
  <c r="P224" i="27"/>
  <c r="P135" i="27"/>
  <c r="P684" i="27"/>
  <c r="P613" i="27"/>
  <c r="P533" i="27"/>
  <c r="P454" i="27"/>
  <c r="P397" i="27"/>
  <c r="P332" i="27"/>
  <c r="P263" i="27"/>
  <c r="P194" i="27"/>
  <c r="P111" i="27"/>
  <c r="P658" i="27"/>
  <c r="P633" i="27"/>
  <c r="P579" i="27"/>
  <c r="P552" i="27"/>
  <c r="P508" i="27"/>
  <c r="P482" i="27"/>
  <c r="P436" i="27"/>
  <c r="P417" i="27"/>
  <c r="P370" i="27"/>
  <c r="P353" i="27"/>
  <c r="P303" i="27"/>
  <c r="P280" i="27"/>
  <c r="P239" i="27"/>
  <c r="P218" i="27"/>
  <c r="P172" i="27"/>
  <c r="P154" i="27"/>
  <c r="P132" i="27"/>
  <c r="T536" i="27"/>
  <c r="P681" i="27"/>
  <c r="P653" i="27"/>
  <c r="P628" i="27"/>
  <c r="P608" i="27"/>
  <c r="P574" i="27"/>
  <c r="P551" i="27"/>
  <c r="P532" i="27"/>
  <c r="P503" i="27"/>
  <c r="P481" i="27"/>
  <c r="P452" i="27"/>
  <c r="P434" i="27"/>
  <c r="P415" i="27"/>
  <c r="P396" i="27"/>
  <c r="P368" i="27"/>
  <c r="P351" i="27"/>
  <c r="P329" i="27"/>
  <c r="P300" i="27"/>
  <c r="P278" i="27"/>
  <c r="P261" i="27"/>
  <c r="P236" i="27"/>
  <c r="P211" i="27"/>
  <c r="P193" i="27"/>
  <c r="P170" i="27"/>
  <c r="P151" i="27"/>
  <c r="P129" i="27"/>
  <c r="P110" i="27"/>
  <c r="P703" i="27"/>
  <c r="P673" i="27"/>
  <c r="P649" i="27"/>
  <c r="P622" i="27"/>
  <c r="P595" i="27"/>
  <c r="P569" i="27"/>
  <c r="P549" i="27"/>
  <c r="P523" i="27"/>
  <c r="P498" i="27"/>
  <c r="P478" i="27"/>
  <c r="P447" i="27"/>
  <c r="P432" i="27"/>
  <c r="P412" i="27"/>
  <c r="P388" i="27"/>
  <c r="P365" i="27"/>
  <c r="P348" i="27"/>
  <c r="P322" i="27"/>
  <c r="P298" i="27"/>
  <c r="P275" i="27"/>
  <c r="P254" i="27"/>
  <c r="P233" i="27"/>
  <c r="P207" i="27"/>
  <c r="P186" i="27"/>
  <c r="P167" i="27"/>
  <c r="P146" i="27"/>
  <c r="P122" i="27"/>
  <c r="P108" i="27"/>
  <c r="P567" i="27"/>
  <c r="P430" i="27"/>
  <c r="P294" i="27"/>
  <c r="P141" i="27"/>
  <c r="P618" i="27"/>
  <c r="P494" i="27"/>
  <c r="P386" i="27"/>
  <c r="P269" i="27"/>
  <c r="P185" i="27"/>
  <c r="P105" i="27"/>
  <c r="P695" i="27"/>
  <c r="P667" i="27"/>
  <c r="P645" i="27"/>
  <c r="P617" i="27"/>
  <c r="P592" i="27"/>
  <c r="P566" i="27"/>
  <c r="P541" i="27"/>
  <c r="P521" i="27"/>
  <c r="P492" i="27"/>
  <c r="P465" i="27"/>
  <c r="P444" i="27"/>
  <c r="P427" i="27"/>
  <c r="P401" i="27"/>
  <c r="P382" i="27"/>
  <c r="P361" i="27"/>
  <c r="P337" i="27"/>
  <c r="P316" i="27"/>
  <c r="P291" i="27"/>
  <c r="P268" i="27"/>
  <c r="P249" i="27"/>
  <c r="P230" i="27"/>
  <c r="P202" i="27"/>
  <c r="P184" i="27"/>
  <c r="P160" i="27"/>
  <c r="P137" i="27"/>
  <c r="P119" i="27"/>
  <c r="P104" i="27"/>
  <c r="P696" i="27"/>
  <c r="P670" i="27"/>
  <c r="P648" i="27"/>
  <c r="P594" i="27"/>
  <c r="P542" i="27"/>
  <c r="P522" i="27"/>
  <c r="P468" i="27"/>
  <c r="P445" i="27"/>
  <c r="P402" i="27"/>
  <c r="P364" i="27"/>
  <c r="P338" i="27"/>
  <c r="P318" i="27"/>
  <c r="P252" i="27"/>
  <c r="P232" i="27"/>
  <c r="P203" i="27"/>
  <c r="P166" i="27"/>
  <c r="P120" i="27"/>
  <c r="P692" i="27"/>
  <c r="P666" i="27"/>
  <c r="P637" i="27"/>
  <c r="P615" i="27"/>
  <c r="P586" i="27"/>
  <c r="P558" i="27"/>
  <c r="P540" i="27"/>
  <c r="P519" i="27"/>
  <c r="P485" i="27"/>
  <c r="P461" i="27"/>
  <c r="P442" i="27"/>
  <c r="P420" i="27"/>
  <c r="P400" i="27"/>
  <c r="P380" i="27"/>
  <c r="P355" i="27"/>
  <c r="P336" i="27"/>
  <c r="P313" i="27"/>
  <c r="P283" i="27"/>
  <c r="P266" i="27"/>
  <c r="P246" i="27"/>
  <c r="P225" i="27"/>
  <c r="P198" i="27"/>
  <c r="P180" i="27"/>
  <c r="P156" i="27"/>
  <c r="P136" i="27"/>
  <c r="P118" i="27"/>
  <c r="P706" i="27"/>
  <c r="P702" i="27"/>
  <c r="P570" i="27"/>
  <c r="P495" i="27"/>
  <c r="P687" i="27"/>
  <c r="P671" i="27"/>
  <c r="P606" i="27"/>
  <c r="P469" i="27"/>
  <c r="P612" i="27"/>
  <c r="P598" i="27"/>
  <c r="P491" i="27"/>
  <c r="P536" i="27"/>
  <c r="P383" i="27"/>
  <c r="P319" i="27"/>
  <c r="P363" i="27"/>
  <c r="P256" i="27"/>
  <c r="P635" i="27"/>
  <c r="P587" i="27"/>
  <c r="P571" i="27"/>
  <c r="P555" i="27"/>
  <c r="P284" i="27"/>
  <c r="P102" i="27"/>
  <c r="P199" i="27"/>
  <c r="P500" i="27"/>
  <c r="P356" i="27"/>
  <c r="P340" i="27"/>
  <c r="P301" i="27"/>
  <c r="P162" i="27"/>
  <c r="P140" i="27"/>
  <c r="P127" i="27"/>
  <c r="P699" i="27"/>
  <c r="P663" i="27"/>
  <c r="P621" i="27"/>
  <c r="P564" i="27"/>
  <c r="P531" i="27"/>
  <c r="P489" i="27"/>
  <c r="P450" i="27"/>
  <c r="P405" i="27"/>
  <c r="P359" i="27"/>
  <c r="P289" i="27"/>
  <c r="P228" i="27"/>
  <c r="P114" i="27"/>
  <c r="P680" i="27"/>
  <c r="P643" i="27"/>
  <c r="P605" i="27"/>
  <c r="P581" i="27"/>
  <c r="P547" i="27"/>
  <c r="P512" i="27"/>
  <c r="P477" i="27"/>
  <c r="P439" i="27"/>
  <c r="P425" i="27"/>
  <c r="P393" i="27"/>
  <c r="P372" i="27"/>
  <c r="P347" i="27"/>
  <c r="P327" i="27"/>
  <c r="P308" i="27"/>
  <c r="P274" i="27"/>
  <c r="P260" i="27"/>
  <c r="P242" i="27"/>
  <c r="P205" i="27"/>
  <c r="P190" i="27"/>
  <c r="P175" i="27"/>
  <c r="P159" i="27"/>
  <c r="P145" i="27"/>
  <c r="P128" i="27"/>
  <c r="P697" i="27"/>
  <c r="P678" i="27"/>
  <c r="P659" i="27"/>
  <c r="P642" i="27"/>
  <c r="P620" i="27"/>
  <c r="P603" i="27"/>
  <c r="P580" i="27"/>
  <c r="P563" i="27"/>
  <c r="P546" i="27"/>
  <c r="P530" i="27"/>
  <c r="P510" i="27"/>
  <c r="P486" i="27"/>
  <c r="P470" i="27"/>
  <c r="P449" i="27"/>
  <c r="P437" i="27"/>
  <c r="P422" i="27"/>
  <c r="P404" i="27"/>
  <c r="P391" i="27"/>
  <c r="P371" i="27"/>
  <c r="P358" i="27"/>
  <c r="P341" i="27"/>
  <c r="P326" i="27"/>
  <c r="P307" i="27"/>
  <c r="P288" i="27"/>
  <c r="P270" i="27"/>
  <c r="P259" i="27"/>
  <c r="P241" i="27"/>
  <c r="P226" i="27"/>
  <c r="P204" i="27"/>
  <c r="P189" i="27"/>
  <c r="P173" i="27"/>
  <c r="P157" i="27"/>
  <c r="P143" i="27"/>
  <c r="P126" i="27"/>
  <c r="P113" i="27"/>
  <c r="P688" i="27"/>
  <c r="P652" i="27"/>
  <c r="P602" i="27"/>
  <c r="P409" i="27"/>
  <c r="P247" i="27"/>
  <c r="P691" i="27"/>
  <c r="P675" i="27"/>
  <c r="P638" i="27"/>
  <c r="P463" i="27"/>
  <c r="P610" i="27"/>
  <c r="P499" i="27"/>
  <c r="P644" i="27"/>
  <c r="P516" i="27"/>
  <c r="P630" i="27"/>
  <c r="P511" i="27"/>
  <c r="P243" i="27"/>
  <c r="P459" i="27"/>
  <c r="P407" i="27"/>
  <c r="P335" i="27"/>
  <c r="P345" i="27"/>
  <c r="P271" i="27"/>
  <c r="P379" i="27"/>
  <c r="P315" i="27"/>
  <c r="P655" i="27"/>
  <c r="P623" i="27"/>
  <c r="P591" i="27"/>
  <c r="P575" i="27"/>
  <c r="P559" i="27"/>
  <c r="P543" i="27"/>
  <c r="P527" i="27"/>
  <c r="P295" i="27"/>
  <c r="P213" i="27"/>
  <c r="P373" i="27"/>
  <c r="P309" i="27"/>
  <c r="P305" i="27"/>
  <c r="P238" i="27"/>
  <c r="P290" i="27"/>
  <c r="P223" i="27"/>
  <c r="P217" i="27"/>
  <c r="P504" i="27"/>
  <c r="P488" i="27"/>
  <c r="P472" i="27"/>
  <c r="P456" i="27"/>
  <c r="P440" i="27"/>
  <c r="P408" i="27"/>
  <c r="P392" i="27"/>
  <c r="P376" i="27"/>
  <c r="T699" i="27"/>
  <c r="T262" i="27"/>
  <c r="T498" i="27"/>
  <c r="T275" i="27"/>
  <c r="P344" i="27"/>
  <c r="P328" i="27"/>
  <c r="P312" i="27"/>
  <c r="P253" i="27"/>
  <c r="P174" i="27"/>
  <c r="P192" i="27"/>
  <c r="P210" i="27"/>
  <c r="P212" i="27"/>
  <c r="P138" i="27"/>
  <c r="P163" i="27"/>
  <c r="P147" i="27"/>
  <c r="P131" i="27"/>
  <c r="T116" i="27"/>
  <c r="T130" i="27"/>
  <c r="T468" i="27"/>
  <c r="T355" i="27"/>
  <c r="T246" i="27"/>
  <c r="Q102" i="27"/>
  <c r="Q131" i="27"/>
  <c r="Q148" i="27"/>
  <c r="Q168" i="27"/>
  <c r="Q190" i="27"/>
  <c r="Q213" i="27"/>
  <c r="Q234" i="27"/>
  <c r="Q254" i="27"/>
  <c r="Q269" i="27"/>
  <c r="Q288" i="27"/>
  <c r="Q309" i="27"/>
  <c r="Q336" i="27"/>
  <c r="Q353" i="27"/>
  <c r="Q373" i="27"/>
  <c r="Q391" i="27"/>
  <c r="Q405" i="27"/>
  <c r="Q424" i="27"/>
  <c r="Q445" i="27"/>
  <c r="Q471" i="27"/>
  <c r="Q485" i="27"/>
  <c r="Q514" i="27"/>
  <c r="Q531" i="27"/>
  <c r="Q552" i="27"/>
  <c r="Q564" i="27"/>
  <c r="Q584" i="27"/>
  <c r="Q599" i="27"/>
  <c r="Q624" i="27"/>
  <c r="Q643" i="27"/>
  <c r="Q661" i="27"/>
  <c r="Q679" i="27"/>
  <c r="Q697" i="27"/>
  <c r="Q112" i="27"/>
  <c r="Q134" i="27"/>
  <c r="Q157" i="27"/>
  <c r="Q172" i="27"/>
  <c r="Q197" i="27"/>
  <c r="Q224" i="27"/>
  <c r="Q239" i="27"/>
  <c r="Q260" i="27"/>
  <c r="Q280" i="27"/>
  <c r="Q296" i="27"/>
  <c r="Q319" i="27"/>
  <c r="Q340" i="27"/>
  <c r="Q359" i="27"/>
  <c r="Q381" i="27"/>
  <c r="Q397" i="27"/>
  <c r="Q411" i="27"/>
  <c r="Q430" i="27"/>
  <c r="Q455" i="27"/>
  <c r="Q477" i="27"/>
  <c r="Q492" i="27"/>
  <c r="Q517" i="27"/>
  <c r="Q543" i="27"/>
  <c r="Q556" i="27"/>
  <c r="Q574" i="27"/>
  <c r="Q588" i="27"/>
  <c r="Q614" i="27"/>
  <c r="Q629" i="27"/>
  <c r="Q651" i="27"/>
  <c r="Q667" i="27"/>
  <c r="Q685" i="27"/>
  <c r="Q161" i="27"/>
  <c r="Q297" i="27"/>
  <c r="Q393" i="27"/>
  <c r="Q545" i="27"/>
  <c r="Q617" i="27"/>
  <c r="Q689" i="27"/>
  <c r="Q314" i="27"/>
  <c r="Q410" i="27"/>
  <c r="Q506" i="27"/>
  <c r="Q570" i="27"/>
  <c r="Q634" i="27"/>
  <c r="Q187" i="27"/>
  <c r="Q259" i="27"/>
  <c r="Q347" i="27"/>
  <c r="Q579" i="27"/>
  <c r="Q196" i="27"/>
  <c r="Q292" i="27"/>
  <c r="Q372" i="27"/>
  <c r="Q476" i="27"/>
  <c r="Q540" i="27"/>
  <c r="Q174" i="27"/>
  <c r="Q646" i="27"/>
  <c r="Q223" i="27"/>
  <c r="Q463" i="27"/>
  <c r="Q567" i="27"/>
  <c r="Q215" i="27"/>
  <c r="Q152" i="27"/>
  <c r="Q352" i="27"/>
  <c r="Q440" i="27"/>
  <c r="Q536" i="27"/>
  <c r="T482" i="27"/>
  <c r="Q454" i="27"/>
  <c r="Q374" i="27"/>
  <c r="Q549" i="27"/>
  <c r="Q305" i="27"/>
  <c r="Q553" i="27"/>
  <c r="Q633" i="27"/>
  <c r="Q162" i="27"/>
  <c r="Q250" i="27"/>
  <c r="Q322" i="27"/>
  <c r="Q426" i="27"/>
  <c r="Q578" i="27"/>
  <c r="Q177" i="27"/>
  <c r="Q241" i="27"/>
  <c r="Q313" i="27"/>
  <c r="Q489" i="27"/>
  <c r="Q569" i="27"/>
  <c r="Q641" i="27"/>
  <c r="Q330" i="27"/>
  <c r="Q522" i="27"/>
  <c r="Q705" i="27"/>
  <c r="Q383" i="27"/>
  <c r="Q706" i="27"/>
  <c r="Q470" i="27"/>
  <c r="Q498" i="27"/>
  <c r="Q457" i="27"/>
  <c r="Q270" i="27"/>
  <c r="Q275" i="27"/>
  <c r="Q368" i="27"/>
  <c r="Q109" i="27"/>
  <c r="Q173" i="27"/>
  <c r="Q317" i="27"/>
  <c r="Q493" i="27"/>
  <c r="Q565" i="27"/>
  <c r="Q645" i="27"/>
  <c r="Q105" i="27"/>
  <c r="Q185" i="27"/>
  <c r="Q249" i="27"/>
  <c r="Q321" i="27"/>
  <c r="Q425" i="27"/>
  <c r="Q505" i="27"/>
  <c r="Q577" i="27"/>
  <c r="Q649" i="27"/>
  <c r="Q106" i="27"/>
  <c r="Q186" i="27"/>
  <c r="Q266" i="27"/>
  <c r="Q346" i="27"/>
  <c r="Q442" i="27"/>
  <c r="Q530" i="27"/>
  <c r="Q594" i="27"/>
  <c r="Q674" i="27"/>
  <c r="Q147" i="27"/>
  <c r="Q299" i="27"/>
  <c r="Q395" i="27"/>
  <c r="Q475" i="27"/>
  <c r="Q539" i="27"/>
  <c r="Q683" i="27"/>
  <c r="Q156" i="27"/>
  <c r="Q228" i="27"/>
  <c r="Q324" i="27"/>
  <c r="Q420" i="27"/>
  <c r="Q500" i="27"/>
  <c r="Q580" i="27"/>
  <c r="Q118" i="27"/>
  <c r="Q206" i="27"/>
  <c r="Q278" i="27"/>
  <c r="Q366" i="27"/>
  <c r="Q446" i="27"/>
  <c r="Q534" i="27"/>
  <c r="Q598" i="27"/>
  <c r="Q670" i="27"/>
  <c r="Q111" i="27"/>
  <c r="Q175" i="27"/>
  <c r="Q247" i="27"/>
  <c r="Q311" i="27"/>
  <c r="Q415" i="27"/>
  <c r="Q495" i="27"/>
  <c r="Q607" i="27"/>
  <c r="Q631" i="27"/>
  <c r="Q695" i="27"/>
  <c r="Q176" i="27"/>
  <c r="Q240" i="27"/>
  <c r="Q312" i="27"/>
  <c r="Q400" i="27"/>
  <c r="Q496" i="27"/>
  <c r="Q560" i="27"/>
  <c r="Q632" i="27"/>
  <c r="Q704" i="27"/>
  <c r="Q692" i="27"/>
  <c r="Q114" i="27"/>
  <c r="Q202" i="27"/>
  <c r="Q450" i="27"/>
  <c r="Q538" i="27"/>
  <c r="Q602" i="27"/>
  <c r="Q682" i="27"/>
  <c r="Q155" i="27"/>
  <c r="Q219" i="27"/>
  <c r="Q315" i="27"/>
  <c r="Q403" i="27"/>
  <c r="Q483" i="27"/>
  <c r="Q547" i="27"/>
  <c r="Q611" i="27"/>
  <c r="Q691" i="27"/>
  <c r="Q164" i="27"/>
  <c r="Q244" i="27"/>
  <c r="Q332" i="27"/>
  <c r="Q428" i="27"/>
  <c r="Q596" i="27"/>
  <c r="Q676" i="27"/>
  <c r="Q126" i="27"/>
  <c r="Q214" i="27"/>
  <c r="Q286" i="27"/>
  <c r="Q390" i="27"/>
  <c r="Q462" i="27"/>
  <c r="Q542" i="27"/>
  <c r="Q606" i="27"/>
  <c r="Q678" i="27"/>
  <c r="Q119" i="27"/>
  <c r="Q183" i="27"/>
  <c r="Q255" i="27"/>
  <c r="Q327" i="27"/>
  <c r="Q423" i="27"/>
  <c r="Q503" i="27"/>
  <c r="Q198" i="27"/>
  <c r="Q703" i="27"/>
  <c r="Q120" i="27"/>
  <c r="Q184" i="27"/>
  <c r="Q248" i="27"/>
  <c r="Q320" i="27"/>
  <c r="Q408" i="27"/>
  <c r="Q504" i="27"/>
  <c r="Q576" i="27"/>
  <c r="Q640" i="27"/>
  <c r="Q375" i="27"/>
  <c r="Q648" i="27"/>
  <c r="Q461" i="27"/>
  <c r="Q387" i="27"/>
  <c r="Q389" i="27"/>
  <c r="Q194" i="27"/>
  <c r="Q121" i="27"/>
  <c r="Q201" i="27"/>
  <c r="Q361" i="27"/>
  <c r="Q441" i="27"/>
  <c r="Q521" i="27"/>
  <c r="Q593" i="27"/>
  <c r="Q665" i="27"/>
  <c r="Q130" i="27"/>
  <c r="Q210" i="27"/>
  <c r="Q290" i="27"/>
  <c r="Q362" i="27"/>
  <c r="Q466" i="27"/>
  <c r="Q610" i="27"/>
  <c r="Q690" i="27"/>
  <c r="Q163" i="27"/>
  <c r="Q227" i="27"/>
  <c r="Q323" i="27"/>
  <c r="Q419" i="27"/>
  <c r="Q491" i="27"/>
  <c r="Q619" i="27"/>
  <c r="Q108" i="27"/>
  <c r="Q252" i="27"/>
  <c r="Q444" i="27"/>
  <c r="Q604" i="27"/>
  <c r="Q222" i="27"/>
  <c r="Q294" i="27"/>
  <c r="Q478" i="27"/>
  <c r="Q127" i="27"/>
  <c r="Q263" i="27"/>
  <c r="Q431" i="27"/>
  <c r="Q511" i="27"/>
  <c r="Q192" i="27"/>
  <c r="Q416" i="27"/>
  <c r="Q512" i="27"/>
  <c r="Q137" i="27"/>
  <c r="Q209" i="27"/>
  <c r="Q273" i="27"/>
  <c r="Q369" i="27"/>
  <c r="Q449" i="27"/>
  <c r="Q529" i="27"/>
  <c r="Q601" i="27"/>
  <c r="Q673" i="27"/>
  <c r="Q138" i="27"/>
  <c r="Q218" i="27"/>
  <c r="Q298" i="27"/>
  <c r="Q394" i="27"/>
  <c r="Q474" i="27"/>
  <c r="Q618" i="27"/>
  <c r="Q698" i="27"/>
  <c r="Q107" i="27"/>
  <c r="Q171" i="27"/>
  <c r="Q243" i="27"/>
  <c r="Q331" i="27"/>
  <c r="Q499" i="27"/>
  <c r="Q627" i="27"/>
  <c r="Q116" i="27"/>
  <c r="Q180" i="27"/>
  <c r="Q348" i="27"/>
  <c r="Q460" i="27"/>
  <c r="Q612" i="27"/>
  <c r="Q150" i="27"/>
  <c r="Q230" i="27"/>
  <c r="Q302" i="27"/>
  <c r="Q406" i="27"/>
  <c r="Q486" i="27"/>
  <c r="Q558" i="27"/>
  <c r="Q630" i="27"/>
  <c r="Q702" i="27"/>
  <c r="Q135" i="27"/>
  <c r="Q199" i="27"/>
  <c r="Q271" i="27"/>
  <c r="Q343" i="27"/>
  <c r="Q439" i="27"/>
  <c r="Q527" i="27"/>
  <c r="Q655" i="27"/>
  <c r="Q200" i="27"/>
  <c r="Q264" i="27"/>
  <c r="Q520" i="27"/>
  <c r="Q592" i="27"/>
  <c r="Q664" i="27"/>
  <c r="Q145" i="27"/>
  <c r="P705" i="27"/>
  <c r="P694" i="27"/>
  <c r="P682" i="27"/>
  <c r="P672" i="27"/>
  <c r="P661" i="27"/>
  <c r="P650" i="27"/>
  <c r="P639" i="27"/>
  <c r="P629" i="27"/>
  <c r="P619" i="27"/>
  <c r="P611" i="27"/>
  <c r="P601" i="27"/>
  <c r="P589" i="27"/>
  <c r="P578" i="27"/>
  <c r="P568" i="27"/>
  <c r="P557" i="27"/>
  <c r="P548" i="27"/>
  <c r="P539" i="27"/>
  <c r="P528" i="27"/>
  <c r="P517" i="27"/>
  <c r="P505" i="27"/>
  <c r="P497" i="27"/>
  <c r="P487" i="27"/>
  <c r="P479" i="27"/>
  <c r="P466" i="27"/>
  <c r="P455" i="27"/>
  <c r="P446" i="27"/>
  <c r="P438" i="27"/>
  <c r="P428" i="27"/>
  <c r="P416" i="27"/>
  <c r="P406" i="27"/>
  <c r="P398" i="27"/>
  <c r="P389" i="27"/>
  <c r="P377" i="27"/>
  <c r="P369" i="27"/>
  <c r="P360" i="27"/>
  <c r="P352" i="27"/>
  <c r="P342" i="27"/>
  <c r="P334" i="27"/>
  <c r="P325" i="27"/>
  <c r="P314" i="27"/>
  <c r="P306" i="27"/>
  <c r="P296" i="27"/>
  <c r="P287" i="27"/>
  <c r="P276" i="27"/>
  <c r="P267" i="27"/>
  <c r="P258" i="27"/>
  <c r="P248" i="27"/>
  <c r="P240" i="27"/>
  <c r="P231" i="27"/>
  <c r="P222" i="27"/>
  <c r="P209" i="27"/>
  <c r="P200" i="27"/>
  <c r="P191" i="27"/>
  <c r="P182" i="27"/>
  <c r="P171" i="27"/>
  <c r="P161" i="27"/>
  <c r="P153" i="27"/>
  <c r="P142" i="27"/>
  <c r="P134" i="27"/>
  <c r="P125" i="27"/>
  <c r="P115" i="27"/>
  <c r="P106" i="27"/>
  <c r="P700" i="27"/>
  <c r="P689" i="27"/>
  <c r="P679" i="27"/>
  <c r="P669" i="27"/>
  <c r="P656" i="27"/>
  <c r="P647" i="27"/>
  <c r="P636" i="27"/>
  <c r="P624" i="27"/>
  <c r="P616" i="27"/>
  <c r="P607" i="27"/>
  <c r="P597" i="27"/>
  <c r="P585" i="27"/>
  <c r="P573" i="27"/>
  <c r="P565" i="27"/>
  <c r="P553" i="27"/>
  <c r="P544" i="27"/>
  <c r="P534" i="27"/>
  <c r="P524" i="27"/>
  <c r="P514" i="27"/>
  <c r="P502" i="27"/>
  <c r="P493" i="27"/>
  <c r="P484" i="27"/>
  <c r="P476" i="27"/>
  <c r="P462" i="27"/>
  <c r="P451" i="27"/>
  <c r="P443" i="27"/>
  <c r="P435" i="27"/>
  <c r="P424" i="27"/>
  <c r="P413" i="27"/>
  <c r="P403" i="27"/>
  <c r="P395" i="27"/>
  <c r="P385" i="27"/>
  <c r="P374" i="27"/>
  <c r="P366" i="27"/>
  <c r="P357" i="27"/>
  <c r="P349" i="27"/>
  <c r="P339" i="27"/>
  <c r="P331" i="27"/>
  <c r="P321" i="27"/>
  <c r="P311" i="27"/>
  <c r="P302" i="27"/>
  <c r="P292" i="27"/>
  <c r="P282" i="27"/>
  <c r="P272" i="27"/>
  <c r="P264" i="27"/>
  <c r="P255" i="27"/>
  <c r="P245" i="27"/>
  <c r="P237" i="27"/>
  <c r="P227" i="27"/>
  <c r="P216" i="27"/>
  <c r="P206" i="27"/>
  <c r="P196" i="27"/>
  <c r="P188" i="27"/>
  <c r="P176" i="27"/>
  <c r="P168" i="27"/>
  <c r="P158" i="27"/>
  <c r="P148" i="27"/>
  <c r="P139" i="27"/>
  <c r="P130" i="27"/>
  <c r="P121" i="27"/>
  <c r="P112" i="27"/>
  <c r="P698" i="27"/>
  <c r="P690" i="27"/>
  <c r="P554" i="27"/>
  <c r="P604" i="27"/>
  <c r="P701" i="27"/>
  <c r="P685" i="27"/>
  <c r="P590" i="27"/>
  <c r="P576" i="27"/>
  <c r="P229" i="27"/>
  <c r="P562" i="27"/>
  <c r="P457" i="27"/>
  <c r="P596" i="27"/>
  <c r="P411" i="27"/>
  <c r="P582" i="27"/>
  <c r="P473" i="27"/>
  <c r="P520" i="27"/>
  <c r="P279" i="27"/>
  <c r="T602" i="27"/>
  <c r="T424" i="27"/>
  <c r="T210" i="27"/>
  <c r="T579" i="27"/>
  <c r="T418" i="27"/>
  <c r="T182" i="27"/>
  <c r="P704" i="27"/>
  <c r="P668" i="27"/>
  <c r="P664" i="27"/>
  <c r="T563" i="27"/>
  <c r="T392" i="27"/>
  <c r="T163" i="27"/>
  <c r="T102" i="27"/>
  <c r="T230" i="27"/>
  <c r="T512" i="27"/>
  <c r="T339" i="27"/>
  <c r="T458" i="27"/>
  <c r="T288" i="27"/>
  <c r="T440" i="27"/>
  <c r="T672" i="27"/>
  <c r="T684" i="27"/>
  <c r="T370" i="27"/>
  <c r="T147" i="27"/>
  <c r="T166" i="27"/>
  <c r="T594" i="27"/>
  <c r="T322" i="27"/>
  <c r="T627" i="27"/>
  <c r="Q652" i="27"/>
  <c r="Q621" i="27"/>
  <c r="Q459" i="27"/>
  <c r="Q448" i="27"/>
  <c r="Q458" i="27"/>
  <c r="Q268" i="27"/>
  <c r="Q384" i="27"/>
  <c r="Q358" i="27"/>
  <c r="Q129" i="27"/>
  <c r="Q117" i="27"/>
  <c r="Q325" i="27"/>
  <c r="Q413" i="27"/>
  <c r="Q501" i="27"/>
  <c r="Q653" i="27"/>
  <c r="P662" i="27"/>
  <c r="P674" i="27"/>
  <c r="P538" i="27"/>
  <c r="P588" i="27"/>
  <c r="P475" i="27"/>
  <c r="P683" i="27"/>
  <c r="P560" i="27"/>
  <c r="P632" i="27"/>
  <c r="P471" i="27"/>
  <c r="P304" i="27"/>
  <c r="P431" i="27"/>
  <c r="P631" i="27"/>
  <c r="P599" i="27"/>
  <c r="P535" i="27"/>
  <c r="P419" i="27"/>
  <c r="P273" i="27"/>
  <c r="P251" i="27"/>
  <c r="P496" i="27"/>
  <c r="P464" i="27"/>
  <c r="P384" i="27"/>
  <c r="P320" i="27"/>
  <c r="P285" i="27"/>
  <c r="P214" i="27"/>
  <c r="P164" i="27"/>
  <c r="P178" i="27"/>
  <c r="P123" i="27"/>
  <c r="P107" i="27"/>
  <c r="T524" i="27"/>
  <c r="T552" i="27"/>
  <c r="T656" i="27"/>
  <c r="T306" i="27"/>
  <c r="T642" i="27"/>
  <c r="T106" i="27"/>
  <c r="T675" i="27"/>
  <c r="T640" i="27"/>
  <c r="T582" i="27"/>
  <c r="T550" i="27"/>
  <c r="T492" i="27"/>
  <c r="T452" i="27"/>
  <c r="T403" i="27"/>
  <c r="T354" i="27"/>
  <c r="T304" i="27"/>
  <c r="T260" i="27"/>
  <c r="T208" i="27"/>
  <c r="T152" i="27"/>
  <c r="T115" i="27"/>
  <c r="T196" i="27"/>
  <c r="T508" i="27"/>
  <c r="T368" i="27"/>
  <c r="T674" i="27"/>
  <c r="T628" i="27"/>
  <c r="T580" i="27"/>
  <c r="T539" i="27"/>
  <c r="T483" i="27"/>
  <c r="T451" i="27"/>
  <c r="T402" i="27"/>
  <c r="T342" i="27"/>
  <c r="T290" i="27"/>
  <c r="T259" i="27"/>
  <c r="T194" i="27"/>
  <c r="T148" i="27"/>
  <c r="T104" i="27"/>
  <c r="T372" i="27"/>
  <c r="T612" i="27"/>
  <c r="T626" i="27"/>
  <c r="T540" i="27"/>
  <c r="T198" i="27"/>
  <c r="T406" i="27"/>
  <c r="T496" i="27"/>
  <c r="T688" i="27"/>
  <c r="T662" i="27"/>
  <c r="T570" i="27"/>
  <c r="T526" i="27"/>
  <c r="T438" i="27"/>
  <c r="T336" i="27"/>
  <c r="T286" i="27"/>
  <c r="T180" i="27"/>
  <c r="T132" i="27"/>
  <c r="T140" i="27"/>
  <c r="T220" i="27"/>
  <c r="T404" i="27"/>
  <c r="T660" i="27"/>
  <c r="T624" i="27"/>
  <c r="T454" i="27"/>
  <c r="T382" i="27"/>
  <c r="T390" i="27"/>
  <c r="T380" i="27"/>
  <c r="T419" i="27"/>
  <c r="T320" i="27"/>
  <c r="T338" i="27"/>
  <c r="T214" i="27"/>
  <c r="T236" i="27"/>
  <c r="T195" i="27"/>
  <c r="T222" i="27"/>
  <c r="T294" i="27"/>
  <c r="T422" i="27"/>
  <c r="T136" i="27"/>
  <c r="T256" i="27"/>
  <c r="T352" i="27"/>
  <c r="T568" i="27"/>
  <c r="P453" i="27"/>
  <c r="P421" i="27"/>
  <c r="P693" i="27"/>
  <c r="P677" i="27"/>
  <c r="P654" i="27"/>
  <c r="P526" i="27"/>
  <c r="P640" i="27"/>
  <c r="P507" i="27"/>
  <c r="P626" i="27"/>
  <c r="P509" i="27"/>
  <c r="P660" i="27"/>
  <c r="P646" i="27"/>
  <c r="P518" i="27"/>
  <c r="P286" i="27"/>
  <c r="P584" i="27"/>
  <c r="P467" i="27"/>
  <c r="P423" i="27"/>
  <c r="P343" i="27"/>
  <c r="P197" i="27"/>
  <c r="P293" i="27"/>
  <c r="P429" i="27"/>
  <c r="T702" i="27"/>
  <c r="T614" i="27"/>
  <c r="T480" i="27"/>
  <c r="T388" i="27"/>
  <c r="T243" i="27"/>
  <c r="T700" i="27"/>
  <c r="T658" i="27"/>
  <c r="T611" i="27"/>
  <c r="T564" i="27"/>
  <c r="T523" i="27"/>
  <c r="T470" i="27"/>
  <c r="T436" i="27"/>
  <c r="T387" i="27"/>
  <c r="T326" i="27"/>
  <c r="T276" i="27"/>
  <c r="T232" i="27"/>
  <c r="T178" i="27"/>
  <c r="T131" i="27"/>
  <c r="T228" i="27"/>
  <c r="T686" i="27"/>
  <c r="T643" i="27"/>
  <c r="T595" i="27"/>
  <c r="T554" i="27"/>
  <c r="T510" i="27"/>
  <c r="T467" i="27"/>
  <c r="T420" i="27"/>
  <c r="T356" i="27"/>
  <c r="T307" i="27"/>
  <c r="T274" i="27"/>
  <c r="T211" i="27"/>
  <c r="T164" i="27"/>
  <c r="T118" i="27"/>
  <c r="T244" i="27"/>
  <c r="T324" i="27"/>
  <c r="P387" i="27"/>
  <c r="P323" i="27"/>
  <c r="P657" i="27"/>
  <c r="P641" i="27"/>
  <c r="P625" i="27"/>
  <c r="P609" i="27"/>
  <c r="P593" i="27"/>
  <c r="P577" i="27"/>
  <c r="P561" i="27"/>
  <c r="P545" i="27"/>
  <c r="P529" i="27"/>
  <c r="P513" i="27"/>
  <c r="P381" i="27"/>
  <c r="P317" i="27"/>
  <c r="P183" i="27"/>
  <c r="P250" i="27"/>
  <c r="P215" i="27"/>
  <c r="P297" i="27"/>
  <c r="P234" i="27"/>
  <c r="P220" i="27"/>
  <c r="P506" i="27"/>
  <c r="P490" i="27"/>
  <c r="P474" i="27"/>
  <c r="P458" i="27"/>
  <c r="P426" i="27"/>
  <c r="P410" i="27"/>
  <c r="P394" i="27"/>
  <c r="P378" i="27"/>
  <c r="P362" i="27"/>
  <c r="P346" i="27"/>
  <c r="P330" i="27"/>
  <c r="P262" i="27"/>
  <c r="P181" i="27"/>
  <c r="P177" i="27"/>
  <c r="P201" i="27"/>
  <c r="P219" i="27"/>
  <c r="P144" i="27"/>
  <c r="P221" i="27"/>
  <c r="P152" i="27"/>
  <c r="P165" i="27"/>
  <c r="P149" i="27"/>
  <c r="P133" i="27"/>
  <c r="P117" i="27"/>
  <c r="P101" i="27"/>
  <c r="C129" i="22"/>
  <c r="C130" i="22" s="1"/>
  <c r="T168" i="27"/>
  <c r="T416" i="27"/>
  <c r="T704" i="27"/>
  <c r="T300" i="27"/>
  <c r="T636" i="27"/>
  <c r="T154" i="27"/>
  <c r="T226" i="27"/>
  <c r="T314" i="27"/>
  <c r="T450" i="27"/>
  <c r="T538" i="27"/>
  <c r="T650" i="27"/>
  <c r="T107" i="27"/>
  <c r="T179" i="27"/>
  <c r="T340" i="27"/>
  <c r="T224" i="27"/>
  <c r="Q351" i="27"/>
  <c r="Q447" i="27"/>
  <c r="Q551" i="27"/>
  <c r="Q103" i="27"/>
  <c r="Q663" i="27"/>
  <c r="Q144" i="27"/>
  <c r="Q208" i="27"/>
  <c r="Q272" i="27"/>
  <c r="Q344" i="27"/>
  <c r="Q432" i="27"/>
  <c r="Q528" i="27"/>
  <c r="Q600" i="27"/>
  <c r="Q672" i="27"/>
  <c r="T426" i="27"/>
  <c r="T690" i="27"/>
  <c r="T139" i="27"/>
  <c r="T323" i="27"/>
  <c r="T427" i="27"/>
  <c r="T515" i="27"/>
  <c r="T587" i="27"/>
  <c r="T659" i="27"/>
  <c r="Q694" i="27"/>
  <c r="Q693" i="27"/>
  <c r="Q480" i="27"/>
  <c r="Q519" i="27"/>
  <c r="Q660" i="27"/>
  <c r="Q591" i="27"/>
  <c r="Q304" i="27"/>
  <c r="Q453" i="27"/>
  <c r="Q355" i="27"/>
  <c r="Q357" i="27"/>
  <c r="Q308" i="27"/>
  <c r="Q378" i="27"/>
  <c r="Q334" i="27"/>
  <c r="Q212" i="27"/>
  <c r="T270" i="27"/>
  <c r="T494" i="27"/>
  <c r="T566" i="27"/>
  <c r="T646" i="27"/>
  <c r="Q141" i="27"/>
  <c r="Q221" i="27"/>
  <c r="Q285" i="27"/>
  <c r="Q349" i="27"/>
  <c r="Q437" i="27"/>
  <c r="Q525" i="27"/>
  <c r="Q605" i="27"/>
  <c r="Q677" i="27"/>
  <c r="T638" i="27"/>
  <c r="T578" i="27"/>
  <c r="T491" i="27"/>
  <c r="T414" i="27"/>
  <c r="T334" i="27"/>
  <c r="T272" i="27"/>
  <c r="T176" i="27"/>
  <c r="T683" i="27"/>
  <c r="T522" i="27"/>
  <c r="T364" i="27"/>
  <c r="T242" i="27"/>
  <c r="T128" i="27"/>
  <c r="T696" i="27"/>
  <c r="T682" i="27"/>
  <c r="T668" i="27"/>
  <c r="T652" i="27"/>
  <c r="T635" i="27"/>
  <c r="T620" i="27"/>
  <c r="T608" i="27"/>
  <c r="T590" i="27"/>
  <c r="T576" i="27"/>
  <c r="T560" i="27"/>
  <c r="T547" i="27"/>
  <c r="T532" i="27"/>
  <c r="T520" i="27"/>
  <c r="T506" i="27"/>
  <c r="T490" i="27"/>
  <c r="T476" i="27"/>
  <c r="T464" i="27"/>
  <c r="T446" i="27"/>
  <c r="T434" i="27"/>
  <c r="T412" i="27"/>
  <c r="T398" i="27"/>
  <c r="T384" i="27"/>
  <c r="T363" i="27"/>
  <c r="T348" i="27"/>
  <c r="T332" i="27"/>
  <c r="T316" i="27"/>
  <c r="T299" i="27"/>
  <c r="T283" i="27"/>
  <c r="T268" i="27"/>
  <c r="T252" i="27"/>
  <c r="T240" i="27"/>
  <c r="T219" i="27"/>
  <c r="T204" i="27"/>
  <c r="T190" i="27"/>
  <c r="T174" i="27"/>
  <c r="T160" i="27"/>
  <c r="T144" i="27"/>
  <c r="T124" i="27"/>
  <c r="T112" i="27"/>
  <c r="T292" i="27"/>
  <c r="T188" i="27"/>
  <c r="T500" i="27"/>
  <c r="T596" i="27"/>
  <c r="T379" i="27"/>
  <c r="T598" i="27"/>
  <c r="T600" i="27"/>
  <c r="T456" i="27"/>
  <c r="T371" i="27"/>
  <c r="T308" i="27"/>
  <c r="T126" i="27"/>
  <c r="T254" i="27"/>
  <c r="T366" i="27"/>
  <c r="T654" i="27"/>
  <c r="T592" i="27"/>
  <c r="T534" i="27"/>
  <c r="T478" i="27"/>
  <c r="T435" i="27"/>
  <c r="T350" i="27"/>
  <c r="T284" i="27"/>
  <c r="T206" i="27"/>
  <c r="T162" i="27"/>
  <c r="T694" i="27"/>
  <c r="T680" i="27"/>
  <c r="T667" i="27"/>
  <c r="T651" i="27"/>
  <c r="T634" i="27"/>
  <c r="T619" i="27"/>
  <c r="T606" i="27"/>
  <c r="T588" i="27"/>
  <c r="T574" i="27"/>
  <c r="T558" i="27"/>
  <c r="T546" i="27"/>
  <c r="T531" i="27"/>
  <c r="T518" i="27"/>
  <c r="T504" i="27"/>
  <c r="T488" i="27"/>
  <c r="T475" i="27"/>
  <c r="T462" i="27"/>
  <c r="T444" i="27"/>
  <c r="T432" i="27"/>
  <c r="T411" i="27"/>
  <c r="T396" i="27"/>
  <c r="T378" i="27"/>
  <c r="T362" i="27"/>
  <c r="T347" i="27"/>
  <c r="T331" i="27"/>
  <c r="T315" i="27"/>
  <c r="T298" i="27"/>
  <c r="T282" i="27"/>
  <c r="T267" i="27"/>
  <c r="T251" i="27"/>
  <c r="T238" i="27"/>
  <c r="T218" i="27"/>
  <c r="T203" i="27"/>
  <c r="T187" i="27"/>
  <c r="T172" i="27"/>
  <c r="T158" i="27"/>
  <c r="T142" i="27"/>
  <c r="T123" i="27"/>
  <c r="T110" i="27"/>
  <c r="T670" i="27"/>
  <c r="T610" i="27"/>
  <c r="T562" i="27"/>
  <c r="T507" i="27"/>
  <c r="T448" i="27"/>
  <c r="T386" i="27"/>
  <c r="T302" i="27"/>
  <c r="T227" i="27"/>
  <c r="T146" i="27"/>
  <c r="T692" i="27"/>
  <c r="T678" i="27"/>
  <c r="T666" i="27"/>
  <c r="T648" i="27"/>
  <c r="T632" i="27"/>
  <c r="T618" i="27"/>
  <c r="T604" i="27"/>
  <c r="T586" i="27"/>
  <c r="T572" i="27"/>
  <c r="T556" i="27"/>
  <c r="T544" i="27"/>
  <c r="T530" i="27"/>
  <c r="T516" i="27"/>
  <c r="T502" i="27"/>
  <c r="T486" i="27"/>
  <c r="T474" i="27"/>
  <c r="T460" i="27"/>
  <c r="T443" i="27"/>
  <c r="T430" i="27"/>
  <c r="T410" i="27"/>
  <c r="T395" i="27"/>
  <c r="T376" i="27"/>
  <c r="T360" i="27"/>
  <c r="T346" i="27"/>
  <c r="T330" i="27"/>
  <c r="T312" i="27"/>
  <c r="T296" i="27"/>
  <c r="T280" i="27"/>
  <c r="T266" i="27"/>
  <c r="T250" i="27"/>
  <c r="T235" i="27"/>
  <c r="T216" i="27"/>
  <c r="T202" i="27"/>
  <c r="T186" i="27"/>
  <c r="T171" i="27"/>
  <c r="T156" i="27"/>
  <c r="T138" i="27"/>
  <c r="T122" i="27"/>
  <c r="T108" i="27"/>
  <c r="T698" i="27"/>
  <c r="T622" i="27"/>
  <c r="T548" i="27"/>
  <c r="T466" i="27"/>
  <c r="T400" i="27"/>
  <c r="T318" i="27"/>
  <c r="T258" i="27"/>
  <c r="T192" i="27"/>
  <c r="T114" i="27"/>
  <c r="T706" i="27"/>
  <c r="T691" i="27"/>
  <c r="T676" i="27"/>
  <c r="T664" i="27"/>
  <c r="T644" i="27"/>
  <c r="T630" i="27"/>
  <c r="T616" i="27"/>
  <c r="T603" i="27"/>
  <c r="T584" i="27"/>
  <c r="T571" i="27"/>
  <c r="T555" i="27"/>
  <c r="T542" i="27"/>
  <c r="T528" i="27"/>
  <c r="T514" i="27"/>
  <c r="T499" i="27"/>
  <c r="T484" i="27"/>
  <c r="T472" i="27"/>
  <c r="T459" i="27"/>
  <c r="T442" i="27"/>
  <c r="T428" i="27"/>
  <c r="T408" i="27"/>
  <c r="T394" i="27"/>
  <c r="T374" i="27"/>
  <c r="T358" i="27"/>
  <c r="T344" i="27"/>
  <c r="T328" i="27"/>
  <c r="T310" i="27"/>
  <c r="T291" i="27"/>
  <c r="T278" i="27"/>
  <c r="T264" i="27"/>
  <c r="T248" i="27"/>
  <c r="T234" i="27"/>
  <c r="T212" i="27"/>
  <c r="T200" i="27"/>
  <c r="T184" i="27"/>
  <c r="T170" i="27"/>
  <c r="T155" i="27"/>
  <c r="T134" i="27"/>
  <c r="T120" i="27"/>
  <c r="H21" i="4"/>
  <c r="Q9" i="27"/>
  <c r="Q8" i="27"/>
  <c r="Q4" i="27"/>
  <c r="Q21" i="27"/>
  <c r="Q29" i="27"/>
  <c r="Q37" i="27"/>
  <c r="Q45" i="27"/>
  <c r="Q53" i="27"/>
  <c r="Q61" i="27"/>
  <c r="Q69" i="27"/>
  <c r="Q77" i="27"/>
  <c r="Q85" i="27"/>
  <c r="Q93" i="27"/>
  <c r="Q25" i="27"/>
  <c r="Q30" i="27"/>
  <c r="Q41" i="27"/>
  <c r="Q46" i="27"/>
  <c r="Q57" i="27"/>
  <c r="Q62" i="27"/>
  <c r="Q73" i="27"/>
  <c r="Q78" i="27"/>
  <c r="Q89" i="27"/>
  <c r="Q94" i="27"/>
  <c r="Q18" i="27"/>
  <c r="Q34" i="27"/>
  <c r="Q50" i="27"/>
  <c r="Q56" i="27"/>
  <c r="Q72" i="27"/>
  <c r="Q98" i="27"/>
  <c r="Q6" i="27"/>
  <c r="Q19" i="27"/>
  <c r="Q35" i="27"/>
  <c r="Q51" i="27"/>
  <c r="Q67" i="27"/>
  <c r="Q83" i="27"/>
  <c r="Q99" i="27"/>
  <c r="Q12" i="27"/>
  <c r="Q24" i="27"/>
  <c r="Q40" i="27"/>
  <c r="Q66" i="27"/>
  <c r="Q82" i="27"/>
  <c r="Q88" i="27"/>
  <c r="Q5" i="27"/>
  <c r="Q11" i="27"/>
  <c r="Q23" i="27"/>
  <c r="Q28" i="27"/>
  <c r="Q39" i="27"/>
  <c r="Q44" i="27"/>
  <c r="Q55" i="27"/>
  <c r="Q60" i="27"/>
  <c r="Q71" i="27"/>
  <c r="Q76" i="27"/>
  <c r="Q87" i="27"/>
  <c r="Q92" i="27"/>
  <c r="Q10" i="27"/>
  <c r="Q17" i="27"/>
  <c r="Q22" i="27"/>
  <c r="Q33" i="27"/>
  <c r="Q38" i="27"/>
  <c r="Q49" i="27"/>
  <c r="Q54" i="27"/>
  <c r="Q65" i="27"/>
  <c r="Q70" i="27"/>
  <c r="Q81" i="27"/>
  <c r="Q86" i="27"/>
  <c r="Q97" i="27"/>
  <c r="Q16" i="27"/>
  <c r="Q26" i="27"/>
  <c r="Q32" i="27"/>
  <c r="Q42" i="27"/>
  <c r="Q64" i="27"/>
  <c r="Q96" i="27"/>
  <c r="Q27" i="27"/>
  <c r="Q43" i="27"/>
  <c r="Q59" i="27"/>
  <c r="Q75" i="27"/>
  <c r="Q91" i="27"/>
  <c r="Q48" i="27"/>
  <c r="Q58" i="27"/>
  <c r="Q74" i="27"/>
  <c r="Q80" i="27"/>
  <c r="Q90" i="27"/>
  <c r="Q7" i="27"/>
  <c r="Q13" i="27"/>
  <c r="Q14" i="27"/>
  <c r="Q15" i="27"/>
  <c r="Q20" i="27"/>
  <c r="Q31" i="27"/>
  <c r="Q36" i="27"/>
  <c r="Q47" i="27"/>
  <c r="Q52" i="27"/>
  <c r="Q63" i="27"/>
  <c r="Q68" i="27"/>
  <c r="Q79" i="27"/>
  <c r="Q84" i="27"/>
  <c r="Q95" i="27"/>
  <c r="Q100" i="27"/>
  <c r="T4" i="27"/>
  <c r="T7" i="27"/>
  <c r="T12" i="27"/>
  <c r="T14" i="27"/>
  <c r="T16" i="27"/>
  <c r="T24" i="27"/>
  <c r="T32" i="27"/>
  <c r="T40" i="27"/>
  <c r="T48" i="27"/>
  <c r="T56" i="27"/>
  <c r="T64" i="27"/>
  <c r="T72" i="27"/>
  <c r="T80" i="27"/>
  <c r="T88" i="27"/>
  <c r="T96" i="27"/>
  <c r="T21" i="27"/>
  <c r="T27" i="27"/>
  <c r="T37" i="27"/>
  <c r="T43" i="27"/>
  <c r="T53" i="27"/>
  <c r="T59" i="27"/>
  <c r="T69" i="27"/>
  <c r="T75" i="27"/>
  <c r="T85" i="27"/>
  <c r="T91" i="27"/>
  <c r="T36" i="27"/>
  <c r="T52" i="27"/>
  <c r="T68" i="27"/>
  <c r="T79" i="27"/>
  <c r="T84" i="27"/>
  <c r="T95" i="27"/>
  <c r="T100" i="27"/>
  <c r="T26" i="27"/>
  <c r="T42" i="27"/>
  <c r="T58" i="27"/>
  <c r="T74" i="27"/>
  <c r="T90" i="27"/>
  <c r="T13" i="27"/>
  <c r="T15" i="27"/>
  <c r="T20" i="27"/>
  <c r="T31" i="27"/>
  <c r="T47" i="27"/>
  <c r="T63" i="27"/>
  <c r="T9" i="27"/>
  <c r="T25" i="27"/>
  <c r="T30" i="27"/>
  <c r="T41" i="27"/>
  <c r="T46" i="27"/>
  <c r="T57" i="27"/>
  <c r="T62" i="27"/>
  <c r="T73" i="27"/>
  <c r="T78" i="27"/>
  <c r="T89" i="27"/>
  <c r="T94" i="27"/>
  <c r="T6" i="27"/>
  <c r="T19" i="27"/>
  <c r="T29" i="27"/>
  <c r="T35" i="27"/>
  <c r="T45" i="27"/>
  <c r="T51" i="27"/>
  <c r="T61" i="27"/>
  <c r="T67" i="27"/>
  <c r="T77" i="27"/>
  <c r="T83" i="27"/>
  <c r="T93" i="27"/>
  <c r="T99" i="27"/>
  <c r="T5" i="27"/>
  <c r="T44" i="27"/>
  <c r="T60" i="27"/>
  <c r="T71" i="27"/>
  <c r="T76" i="27"/>
  <c r="T92" i="27"/>
  <c r="T18" i="27"/>
  <c r="T34" i="27"/>
  <c r="T50" i="27"/>
  <c r="T66" i="27"/>
  <c r="T82" i="27"/>
  <c r="T98" i="27"/>
  <c r="T8" i="27"/>
  <c r="T11" i="27"/>
  <c r="T23" i="27"/>
  <c r="T28" i="27"/>
  <c r="T39" i="27"/>
  <c r="T55" i="27"/>
  <c r="T87" i="27"/>
  <c r="T10" i="27"/>
  <c r="T17" i="27"/>
  <c r="T22" i="27"/>
  <c r="T33" i="27"/>
  <c r="T38" i="27"/>
  <c r="T49" i="27"/>
  <c r="T54" i="27"/>
  <c r="T65" i="27"/>
  <c r="T70" i="27"/>
  <c r="T81" i="27"/>
  <c r="T86" i="27"/>
  <c r="T97" i="27"/>
  <c r="P8" i="27"/>
  <c r="P7" i="27"/>
  <c r="P20" i="27"/>
  <c r="P28" i="27"/>
  <c r="P36" i="27"/>
  <c r="P44" i="27"/>
  <c r="P52" i="27"/>
  <c r="P60" i="27"/>
  <c r="P68" i="27"/>
  <c r="P76" i="27"/>
  <c r="P84" i="27"/>
  <c r="P92" i="27"/>
  <c r="P100" i="27"/>
  <c r="P6" i="27"/>
  <c r="P9" i="27"/>
  <c r="P19" i="27"/>
  <c r="P35" i="27"/>
  <c r="P51" i="27"/>
  <c r="P67" i="27"/>
  <c r="P83" i="27"/>
  <c r="P99" i="27"/>
  <c r="P23" i="27"/>
  <c r="P12" i="27"/>
  <c r="P18" i="27"/>
  <c r="P24" i="27"/>
  <c r="P29" i="27"/>
  <c r="P34" i="27"/>
  <c r="P40" i="27"/>
  <c r="P45" i="27"/>
  <c r="P50" i="27"/>
  <c r="P56" i="27"/>
  <c r="P61" i="27"/>
  <c r="P66" i="27"/>
  <c r="P72" i="27"/>
  <c r="P77" i="27"/>
  <c r="P82" i="27"/>
  <c r="P88" i="27"/>
  <c r="P93" i="27"/>
  <c r="P98" i="27"/>
  <c r="P5" i="27"/>
  <c r="P11" i="27"/>
  <c r="P39" i="27"/>
  <c r="P55" i="27"/>
  <c r="P71" i="27"/>
  <c r="P87" i="27"/>
  <c r="P10" i="27"/>
  <c r="P17" i="27"/>
  <c r="P22" i="27"/>
  <c r="P33" i="27"/>
  <c r="P38" i="27"/>
  <c r="P49" i="27"/>
  <c r="P54" i="27"/>
  <c r="P65" i="27"/>
  <c r="P70" i="27"/>
  <c r="P81" i="27"/>
  <c r="P86" i="27"/>
  <c r="P97" i="27"/>
  <c r="P27" i="27"/>
  <c r="P43" i="27"/>
  <c r="P59" i="27"/>
  <c r="P75" i="27"/>
  <c r="P91" i="27"/>
  <c r="P13" i="27"/>
  <c r="P14" i="27"/>
  <c r="P15" i="27"/>
  <c r="P31" i="27"/>
  <c r="P79" i="27"/>
  <c r="P95" i="27"/>
  <c r="P16" i="27"/>
  <c r="P21" i="27"/>
  <c r="P26" i="27"/>
  <c r="P32" i="27"/>
  <c r="P37" i="27"/>
  <c r="P42" i="27"/>
  <c r="P48" i="27"/>
  <c r="P53" i="27"/>
  <c r="P58" i="27"/>
  <c r="P64" i="27"/>
  <c r="P69" i="27"/>
  <c r="P74" i="27"/>
  <c r="P80" i="27"/>
  <c r="P85" i="27"/>
  <c r="P90" i="27"/>
  <c r="P96" i="27"/>
  <c r="P4" i="27"/>
  <c r="P47" i="27"/>
  <c r="P63" i="27"/>
  <c r="P25" i="27"/>
  <c r="P30" i="27"/>
  <c r="P41" i="27"/>
  <c r="P46" i="27"/>
  <c r="P57" i="27"/>
  <c r="P62" i="27"/>
  <c r="P73" i="27"/>
  <c r="P78" i="27"/>
  <c r="P89" i="27"/>
  <c r="P94" i="27"/>
  <c r="T705" i="27"/>
  <c r="T697" i="27"/>
  <c r="T689" i="27"/>
  <c r="T681" i="27"/>
  <c r="T673" i="27"/>
  <c r="T665" i="27"/>
  <c r="T657" i="27"/>
  <c r="T649" i="27"/>
  <c r="T641" i="27"/>
  <c r="T633" i="27"/>
  <c r="T625" i="27"/>
  <c r="T617" i="27"/>
  <c r="T609" i="27"/>
  <c r="T601" i="27"/>
  <c r="T593" i="27"/>
  <c r="T585" i="27"/>
  <c r="T577" i="27"/>
  <c r="T569" i="27"/>
  <c r="T561" i="27"/>
  <c r="T553" i="27"/>
  <c r="T545" i="27"/>
  <c r="T537" i="27"/>
  <c r="T529" i="27"/>
  <c r="T521" i="27"/>
  <c r="T513" i="27"/>
  <c r="T505" i="27"/>
  <c r="T497" i="27"/>
  <c r="T489" i="27"/>
  <c r="T481" i="27"/>
  <c r="T473" i="27"/>
  <c r="T465" i="27"/>
  <c r="T457" i="27"/>
  <c r="T449" i="27"/>
  <c r="T441" i="27"/>
  <c r="T433" i="27"/>
  <c r="T425" i="27"/>
  <c r="T417" i="27"/>
  <c r="T409" i="27"/>
  <c r="T401" i="27"/>
  <c r="T393" i="27"/>
  <c r="T385" i="27"/>
  <c r="T377" i="27"/>
  <c r="T369" i="27"/>
  <c r="T361" i="27"/>
  <c r="T353" i="27"/>
  <c r="T345" i="27"/>
  <c r="T337" i="27"/>
  <c r="T329" i="27"/>
  <c r="T321" i="27"/>
  <c r="T313" i="27"/>
  <c r="T305" i="27"/>
  <c r="T297" i="27"/>
  <c r="T289" i="27"/>
  <c r="T281" i="27"/>
  <c r="T273" i="27"/>
  <c r="T265" i="27"/>
  <c r="T257" i="27"/>
  <c r="T249" i="27"/>
  <c r="T241" i="27"/>
  <c r="T233" i="27"/>
  <c r="T225" i="27"/>
  <c r="T217" i="27"/>
  <c r="T209" i="27"/>
  <c r="T201" i="27"/>
  <c r="T193" i="27"/>
  <c r="T185" i="27"/>
  <c r="T177" i="27"/>
  <c r="T169" i="27"/>
  <c r="T161" i="27"/>
  <c r="T153" i="27"/>
  <c r="T145" i="27"/>
  <c r="T137" i="27"/>
  <c r="T129" i="27"/>
  <c r="T121" i="27"/>
  <c r="T113" i="27"/>
  <c r="T105" i="27"/>
  <c r="T703" i="27"/>
  <c r="T695" i="27"/>
  <c r="T687" i="27"/>
  <c r="T679" i="27"/>
  <c r="T671" i="27"/>
  <c r="T663" i="27"/>
  <c r="T655" i="27"/>
  <c r="T647" i="27"/>
  <c r="T639" i="27"/>
  <c r="T631" i="27"/>
  <c r="T623" i="27"/>
  <c r="T615" i="27"/>
  <c r="T607" i="27"/>
  <c r="T599" i="27"/>
  <c r="T591" i="27"/>
  <c r="T583" i="27"/>
  <c r="T575" i="27"/>
  <c r="T567" i="27"/>
  <c r="T559" i="27"/>
  <c r="T551" i="27"/>
  <c r="T543" i="27"/>
  <c r="T535" i="27"/>
  <c r="T527" i="27"/>
  <c r="T519" i="27"/>
  <c r="T511" i="27"/>
  <c r="T503" i="27"/>
  <c r="T495" i="27"/>
  <c r="T487" i="27"/>
  <c r="T479" i="27"/>
  <c r="T471" i="27"/>
  <c r="T463" i="27"/>
  <c r="T455" i="27"/>
  <c r="T447" i="27"/>
  <c r="T439" i="27"/>
  <c r="T431" i="27"/>
  <c r="T423" i="27"/>
  <c r="T415" i="27"/>
  <c r="T407" i="27"/>
  <c r="T399" i="27"/>
  <c r="T391" i="27"/>
  <c r="T383" i="27"/>
  <c r="T375" i="27"/>
  <c r="T367" i="27"/>
  <c r="T359" i="27"/>
  <c r="T351" i="27"/>
  <c r="T343" i="27"/>
  <c r="T335" i="27"/>
  <c r="T327" i="27"/>
  <c r="T319" i="27"/>
  <c r="T311" i="27"/>
  <c r="T303" i="27"/>
  <c r="T295" i="27"/>
  <c r="T287" i="27"/>
  <c r="T279" i="27"/>
  <c r="T271" i="27"/>
  <c r="T263" i="27"/>
  <c r="T255" i="27"/>
  <c r="T247" i="27"/>
  <c r="T239" i="27"/>
  <c r="T231" i="27"/>
  <c r="T223" i="27"/>
  <c r="T215" i="27"/>
  <c r="T207" i="27"/>
  <c r="T199" i="27"/>
  <c r="T191" i="27"/>
  <c r="T183" i="27"/>
  <c r="T175" i="27"/>
  <c r="T167" i="27"/>
  <c r="T159" i="27"/>
  <c r="T151" i="27"/>
  <c r="T143" i="27"/>
  <c r="T135" i="27"/>
  <c r="T127" i="27"/>
  <c r="T119" i="27"/>
  <c r="T111" i="27"/>
  <c r="T103" i="27"/>
  <c r="T701" i="27"/>
  <c r="T693" i="27"/>
  <c r="T685" i="27"/>
  <c r="T677" i="27"/>
  <c r="T669" i="27"/>
  <c r="T661" i="27"/>
  <c r="T653" i="27"/>
  <c r="T645" i="27"/>
  <c r="T637" i="27"/>
  <c r="T629" i="27"/>
  <c r="T621" i="27"/>
  <c r="T613" i="27"/>
  <c r="T605" i="27"/>
  <c r="T597" i="27"/>
  <c r="T589" i="27"/>
  <c r="T581" i="27"/>
  <c r="T573" i="27"/>
  <c r="T565" i="27"/>
  <c r="T557" i="27"/>
  <c r="T549" i="27"/>
  <c r="T541" i="27"/>
  <c r="T533" i="27"/>
  <c r="T525" i="27"/>
  <c r="T517" i="27"/>
  <c r="T509" i="27"/>
  <c r="T501" i="27"/>
  <c r="T493" i="27"/>
  <c r="T485" i="27"/>
  <c r="T477" i="27"/>
  <c r="T469" i="27"/>
  <c r="T461" i="27"/>
  <c r="T453" i="27"/>
  <c r="T445" i="27"/>
  <c r="T437" i="27"/>
  <c r="T429" i="27"/>
  <c r="T421" i="27"/>
  <c r="T413" i="27"/>
  <c r="T405" i="27"/>
  <c r="T397" i="27"/>
  <c r="T389" i="27"/>
  <c r="T381" i="27"/>
  <c r="T373" i="27"/>
  <c r="T365" i="27"/>
  <c r="T357" i="27"/>
  <c r="T349" i="27"/>
  <c r="T341" i="27"/>
  <c r="T333" i="27"/>
  <c r="T325" i="27"/>
  <c r="T317" i="27"/>
  <c r="T309" i="27"/>
  <c r="T301" i="27"/>
  <c r="T293" i="27"/>
  <c r="T285" i="27"/>
  <c r="T277" i="27"/>
  <c r="T269" i="27"/>
  <c r="T261" i="27"/>
  <c r="T253" i="27"/>
  <c r="T245" i="27"/>
  <c r="T237" i="27"/>
  <c r="T229" i="27"/>
  <c r="T221" i="27"/>
  <c r="T213" i="27"/>
  <c r="T205" i="27"/>
  <c r="T197" i="27"/>
  <c r="T189" i="27"/>
  <c r="T181" i="27"/>
  <c r="T173" i="27"/>
  <c r="T165" i="27"/>
  <c r="T157" i="27"/>
  <c r="T149" i="27"/>
  <c r="T141" i="27"/>
  <c r="T133" i="27"/>
  <c r="T125" i="27"/>
  <c r="T117" i="27"/>
  <c r="T109" i="27"/>
  <c r="T101" i="27"/>
  <c r="D112" i="22"/>
  <c r="D118" i="22"/>
  <c r="H77" i="22"/>
  <c r="D78" i="22"/>
  <c r="E44" i="22"/>
  <c r="I6" i="4" s="1"/>
  <c r="D6" i="4"/>
  <c r="E6" i="4"/>
  <c r="F6" i="4"/>
  <c r="G5" i="4" s="1"/>
  <c r="G24" i="4"/>
  <c r="G23" i="4"/>
  <c r="G40" i="4" s="1"/>
  <c r="C60" i="17"/>
  <c r="D60" i="17"/>
  <c r="E60" i="17"/>
  <c r="F60" i="17"/>
  <c r="G60" i="17"/>
  <c r="H60" i="17"/>
  <c r="I60" i="17"/>
  <c r="J60" i="17"/>
  <c r="K60" i="17"/>
  <c r="L60" i="17"/>
  <c r="B60" i="17"/>
  <c r="F67" i="17"/>
  <c r="G67" i="17"/>
  <c r="H67" i="17"/>
  <c r="I67" i="17"/>
  <c r="J67" i="17"/>
  <c r="K67" i="17"/>
  <c r="L67" i="17"/>
  <c r="E47" i="17"/>
  <c r="F47" i="17"/>
  <c r="G47" i="17"/>
  <c r="H47" i="17"/>
  <c r="I47" i="17"/>
  <c r="J47" i="17"/>
  <c r="K47" i="17"/>
  <c r="L47" i="17"/>
  <c r="D47" i="17"/>
  <c r="E32" i="17"/>
  <c r="F32" i="17"/>
  <c r="G32" i="17"/>
  <c r="H32" i="17"/>
  <c r="I32" i="17"/>
  <c r="J32" i="17"/>
  <c r="K32" i="17"/>
  <c r="L32" i="17"/>
  <c r="D32" i="17"/>
  <c r="F21" i="1"/>
  <c r="F22" i="1"/>
  <c r="H36" i="10"/>
  <c r="D36" i="10"/>
  <c r="E36" i="10"/>
  <c r="F36" i="10"/>
  <c r="G36" i="10"/>
  <c r="E37" i="10"/>
  <c r="F37" i="10"/>
  <c r="G37" i="10"/>
  <c r="H37" i="10"/>
  <c r="C137" i="22" l="1"/>
  <c r="G9" i="4"/>
  <c r="E112" i="22"/>
  <c r="E118" i="22"/>
  <c r="D127" i="22"/>
  <c r="D122" i="22"/>
  <c r="E78" i="22"/>
  <c r="F44" i="22"/>
  <c r="J6" i="4" s="1"/>
  <c r="I77" i="22"/>
  <c r="B14" i="17"/>
  <c r="B77" i="17"/>
  <c r="B75" i="17"/>
  <c r="B67" i="17"/>
  <c r="B63" i="17"/>
  <c r="B56" i="17"/>
  <c r="B47" i="17"/>
  <c r="B50" i="17" s="1"/>
  <c r="B46" i="17"/>
  <c r="B32" i="17"/>
  <c r="B36" i="17" s="1"/>
  <c r="B31" i="17"/>
  <c r="B23" i="17"/>
  <c r="B37" i="17" l="1"/>
  <c r="G41" i="4"/>
  <c r="F112" i="22"/>
  <c r="F118" i="22"/>
  <c r="D129" i="22"/>
  <c r="D130" i="22" s="1"/>
  <c r="E127" i="22"/>
  <c r="E122" i="22"/>
  <c r="J77" i="22"/>
  <c r="G44" i="22"/>
  <c r="K6" i="4" s="1"/>
  <c r="F78" i="22"/>
  <c r="G112" i="22" l="1"/>
  <c r="G118" i="22"/>
  <c r="E129" i="22"/>
  <c r="E130" i="22" s="1"/>
  <c r="F127" i="22"/>
  <c r="F122" i="22"/>
  <c r="H44" i="22"/>
  <c r="L6" i="4" s="1"/>
  <c r="G78" i="22"/>
  <c r="K77" i="22"/>
  <c r="H112" i="22" l="1"/>
  <c r="H118" i="22"/>
  <c r="F129" i="22"/>
  <c r="F130" i="22" s="1"/>
  <c r="G122" i="22"/>
  <c r="G127" i="22"/>
  <c r="L77" i="22"/>
  <c r="I44" i="22"/>
  <c r="M6" i="4" s="1"/>
  <c r="H78" i="22"/>
  <c r="H52" i="10"/>
  <c r="G52" i="10"/>
  <c r="F52" i="10"/>
  <c r="D52" i="10"/>
  <c r="E10" i="22"/>
  <c r="F10" i="22"/>
  <c r="G10" i="22"/>
  <c r="G9" i="22"/>
  <c r="F9" i="22"/>
  <c r="E9" i="22"/>
  <c r="D10" i="22"/>
  <c r="D9" i="22"/>
  <c r="C10" i="22"/>
  <c r="C9" i="22"/>
  <c r="G129" i="22" l="1"/>
  <c r="G130" i="22" s="1"/>
  <c r="I112" i="22"/>
  <c r="I118" i="22"/>
  <c r="H127" i="22"/>
  <c r="H122" i="22"/>
  <c r="J44" i="22"/>
  <c r="N6" i="4" s="1"/>
  <c r="I78" i="22"/>
  <c r="M77" i="22"/>
  <c r="I25" i="22"/>
  <c r="I24" i="22"/>
  <c r="I23" i="22"/>
  <c r="L23" i="22" s="1"/>
  <c r="E59" i="4" s="1"/>
  <c r="I22" i="22"/>
  <c r="I21" i="22"/>
  <c r="I10" i="22"/>
  <c r="I9" i="22"/>
  <c r="D8" i="22"/>
  <c r="C49" i="10"/>
  <c r="J112" i="22" l="1"/>
  <c r="J118" i="22"/>
  <c r="H129" i="22"/>
  <c r="H130" i="22" s="1"/>
  <c r="I127" i="22"/>
  <c r="I122" i="22"/>
  <c r="N77" i="22"/>
  <c r="K44" i="22"/>
  <c r="O6" i="4" s="1"/>
  <c r="J78" i="22"/>
  <c r="I49" i="10"/>
  <c r="J49" i="10" s="1"/>
  <c r="E8" i="22"/>
  <c r="F50" i="4"/>
  <c r="J39" i="1" s="1"/>
  <c r="O19" i="3"/>
  <c r="N19" i="3"/>
  <c r="M19" i="3"/>
  <c r="L19" i="3"/>
  <c r="K112" i="22" l="1"/>
  <c r="K118" i="22"/>
  <c r="I129" i="22"/>
  <c r="I130" i="22" s="1"/>
  <c r="J127" i="22"/>
  <c r="J122" i="22"/>
  <c r="L44" i="22"/>
  <c r="P6" i="4" s="1"/>
  <c r="K78" i="22"/>
  <c r="O77" i="22"/>
  <c r="F8" i="22"/>
  <c r="I44" i="10"/>
  <c r="J44" i="10" s="1"/>
  <c r="I46" i="10"/>
  <c r="J46" i="10" s="1"/>
  <c r="E2" i="1"/>
  <c r="C19" i="1" s="1" a="1"/>
  <c r="C19" i="1" s="1"/>
  <c r="H22" i="10"/>
  <c r="G22" i="10"/>
  <c r="F22" i="10"/>
  <c r="E22" i="10"/>
  <c r="C77" i="17"/>
  <c r="F52" i="1" s="1"/>
  <c r="D77" i="17"/>
  <c r="F51" i="1" s="1"/>
  <c r="E77" i="17"/>
  <c r="F50" i="1" s="1"/>
  <c r="F77" i="17"/>
  <c r="F49" i="1" s="1"/>
  <c r="G77" i="17"/>
  <c r="F48" i="1" s="1"/>
  <c r="H77" i="17"/>
  <c r="F47" i="1" s="1"/>
  <c r="I77" i="17"/>
  <c r="F46" i="1" s="1"/>
  <c r="J77" i="17"/>
  <c r="F45" i="1" s="1"/>
  <c r="K77" i="17"/>
  <c r="L77" i="17"/>
  <c r="F53" i="1"/>
  <c r="L112" i="22" l="1"/>
  <c r="L118" i="22"/>
  <c r="J129" i="22"/>
  <c r="J130" i="22" s="1"/>
  <c r="K127" i="22"/>
  <c r="K122" i="22"/>
  <c r="P77" i="22"/>
  <c r="M44" i="22"/>
  <c r="Q6" i="4" s="1"/>
  <c r="L78" i="22"/>
  <c r="C8" i="10"/>
  <c r="C45" i="10" s="1" a="1"/>
  <c r="C45" i="10" s="1"/>
  <c r="C20" i="1" a="1"/>
  <c r="C20" i="1" s="1"/>
  <c r="C21" i="1" s="1"/>
  <c r="G8" i="22"/>
  <c r="M112" i="22" l="1"/>
  <c r="M118" i="22"/>
  <c r="K129" i="22"/>
  <c r="K130" i="22" s="1"/>
  <c r="L127" i="22"/>
  <c r="L122" i="22"/>
  <c r="N44" i="22"/>
  <c r="R6" i="4" s="1"/>
  <c r="M78" i="22"/>
  <c r="Q77" i="22"/>
  <c r="L4" i="19"/>
  <c r="C10" i="10" a="1"/>
  <c r="C10" i="10" s="1"/>
  <c r="H45" i="10" a="1"/>
  <c r="H45" i="10" s="1"/>
  <c r="G45" i="10" a="1"/>
  <c r="G45" i="10" s="1"/>
  <c r="F45" i="10" a="1"/>
  <c r="F45" i="10" s="1"/>
  <c r="E45" i="10" a="1"/>
  <c r="E45" i="10" s="1"/>
  <c r="D45" i="10" a="1"/>
  <c r="D45" i="10" s="1"/>
  <c r="E28" i="10"/>
  <c r="L6" i="19"/>
  <c r="P9" i="19"/>
  <c r="P8" i="19"/>
  <c r="P7" i="19"/>
  <c r="P6" i="19"/>
  <c r="C23" i="17"/>
  <c r="B22" i="17" s="1"/>
  <c r="D23" i="17"/>
  <c r="E23" i="17"/>
  <c r="F23" i="17"/>
  <c r="G23" i="17"/>
  <c r="H23" i="17"/>
  <c r="I23" i="17"/>
  <c r="J23" i="17"/>
  <c r="K23" i="17"/>
  <c r="L23" i="17"/>
  <c r="D21" i="4"/>
  <c r="E21" i="4"/>
  <c r="D24" i="4"/>
  <c r="N112" i="22" l="1"/>
  <c r="N118" i="22"/>
  <c r="L129" i="22"/>
  <c r="L130" i="22" s="1"/>
  <c r="M127" i="22"/>
  <c r="M122" i="22"/>
  <c r="R77" i="22"/>
  <c r="O44" i="22"/>
  <c r="S6" i="4" s="1"/>
  <c r="N78" i="22"/>
  <c r="D27" i="4"/>
  <c r="E27" i="4"/>
  <c r="F27" i="4"/>
  <c r="G27" i="4" l="1"/>
  <c r="O112" i="22"/>
  <c r="O118" i="22"/>
  <c r="M129" i="22"/>
  <c r="M130" i="22" s="1"/>
  <c r="N127" i="22"/>
  <c r="N122" i="22"/>
  <c r="P44" i="22"/>
  <c r="T6" i="4" s="1"/>
  <c r="O78" i="22"/>
  <c r="S77" i="22"/>
  <c r="K75" i="17"/>
  <c r="L75" i="17"/>
  <c r="J75" i="17"/>
  <c r="F31" i="4"/>
  <c r="E67" i="17"/>
  <c r="E63" i="17"/>
  <c r="F63" i="17"/>
  <c r="G63" i="17"/>
  <c r="H63" i="17"/>
  <c r="I63" i="17"/>
  <c r="J63" i="17"/>
  <c r="F26" i="1"/>
  <c r="D28" i="4"/>
  <c r="E28" i="4"/>
  <c r="F28" i="4"/>
  <c r="F25" i="4"/>
  <c r="P112" i="22" l="1"/>
  <c r="P118" i="22"/>
  <c r="N129" i="22"/>
  <c r="N130" i="22" s="1"/>
  <c r="O127" i="22"/>
  <c r="O122" i="22"/>
  <c r="T77" i="22"/>
  <c r="Q44" i="22"/>
  <c r="U6" i="4" s="1"/>
  <c r="P78" i="22"/>
  <c r="D71" i="4"/>
  <c r="Q112" i="22" l="1"/>
  <c r="Q118" i="22"/>
  <c r="O129" i="22"/>
  <c r="O130" i="22" s="1"/>
  <c r="P127" i="22"/>
  <c r="P122" i="22"/>
  <c r="R44" i="22"/>
  <c r="V6" i="4" s="1"/>
  <c r="Q78" i="22"/>
  <c r="U77" i="22"/>
  <c r="G10" i="4"/>
  <c r="E75" i="17"/>
  <c r="F75" i="17"/>
  <c r="G75" i="17"/>
  <c r="H75" i="17"/>
  <c r="I75" i="17"/>
  <c r="E36" i="17"/>
  <c r="F46" i="17"/>
  <c r="C32" i="17"/>
  <c r="K50" i="17"/>
  <c r="D75" i="17"/>
  <c r="D31" i="4" s="1"/>
  <c r="C75" i="17"/>
  <c r="E31" i="4" s="1"/>
  <c r="D63" i="17"/>
  <c r="I22" i="17"/>
  <c r="K22" i="17"/>
  <c r="M6" i="19"/>
  <c r="N6" i="19"/>
  <c r="Q6" i="19"/>
  <c r="M7" i="19"/>
  <c r="N7" i="19"/>
  <c r="O7" i="19"/>
  <c r="Q7" i="19"/>
  <c r="M8" i="19"/>
  <c r="N8" i="19"/>
  <c r="O8" i="19"/>
  <c r="Q8" i="19"/>
  <c r="M9" i="19"/>
  <c r="N9" i="19"/>
  <c r="O9" i="19"/>
  <c r="Q9" i="19"/>
  <c r="L7" i="19"/>
  <c r="L8" i="19"/>
  <c r="L9" i="19"/>
  <c r="M18" i="3"/>
  <c r="N18" i="3"/>
  <c r="O18" i="3"/>
  <c r="O5" i="3"/>
  <c r="N5" i="3"/>
  <c r="M5" i="3"/>
  <c r="L5" i="3"/>
  <c r="K5" i="3"/>
  <c r="D19" i="22"/>
  <c r="C19" i="22"/>
  <c r="E19" i="22"/>
  <c r="C63" i="17"/>
  <c r="D67" i="17"/>
  <c r="D25" i="4" s="1"/>
  <c r="G31" i="4" l="1"/>
  <c r="R112" i="22"/>
  <c r="R118" i="22"/>
  <c r="P129" i="22"/>
  <c r="P130" i="22" s="1"/>
  <c r="Q127" i="22"/>
  <c r="Q122" i="22"/>
  <c r="I19" i="22"/>
  <c r="V77" i="22"/>
  <c r="S44" i="22"/>
  <c r="W6" i="4" s="1"/>
  <c r="R78" i="22"/>
  <c r="G39" i="4"/>
  <c r="G38" i="4"/>
  <c r="R8" i="19"/>
  <c r="R7" i="19"/>
  <c r="R6" i="19"/>
  <c r="R9" i="19"/>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7" i="10"/>
  <c r="E47" i="10"/>
  <c r="F47" i="10"/>
  <c r="G47" i="10"/>
  <c r="H47" i="10"/>
  <c r="G28" i="10"/>
  <c r="D11" i="10"/>
  <c r="D50" i="10" s="1"/>
  <c r="F11" i="10"/>
  <c r="G11" i="10"/>
  <c r="H11" i="10"/>
  <c r="D13" i="10"/>
  <c r="E13" i="10"/>
  <c r="F13" i="10"/>
  <c r="G13" i="10"/>
  <c r="H13" i="10"/>
  <c r="D14" i="10"/>
  <c r="E14" i="10"/>
  <c r="F14" i="10"/>
  <c r="G14" i="10"/>
  <c r="H14" i="10"/>
  <c r="D15" i="10"/>
  <c r="E15" i="10"/>
  <c r="F15" i="10"/>
  <c r="G15" i="10"/>
  <c r="H15" i="10"/>
  <c r="D16" i="10"/>
  <c r="E16" i="10"/>
  <c r="F16" i="10"/>
  <c r="G16" i="10"/>
  <c r="H16" i="10"/>
  <c r="E17" i="10"/>
  <c r="F17" i="10"/>
  <c r="G17" i="10"/>
  <c r="D20" i="10"/>
  <c r="E20" i="10"/>
  <c r="F20" i="10"/>
  <c r="G20" i="10"/>
  <c r="H20" i="10"/>
  <c r="D21" i="10"/>
  <c r="F21" i="10"/>
  <c r="G21" i="10"/>
  <c r="H21" i="10"/>
  <c r="E24" i="10"/>
  <c r="F24" i="10"/>
  <c r="G24" i="10"/>
  <c r="H24" i="10"/>
  <c r="D25" i="10"/>
  <c r="E25" i="10"/>
  <c r="F25" i="10"/>
  <c r="G25" i="10"/>
  <c r="H25" i="10"/>
  <c r="E27" i="10"/>
  <c r="F27" i="10"/>
  <c r="G27" i="10"/>
  <c r="H27" i="10"/>
  <c r="D28" i="10"/>
  <c r="F28" i="10"/>
  <c r="H28" i="10"/>
  <c r="D29" i="10"/>
  <c r="E29" i="10"/>
  <c r="F29" i="10"/>
  <c r="G29" i="10"/>
  <c r="H29" i="10"/>
  <c r="D30" i="10"/>
  <c r="E30" i="10"/>
  <c r="F30" i="10"/>
  <c r="G30" i="10"/>
  <c r="H30" i="10"/>
  <c r="D31" i="10"/>
  <c r="E31" i="10"/>
  <c r="F31" i="10"/>
  <c r="G31" i="10"/>
  <c r="H31" i="10"/>
  <c r="E33" i="10"/>
  <c r="F33" i="10"/>
  <c r="G33" i="10"/>
  <c r="H33" i="10"/>
  <c r="D34" i="10"/>
  <c r="E34" i="10"/>
  <c r="F34" i="10"/>
  <c r="G34" i="10"/>
  <c r="H34" i="10"/>
  <c r="D35" i="10"/>
  <c r="E35" i="10"/>
  <c r="F35" i="10"/>
  <c r="G35" i="10"/>
  <c r="H35" i="10"/>
  <c r="C40" i="10"/>
  <c r="C39" i="10"/>
  <c r="C52" i="10"/>
  <c r="I9" i="10"/>
  <c r="I38" i="10"/>
  <c r="C72" i="10"/>
  <c r="C71" i="10"/>
  <c r="C68" i="10"/>
  <c r="B15" i="3"/>
  <c r="K17" i="3"/>
  <c r="L17" i="3" s="1"/>
  <c r="M17" i="3" s="1"/>
  <c r="N17" i="3" s="1"/>
  <c r="O17" i="3" s="1"/>
  <c r="P17" i="3" s="1"/>
  <c r="K4" i="3"/>
  <c r="L4" i="3" s="1"/>
  <c r="M4" i="3" s="1"/>
  <c r="N4" i="3" s="1"/>
  <c r="O4" i="3" s="1"/>
  <c r="P4" i="3" s="1"/>
  <c r="M74" i="16"/>
  <c r="L74" i="16"/>
  <c r="K74" i="16"/>
  <c r="J74" i="16"/>
  <c r="I74" i="16"/>
  <c r="H74" i="16"/>
  <c r="G74" i="16"/>
  <c r="F74" i="16"/>
  <c r="E74" i="16"/>
  <c r="D74" i="16"/>
  <c r="C74" i="16"/>
  <c r="B74" i="16"/>
  <c r="M73" i="16"/>
  <c r="L73" i="16"/>
  <c r="K73" i="16"/>
  <c r="J73" i="16"/>
  <c r="I73" i="16"/>
  <c r="H73" i="16"/>
  <c r="G73" i="16"/>
  <c r="F73" i="16"/>
  <c r="E73" i="16"/>
  <c r="D73" i="16"/>
  <c r="C73" i="16"/>
  <c r="B73" i="16"/>
  <c r="M72" i="16"/>
  <c r="L72" i="16"/>
  <c r="K72" i="16"/>
  <c r="J72" i="16"/>
  <c r="I72" i="16"/>
  <c r="H72" i="16"/>
  <c r="G72" i="16"/>
  <c r="F72" i="16"/>
  <c r="E72" i="16"/>
  <c r="D72" i="16"/>
  <c r="C72" i="16"/>
  <c r="B72" i="16"/>
  <c r="M70" i="16"/>
  <c r="L70" i="16"/>
  <c r="K70" i="16"/>
  <c r="J70" i="16"/>
  <c r="I70" i="16"/>
  <c r="H70" i="16"/>
  <c r="G70" i="16"/>
  <c r="F70" i="16"/>
  <c r="E70" i="16"/>
  <c r="D70" i="16"/>
  <c r="C70" i="16"/>
  <c r="B70" i="16"/>
  <c r="M69" i="16"/>
  <c r="L69" i="16"/>
  <c r="K69" i="16"/>
  <c r="J69" i="16"/>
  <c r="I69" i="16"/>
  <c r="H69" i="16"/>
  <c r="G69" i="16"/>
  <c r="F69" i="16"/>
  <c r="E69" i="16"/>
  <c r="D69" i="16"/>
  <c r="C69" i="16"/>
  <c r="B69" i="16"/>
  <c r="B23" i="16"/>
  <c r="M62" i="16"/>
  <c r="L62" i="16"/>
  <c r="K62" i="16"/>
  <c r="J62" i="16"/>
  <c r="I62" i="16"/>
  <c r="H62" i="16"/>
  <c r="G62" i="16"/>
  <c r="F62" i="16"/>
  <c r="E62" i="16"/>
  <c r="D62" i="16"/>
  <c r="C62" i="16"/>
  <c r="B62" i="16"/>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M79" i="16"/>
  <c r="L79" i="16"/>
  <c r="K79" i="16"/>
  <c r="J79" i="16"/>
  <c r="I79" i="16"/>
  <c r="H79" i="16"/>
  <c r="G79" i="16"/>
  <c r="F79" i="16"/>
  <c r="E79" i="16"/>
  <c r="D79" i="16"/>
  <c r="C79" i="16"/>
  <c r="B79" i="16"/>
  <c r="M78" i="16"/>
  <c r="L78" i="16"/>
  <c r="K78" i="16"/>
  <c r="J78" i="16"/>
  <c r="I78" i="16"/>
  <c r="H78" i="16"/>
  <c r="G78" i="16"/>
  <c r="F78" i="16"/>
  <c r="E78" i="16"/>
  <c r="D78" i="16"/>
  <c r="C78" i="16"/>
  <c r="B78" i="16"/>
  <c r="M52" i="16"/>
  <c r="L52" i="16"/>
  <c r="J52" i="16"/>
  <c r="I52" i="16"/>
  <c r="H52" i="16"/>
  <c r="G52" i="16"/>
  <c r="F52" i="16"/>
  <c r="E52" i="16"/>
  <c r="D52" i="16"/>
  <c r="B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L49" i="16"/>
  <c r="K49" i="16"/>
  <c r="J49" i="16"/>
  <c r="I49" i="16"/>
  <c r="H49" i="16"/>
  <c r="G49" i="16"/>
  <c r="F49" i="16"/>
  <c r="E49" i="16"/>
  <c r="D49" i="16"/>
  <c r="C49" i="16"/>
  <c r="B49" i="16"/>
  <c r="B44" i="16"/>
  <c r="C70" i="10" s="1"/>
  <c r="M42" i="16"/>
  <c r="L42" i="16"/>
  <c r="K42" i="16"/>
  <c r="J42" i="16"/>
  <c r="I42" i="16"/>
  <c r="H42" i="16"/>
  <c r="G42" i="16"/>
  <c r="F42" i="16"/>
  <c r="E42" i="16"/>
  <c r="D42" i="16"/>
  <c r="C42" i="16"/>
  <c r="B42" i="16"/>
  <c r="C17" i="22" s="1"/>
  <c r="M41" i="16"/>
  <c r="L41" i="16"/>
  <c r="K41" i="16"/>
  <c r="J41" i="16"/>
  <c r="I41" i="16"/>
  <c r="H41" i="16"/>
  <c r="G41" i="16"/>
  <c r="F41" i="16"/>
  <c r="E41" i="16"/>
  <c r="D41" i="16"/>
  <c r="C41" i="16"/>
  <c r="B41" i="16"/>
  <c r="M40" i="16"/>
  <c r="L40" i="16"/>
  <c r="K40" i="16"/>
  <c r="J40" i="16"/>
  <c r="I40" i="16"/>
  <c r="H40" i="16"/>
  <c r="G40" i="16"/>
  <c r="F40" i="16"/>
  <c r="E40" i="16"/>
  <c r="D40" i="16"/>
  <c r="C40" i="16"/>
  <c r="B40" i="16"/>
  <c r="M39" i="16"/>
  <c r="M26" i="16" s="1"/>
  <c r="L39" i="16"/>
  <c r="K39" i="16"/>
  <c r="J39" i="16"/>
  <c r="I39" i="16"/>
  <c r="H39" i="16"/>
  <c r="G39" i="16"/>
  <c r="F39" i="16"/>
  <c r="E39" i="16"/>
  <c r="D39" i="16"/>
  <c r="D43" i="4" s="1"/>
  <c r="C39" i="16"/>
  <c r="C65" i="10"/>
  <c r="M33" i="16"/>
  <c r="L33" i="16"/>
  <c r="K33" i="16"/>
  <c r="J33" i="16"/>
  <c r="I33" i="16"/>
  <c r="H33" i="16"/>
  <c r="G33" i="16"/>
  <c r="F33" i="16"/>
  <c r="E33" i="16"/>
  <c r="D33" i="16"/>
  <c r="C33" i="16"/>
  <c r="B33" i="16"/>
  <c r="M32" i="16"/>
  <c r="L32" i="16"/>
  <c r="K32" i="16"/>
  <c r="J32" i="16"/>
  <c r="I32" i="16"/>
  <c r="H32" i="16"/>
  <c r="G32" i="16"/>
  <c r="F32" i="16"/>
  <c r="E32" i="16"/>
  <c r="D32" i="16"/>
  <c r="C32" i="16"/>
  <c r="B32" i="16"/>
  <c r="F23" i="4" s="1"/>
  <c r="M28" i="16"/>
  <c r="L28" i="16"/>
  <c r="K28" i="16"/>
  <c r="J28" i="16"/>
  <c r="I28" i="16"/>
  <c r="H28" i="16"/>
  <c r="G28" i="16"/>
  <c r="F28" i="16"/>
  <c r="E28" i="16"/>
  <c r="D28" i="16"/>
  <c r="C28" i="16"/>
  <c r="B28" i="16"/>
  <c r="C27" i="22" s="1"/>
  <c r="M27" i="16"/>
  <c r="L27" i="16"/>
  <c r="K27" i="16"/>
  <c r="J27" i="16"/>
  <c r="I27" i="16"/>
  <c r="H27" i="16"/>
  <c r="G27" i="16"/>
  <c r="F27" i="16"/>
  <c r="E27" i="16"/>
  <c r="D27" i="16"/>
  <c r="C27" i="16"/>
  <c r="B27" i="16"/>
  <c r="C26" i="22" s="1"/>
  <c r="M23" i="16"/>
  <c r="L23" i="16"/>
  <c r="K23" i="16"/>
  <c r="J23" i="16"/>
  <c r="I23" i="16"/>
  <c r="H23" i="16"/>
  <c r="G23" i="16"/>
  <c r="F23" i="16"/>
  <c r="E23" i="16"/>
  <c r="D23" i="16"/>
  <c r="D17" i="4" s="1"/>
  <c r="C23" i="16"/>
  <c r="E17" i="4" s="1"/>
  <c r="M21" i="16"/>
  <c r="L21" i="16"/>
  <c r="K21" i="16"/>
  <c r="J21" i="16"/>
  <c r="I21" i="16"/>
  <c r="H21" i="16"/>
  <c r="G21" i="16"/>
  <c r="F21" i="16"/>
  <c r="E21" i="16"/>
  <c r="D21" i="16"/>
  <c r="C21" i="16"/>
  <c r="B21" i="16"/>
  <c r="C20" i="22" s="1"/>
  <c r="M17" i="16"/>
  <c r="L17" i="16"/>
  <c r="K17" i="16"/>
  <c r="J17" i="16"/>
  <c r="I17" i="16"/>
  <c r="H17" i="16"/>
  <c r="G17" i="16"/>
  <c r="F17" i="16"/>
  <c r="E17" i="16"/>
  <c r="D17" i="16"/>
  <c r="C17" i="16"/>
  <c r="B17" i="16"/>
  <c r="M15" i="16"/>
  <c r="L15" i="16"/>
  <c r="K15" i="16"/>
  <c r="J15" i="16"/>
  <c r="I15" i="16"/>
  <c r="H15" i="16"/>
  <c r="G15" i="16"/>
  <c r="F15" i="16"/>
  <c r="E15" i="16"/>
  <c r="D15" i="16"/>
  <c r="D14" i="4" s="1"/>
  <c r="C15" i="16"/>
  <c r="E14" i="4" s="1"/>
  <c r="B15" i="16"/>
  <c r="F14" i="4" s="1"/>
  <c r="M14" i="16"/>
  <c r="L14" i="16"/>
  <c r="K14" i="16"/>
  <c r="J14" i="16"/>
  <c r="I14" i="16"/>
  <c r="H14" i="16"/>
  <c r="G14" i="16"/>
  <c r="F14" i="16"/>
  <c r="E14" i="16"/>
  <c r="D14" i="16"/>
  <c r="D13" i="4" s="1"/>
  <c r="C14" i="16"/>
  <c r="E13" i="4" s="1"/>
  <c r="B14" i="16"/>
  <c r="C11" i="16"/>
  <c r="D11" i="16"/>
  <c r="D8" i="4" s="1"/>
  <c r="E11" i="16"/>
  <c r="F11" i="16"/>
  <c r="G11" i="16"/>
  <c r="H11" i="16"/>
  <c r="I11" i="16"/>
  <c r="J11" i="16"/>
  <c r="K11" i="16"/>
  <c r="L11" i="16"/>
  <c r="M11" i="16"/>
  <c r="C7" i="16"/>
  <c r="D7" i="16"/>
  <c r="E7" i="16"/>
  <c r="F7" i="16"/>
  <c r="G7" i="16"/>
  <c r="H7" i="16"/>
  <c r="I7" i="16"/>
  <c r="J7" i="16"/>
  <c r="K7" i="16"/>
  <c r="L7" i="16"/>
  <c r="M7" i="16"/>
  <c r="B7" i="16"/>
  <c r="M5" i="16"/>
  <c r="L5" i="16"/>
  <c r="K5" i="16"/>
  <c r="J5" i="16"/>
  <c r="I5" i="16"/>
  <c r="H5" i="16"/>
  <c r="G5" i="16"/>
  <c r="F5" i="16"/>
  <c r="E5" i="16"/>
  <c r="D5" i="16"/>
  <c r="C5" i="16"/>
  <c r="B5" i="16"/>
  <c r="L13" i="17"/>
  <c r="K13" i="17"/>
  <c r="J13" i="17"/>
  <c r="I13" i="17"/>
  <c r="H13" i="17"/>
  <c r="G13" i="17"/>
  <c r="F13" i="17"/>
  <c r="E13" i="17"/>
  <c r="D68" i="16"/>
  <c r="E68" i="16"/>
  <c r="F68" i="16"/>
  <c r="G68" i="16"/>
  <c r="H68" i="16"/>
  <c r="I68" i="16"/>
  <c r="K68" i="16"/>
  <c r="M71" i="16"/>
  <c r="L71" i="16"/>
  <c r="K71" i="16"/>
  <c r="J71" i="16"/>
  <c r="I71" i="16"/>
  <c r="H71" i="16"/>
  <c r="G71" i="16"/>
  <c r="F71" i="16"/>
  <c r="E71" i="16"/>
  <c r="D71" i="16"/>
  <c r="C71" i="16"/>
  <c r="B71" i="16"/>
  <c r="B67" i="16"/>
  <c r="F19" i="4" s="1"/>
  <c r="M75" i="16"/>
  <c r="L75" i="16"/>
  <c r="K75" i="16"/>
  <c r="J75" i="16"/>
  <c r="I75" i="16"/>
  <c r="H75" i="16"/>
  <c r="G75" i="16"/>
  <c r="F75" i="16"/>
  <c r="E75" i="16"/>
  <c r="D75" i="16"/>
  <c r="C75" i="16"/>
  <c r="M67" i="16"/>
  <c r="J67" i="16"/>
  <c r="I67" i="16"/>
  <c r="H67" i="16"/>
  <c r="G67" i="16"/>
  <c r="F67" i="16"/>
  <c r="E67" i="16"/>
  <c r="D67" i="16"/>
  <c r="D19" i="4" s="1"/>
  <c r="C67" i="16"/>
  <c r="E19" i="4" s="1"/>
  <c r="C36" i="17"/>
  <c r="C31" i="17"/>
  <c r="D31" i="17"/>
  <c r="E31" i="17"/>
  <c r="F31" i="17"/>
  <c r="G31" i="17"/>
  <c r="H31" i="17"/>
  <c r="I31" i="17"/>
  <c r="J31" i="17"/>
  <c r="K31" i="17"/>
  <c r="L31" i="17"/>
  <c r="C44" i="16"/>
  <c r="B56" i="16"/>
  <c r="D50" i="17"/>
  <c r="D55" i="16" s="1"/>
  <c r="E50" i="17"/>
  <c r="E55" i="16" s="1"/>
  <c r="F50" i="17"/>
  <c r="F55" i="16" s="1"/>
  <c r="G50" i="17"/>
  <c r="H50" i="17"/>
  <c r="I50" i="17"/>
  <c r="J50" i="17"/>
  <c r="L50" i="17"/>
  <c r="M55" i="16"/>
  <c r="B55" i="16"/>
  <c r="C46" i="17"/>
  <c r="C51" i="16" s="1"/>
  <c r="D46" i="17"/>
  <c r="D51" i="16" s="1"/>
  <c r="E46" i="17"/>
  <c r="G46" i="17"/>
  <c r="H46" i="17"/>
  <c r="I46" i="17"/>
  <c r="J46" i="17"/>
  <c r="J51" i="16" s="1"/>
  <c r="K46" i="17"/>
  <c r="L46" i="17"/>
  <c r="B51" i="16"/>
  <c r="AB38" i="17"/>
  <c r="D26" i="22" l="1"/>
  <c r="B58" i="16"/>
  <c r="D20" i="22"/>
  <c r="E26" i="22"/>
  <c r="E20" i="22"/>
  <c r="F26" i="22"/>
  <c r="F20" i="22"/>
  <c r="G27" i="22"/>
  <c r="G26" i="22"/>
  <c r="G20" i="22"/>
  <c r="D27" i="22"/>
  <c r="E27" i="22"/>
  <c r="F27" i="22"/>
  <c r="C90" i="22"/>
  <c r="C102" i="22"/>
  <c r="C103" i="22" s="1"/>
  <c r="D102" i="22"/>
  <c r="D103" i="22" s="1"/>
  <c r="D90" i="22"/>
  <c r="E102" i="22"/>
  <c r="E103" i="22" s="1"/>
  <c r="E90" i="22"/>
  <c r="F102" i="22"/>
  <c r="F103" i="22" s="1"/>
  <c r="F90" i="22"/>
  <c r="H102" i="22"/>
  <c r="H103" i="22" s="1"/>
  <c r="H90" i="22"/>
  <c r="J102" i="22"/>
  <c r="J103" i="22" s="1"/>
  <c r="J90" i="22"/>
  <c r="K102" i="22"/>
  <c r="K103" i="22" s="1"/>
  <c r="K90" i="22"/>
  <c r="L102" i="22"/>
  <c r="L103" i="22" s="1"/>
  <c r="L90" i="22"/>
  <c r="C89" i="22"/>
  <c r="D89" i="22"/>
  <c r="E89" i="22"/>
  <c r="F89" i="22"/>
  <c r="H89" i="22"/>
  <c r="J89" i="22"/>
  <c r="K89" i="22"/>
  <c r="L89" i="22"/>
  <c r="C88" i="22"/>
  <c r="D88" i="22"/>
  <c r="E88" i="22"/>
  <c r="F88" i="22"/>
  <c r="H88" i="22"/>
  <c r="J88" i="22"/>
  <c r="K88" i="22"/>
  <c r="L88" i="22"/>
  <c r="L91" i="22" s="1"/>
  <c r="G102" i="22"/>
  <c r="G103" i="22" s="1"/>
  <c r="G90" i="22"/>
  <c r="G89" i="22"/>
  <c r="G88" i="22"/>
  <c r="S112" i="22"/>
  <c r="S118" i="22"/>
  <c r="Q129" i="22"/>
  <c r="Q130" i="22" s="1"/>
  <c r="R127" i="22"/>
  <c r="R122" i="22"/>
  <c r="I102" i="22"/>
  <c r="I103" i="22" s="1"/>
  <c r="I90" i="22"/>
  <c r="I89" i="22"/>
  <c r="I88" i="22"/>
  <c r="C69" i="10"/>
  <c r="I17" i="22"/>
  <c r="T44" i="22"/>
  <c r="X6" i="4" s="1"/>
  <c r="S78" i="22"/>
  <c r="W77" i="22"/>
  <c r="E16" i="4"/>
  <c r="D16" i="4"/>
  <c r="D7" i="4"/>
  <c r="D12" i="4"/>
  <c r="E8" i="4"/>
  <c r="E7" i="4" s="1"/>
  <c r="C62" i="10"/>
  <c r="C37" i="17"/>
  <c r="I43" i="10"/>
  <c r="J43" i="10" s="1"/>
  <c r="D29" i="4"/>
  <c r="D30" i="4"/>
  <c r="E30" i="4"/>
  <c r="E29" i="4"/>
  <c r="F30" i="4"/>
  <c r="C61" i="10"/>
  <c r="F16" i="4"/>
  <c r="F29" i="4"/>
  <c r="H10" i="4"/>
  <c r="G46" i="4"/>
  <c r="F45" i="4"/>
  <c r="F46" i="4"/>
  <c r="F47" i="4"/>
  <c r="H16" i="16"/>
  <c r="I68" i="22" s="1"/>
  <c r="L58" i="16"/>
  <c r="M58" i="16"/>
  <c r="I58" i="16"/>
  <c r="J58" i="16"/>
  <c r="K58" i="16"/>
  <c r="E23" i="4"/>
  <c r="E24" i="4"/>
  <c r="F24" i="4"/>
  <c r="C66" i="10"/>
  <c r="C25" i="10" s="1"/>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6" i="10"/>
  <c r="C28" i="10" s="1"/>
  <c r="D23" i="4"/>
  <c r="E51" i="16"/>
  <c r="C54" i="10"/>
  <c r="C55" i="10"/>
  <c r="D58" i="16"/>
  <c r="D15" i="4"/>
  <c r="C58" i="16"/>
  <c r="G58" i="16"/>
  <c r="F58" i="16"/>
  <c r="E58" i="16"/>
  <c r="C60" i="10"/>
  <c r="F13" i="4"/>
  <c r="C59" i="10"/>
  <c r="F8" i="4"/>
  <c r="C24" i="10"/>
  <c r="D13" i="17"/>
  <c r="D14" i="17" s="1"/>
  <c r="C13" i="17"/>
  <c r="C14" i="17" s="1"/>
  <c r="F17" i="4"/>
  <c r="E5" i="4"/>
  <c r="C23" i="1"/>
  <c r="H58" i="16"/>
  <c r="C57" i="10"/>
  <c r="E8" i="16"/>
  <c r="G8" i="16"/>
  <c r="M24" i="16"/>
  <c r="M25" i="16" s="1"/>
  <c r="L51" i="16"/>
  <c r="I16" i="16"/>
  <c r="J68" i="22" s="1"/>
  <c r="L55" i="16"/>
  <c r="F51" i="16"/>
  <c r="L22" i="16"/>
  <c r="M51" i="16"/>
  <c r="K16" i="16"/>
  <c r="L68" i="22" s="1"/>
  <c r="C16" i="16"/>
  <c r="D68" i="22" s="1"/>
  <c r="E16" i="16"/>
  <c r="F68" i="22" s="1"/>
  <c r="M16" i="16"/>
  <c r="F24" i="16"/>
  <c r="B8" i="16"/>
  <c r="J24" i="16"/>
  <c r="H55" i="16"/>
  <c r="G24" i="16"/>
  <c r="M8" i="16"/>
  <c r="G22" i="16"/>
  <c r="C24" i="16"/>
  <c r="K24" i="16"/>
  <c r="I55" i="16"/>
  <c r="L8" i="16"/>
  <c r="D8" i="16"/>
  <c r="J55" i="16"/>
  <c r="I8" i="16"/>
  <c r="K8" i="16"/>
  <c r="C8" i="16"/>
  <c r="F8" i="16"/>
  <c r="G16" i="16"/>
  <c r="H68" i="22" s="1"/>
  <c r="G51" i="16"/>
  <c r="G55" i="16"/>
  <c r="E22" i="16"/>
  <c r="E24" i="16"/>
  <c r="B16" i="16"/>
  <c r="C68" i="22" s="1"/>
  <c r="H51" i="16"/>
  <c r="J16" i="16"/>
  <c r="K68" i="22" s="1"/>
  <c r="I51" i="16"/>
  <c r="I12" i="16"/>
  <c r="B24" i="16"/>
  <c r="J8" i="16"/>
  <c r="F12" i="16"/>
  <c r="B19" i="16"/>
  <c r="K51" i="16"/>
  <c r="C22" i="16"/>
  <c r="K22" i="16"/>
  <c r="D22" i="16"/>
  <c r="L24" i="16"/>
  <c r="L16" i="16"/>
  <c r="D12" i="16"/>
  <c r="H8" i="16"/>
  <c r="G12" i="16"/>
  <c r="D16" i="16"/>
  <c r="E68" i="22" s="1"/>
  <c r="F22" i="16"/>
  <c r="D24" i="16"/>
  <c r="J12" i="16"/>
  <c r="F16" i="16"/>
  <c r="G68" i="22" s="1"/>
  <c r="I22" i="16"/>
  <c r="H22" i="16"/>
  <c r="K12" i="16"/>
  <c r="C12" i="16"/>
  <c r="L12" i="16"/>
  <c r="B22" i="16"/>
  <c r="J22" i="16"/>
  <c r="M12" i="16"/>
  <c r="M13" i="16" s="1"/>
  <c r="M22" i="16"/>
  <c r="E12" i="16"/>
  <c r="H24" i="16"/>
  <c r="I24" i="16"/>
  <c r="B12" i="16"/>
  <c r="B2" i="3"/>
  <c r="B4" i="16"/>
  <c r="L45" i="1"/>
  <c r="M45" i="1" s="1"/>
  <c r="B53" i="1"/>
  <c r="B52" i="1" s="1"/>
  <c r="B51" i="1" s="1"/>
  <c r="B50" i="1" s="1"/>
  <c r="B49" i="1" s="1"/>
  <c r="I26" i="10"/>
  <c r="C12" i="19"/>
  <c r="C13" i="19"/>
  <c r="C14" i="19"/>
  <c r="C15" i="19"/>
  <c r="C16" i="19"/>
  <c r="C17" i="19"/>
  <c r="C18" i="19"/>
  <c r="C19" i="19"/>
  <c r="C20" i="19"/>
  <c r="C21" i="19"/>
  <c r="C22" i="19"/>
  <c r="C7" i="19"/>
  <c r="C9" i="19"/>
  <c r="C10" i="19"/>
  <c r="I12" i="10"/>
  <c r="I40" i="10"/>
  <c r="J40" i="10" s="1"/>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L14" i="17"/>
  <c r="K14" i="17"/>
  <c r="J14" i="17"/>
  <c r="I14" i="17"/>
  <c r="H14" i="17"/>
  <c r="G14" i="17"/>
  <c r="F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F32" i="4" l="1"/>
  <c r="Z13" i="17"/>
  <c r="Z14" i="17" s="1"/>
  <c r="C29" i="22"/>
  <c r="F91" i="22"/>
  <c r="I26" i="22"/>
  <c r="E91" i="22"/>
  <c r="K91" i="22"/>
  <c r="I28" i="22"/>
  <c r="E97" i="22"/>
  <c r="I27" i="22"/>
  <c r="D97" i="22"/>
  <c r="H91" i="22"/>
  <c r="E96" i="22"/>
  <c r="D96" i="22"/>
  <c r="C106" i="22"/>
  <c r="D91" i="22"/>
  <c r="C107" i="22"/>
  <c r="J91" i="22"/>
  <c r="C95" i="22"/>
  <c r="C91" i="22"/>
  <c r="C96" i="22"/>
  <c r="C108" i="22"/>
  <c r="C97" i="22"/>
  <c r="G91" i="22"/>
  <c r="D95" i="22"/>
  <c r="T112" i="22"/>
  <c r="T118" i="22"/>
  <c r="R129" i="22"/>
  <c r="R130" i="22" s="1"/>
  <c r="S127" i="22"/>
  <c r="S122" i="22"/>
  <c r="E95" i="22"/>
  <c r="I91" i="22"/>
  <c r="I20" i="22"/>
  <c r="C72" i="22"/>
  <c r="C71" i="22"/>
  <c r="X77" i="22"/>
  <c r="U44" i="22"/>
  <c r="Y6" i="4" s="1"/>
  <c r="T78" i="22"/>
  <c r="C70" i="22"/>
  <c r="C73" i="22"/>
  <c r="E21" i="1"/>
  <c r="E28" i="1"/>
  <c r="D87" i="17"/>
  <c r="C87" i="17"/>
  <c r="E22" i="1"/>
  <c r="E23" i="1"/>
  <c r="E15" i="4"/>
  <c r="E12" i="4"/>
  <c r="C22" i="1"/>
  <c r="C24" i="1" s="1"/>
  <c r="C58" i="10"/>
  <c r="C22" i="10" s="1"/>
  <c r="C33" i="10"/>
  <c r="I25" i="10"/>
  <c r="J25" i="10" s="1"/>
  <c r="C47" i="10"/>
  <c r="I45" i="10"/>
  <c r="J45" i="10" s="1"/>
  <c r="E32" i="4"/>
  <c r="C31" i="10"/>
  <c r="C11" i="10"/>
  <c r="D32" i="4"/>
  <c r="F35" i="4"/>
  <c r="D35" i="4"/>
  <c r="C15" i="10"/>
  <c r="C13" i="10"/>
  <c r="E35" i="4"/>
  <c r="F7" i="4"/>
  <c r="C30" i="10"/>
  <c r="B59" i="16"/>
  <c r="C14" i="10"/>
  <c r="C34" i="10"/>
  <c r="C16" i="10"/>
  <c r="D44" i="4"/>
  <c r="E44" i="4"/>
  <c r="F44" i="4"/>
  <c r="F26" i="4"/>
  <c r="H13" i="16"/>
  <c r="G13" i="16"/>
  <c r="B60" i="16"/>
  <c r="D26" i="4"/>
  <c r="F12" i="4"/>
  <c r="F15" i="4"/>
  <c r="F5" i="4"/>
  <c r="C29" i="10"/>
  <c r="C27" i="10"/>
  <c r="M46" i="1"/>
  <c r="M54" i="1"/>
  <c r="M47" i="1"/>
  <c r="L49" i="1"/>
  <c r="L50" i="1"/>
  <c r="M49" i="1"/>
  <c r="L53" i="1"/>
  <c r="M50" i="1"/>
  <c r="L54" i="1"/>
  <c r="M51" i="1"/>
  <c r="M52" i="1"/>
  <c r="M53" i="1"/>
  <c r="L46" i="1"/>
  <c r="L52" i="1"/>
  <c r="M31" i="1" s="1"/>
  <c r="L51" i="1"/>
  <c r="L47" i="1"/>
  <c r="K21" i="1"/>
  <c r="K23" i="1"/>
  <c r="K30" i="1"/>
  <c r="K29" i="1"/>
  <c r="K24" i="1"/>
  <c r="K22" i="1"/>
  <c r="E27" i="1"/>
  <c r="B20" i="16"/>
  <c r="L25" i="16"/>
  <c r="E25" i="16"/>
  <c r="I25" i="16"/>
  <c r="G25" i="16"/>
  <c r="D25" i="16"/>
  <c r="C13" i="16"/>
  <c r="B25" i="16"/>
  <c r="F25" i="16"/>
  <c r="E13" i="16"/>
  <c r="J25" i="16"/>
  <c r="H18" i="16"/>
  <c r="E18" i="16"/>
  <c r="L18" i="16"/>
  <c r="D56" i="16"/>
  <c r="K18" i="16"/>
  <c r="B18" i="16"/>
  <c r="G56" i="16"/>
  <c r="C18" i="16"/>
  <c r="C43" i="16"/>
  <c r="J56" i="16"/>
  <c r="F18" i="16"/>
  <c r="E56" i="16"/>
  <c r="B80" i="16"/>
  <c r="B43" i="16"/>
  <c r="K25" i="16"/>
  <c r="G18" i="16"/>
  <c r="B64" i="16"/>
  <c r="H56" i="16"/>
  <c r="I18" i="16"/>
  <c r="B82" i="16"/>
  <c r="B81" i="16"/>
  <c r="J18" i="16"/>
  <c r="L56" i="16"/>
  <c r="M56" i="16"/>
  <c r="F56" i="16"/>
  <c r="I56" i="16"/>
  <c r="M18" i="16"/>
  <c r="D18"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I39" i="10"/>
  <c r="J39" i="10" s="1"/>
  <c r="B48" i="1"/>
  <c r="C98" i="22" l="1"/>
  <c r="E98" i="22"/>
  <c r="D98" i="22"/>
  <c r="L20" i="22"/>
  <c r="K20" i="22"/>
  <c r="U112" i="22"/>
  <c r="U118" i="22"/>
  <c r="S129" i="22"/>
  <c r="S130" i="22" s="1"/>
  <c r="T127" i="22"/>
  <c r="T122" i="22"/>
  <c r="V44" i="22"/>
  <c r="Z6" i="4" s="1"/>
  <c r="U78" i="22"/>
  <c r="Y77" i="22"/>
  <c r="M41" i="1"/>
  <c r="C74" i="10"/>
  <c r="M39" i="1"/>
  <c r="I27" i="10"/>
  <c r="J27" i="10" s="1"/>
  <c r="I30" i="10"/>
  <c r="J30" i="10" s="1"/>
  <c r="I15" i="10"/>
  <c r="J15" i="10" s="1"/>
  <c r="I11" i="10"/>
  <c r="J11" i="10" s="1"/>
  <c r="I29" i="10"/>
  <c r="J29" i="10" s="1"/>
  <c r="I31" i="10"/>
  <c r="J31" i="10" s="1"/>
  <c r="I47" i="10"/>
  <c r="J47" i="10" s="1"/>
  <c r="C41" i="10"/>
  <c r="K26" i="1"/>
  <c r="K25" i="1"/>
  <c r="E24" i="1"/>
  <c r="I33" i="10"/>
  <c r="J33" i="10" s="1"/>
  <c r="C73" i="10"/>
  <c r="B34" i="16"/>
  <c r="M26" i="1"/>
  <c r="I24" i="10"/>
  <c r="J24" i="10" s="1"/>
  <c r="I16" i="10"/>
  <c r="J16" i="10" s="1"/>
  <c r="M23" i="1"/>
  <c r="B35" i="16"/>
  <c r="B36" i="16" s="1"/>
  <c r="I14" i="10"/>
  <c r="J14" i="10" s="1"/>
  <c r="G4" i="16"/>
  <c r="B47" i="1"/>
  <c r="C18" i="10" l="1"/>
  <c r="K27" i="1" s="1"/>
  <c r="V112" i="22"/>
  <c r="V118" i="22"/>
  <c r="T129" i="22"/>
  <c r="T130" i="22" s="1"/>
  <c r="U127" i="22"/>
  <c r="U122" i="22"/>
  <c r="Z77" i="22"/>
  <c r="W44" i="22"/>
  <c r="AA6" i="4" s="1"/>
  <c r="V78" i="22"/>
  <c r="C35" i="10"/>
  <c r="I35" i="10" s="1"/>
  <c r="J35" i="10" s="1"/>
  <c r="C17" i="10"/>
  <c r="I17" i="10" s="1"/>
  <c r="J17" i="10" s="1"/>
  <c r="C37" i="10"/>
  <c r="C36" i="10"/>
  <c r="I41" i="10"/>
  <c r="J41" i="10" s="1"/>
  <c r="C20" i="10"/>
  <c r="I20" i="10" s="1"/>
  <c r="I19" i="10"/>
  <c r="I10" i="10"/>
  <c r="J10" i="10" s="1"/>
  <c r="I22" i="10"/>
  <c r="J22" i="10" s="1"/>
  <c r="H4" i="16"/>
  <c r="B46" i="1"/>
  <c r="W112" i="22" l="1"/>
  <c r="W118" i="22"/>
  <c r="U129" i="22"/>
  <c r="U130" i="22" s="1"/>
  <c r="V127" i="22"/>
  <c r="V122" i="22"/>
  <c r="X44" i="22"/>
  <c r="AB6" i="4" s="1"/>
  <c r="W78" i="22"/>
  <c r="AA77" i="22"/>
  <c r="I36" i="10"/>
  <c r="J36" i="10" s="1"/>
  <c r="I18" i="10"/>
  <c r="J18" i="10" s="1"/>
  <c r="I37" i="10"/>
  <c r="J37" i="10" s="1"/>
  <c r="J20" i="10"/>
  <c r="I21" i="10"/>
  <c r="E25" i="1"/>
  <c r="I4" i="16"/>
  <c r="J4" i="16" s="1"/>
  <c r="B45" i="1"/>
  <c r="X112" i="22" l="1"/>
  <c r="X118" i="22"/>
  <c r="V129" i="22"/>
  <c r="V130" i="22" s="1"/>
  <c r="W127" i="22"/>
  <c r="W122" i="22"/>
  <c r="AB77" i="22"/>
  <c r="L10" i="22" s="1"/>
  <c r="Y44" i="22"/>
  <c r="AC6" i="4" s="1"/>
  <c r="X78" i="22"/>
  <c r="D45" i="1" a="1"/>
  <c r="D45" i="1" s="1"/>
  <c r="C45" i="1" a="1"/>
  <c r="H45" i="1" a="1"/>
  <c r="H45" i="1" s="1"/>
  <c r="D57" i="1" l="1"/>
  <c r="C45" i="1"/>
  <c r="C54" i="1" s="1"/>
  <c r="Y112" i="22"/>
  <c r="Y118" i="22"/>
  <c r="W129" i="22"/>
  <c r="W130" i="22" s="1"/>
  <c r="X127" i="22"/>
  <c r="X122" i="22"/>
  <c r="Z44" i="22"/>
  <c r="AD6" i="4" s="1"/>
  <c r="Y78" i="22"/>
  <c r="K4" i="16"/>
  <c r="Z112" i="22" l="1"/>
  <c r="Z118" i="22"/>
  <c r="X129" i="22"/>
  <c r="X130" i="22" s="1"/>
  <c r="Y127" i="22"/>
  <c r="Y122" i="22"/>
  <c r="AA44" i="22"/>
  <c r="AE6" i="4" s="1"/>
  <c r="Z78" i="22"/>
  <c r="L4" i="16"/>
  <c r="AA112" i="22" l="1"/>
  <c r="AA118" i="22"/>
  <c r="Y129" i="22"/>
  <c r="Y130" i="22" s="1"/>
  <c r="Z127" i="22"/>
  <c r="Z122" i="22"/>
  <c r="AB44" i="22"/>
  <c r="AF6" i="4" s="1"/>
  <c r="AA78" i="22"/>
  <c r="M4" i="16"/>
  <c r="AB78" i="22" l="1"/>
  <c r="AB112" i="22"/>
  <c r="AB118" i="22"/>
  <c r="Z129" i="22"/>
  <c r="Z130" i="22" s="1"/>
  <c r="AA127" i="22"/>
  <c r="AA122" i="22"/>
  <c r="B91" i="16"/>
  <c r="D91" i="16"/>
  <c r="E91" i="16"/>
  <c r="AA129" i="22" l="1"/>
  <c r="AA130" i="22" s="1"/>
  <c r="AB127" i="22"/>
  <c r="AB122" i="22"/>
  <c r="M6" i="16"/>
  <c r="D34" i="16"/>
  <c r="K35" i="16"/>
  <c r="K36" i="16" s="1"/>
  <c r="I34" i="16"/>
  <c r="G9" i="16"/>
  <c r="G10" i="16" s="1"/>
  <c r="K19" i="16"/>
  <c r="K20" i="16" s="1"/>
  <c r="I19" i="16"/>
  <c r="I20" i="16" s="1"/>
  <c r="K9" i="16"/>
  <c r="K10" i="16" s="1"/>
  <c r="I9" i="16"/>
  <c r="I10" i="16" s="1"/>
  <c r="M25" i="1"/>
  <c r="I28" i="10"/>
  <c r="J28" i="10" s="1"/>
  <c r="C34" i="16"/>
  <c r="H57" i="1"/>
  <c r="E34" i="16"/>
  <c r="C91" i="16"/>
  <c r="F26" i="16"/>
  <c r="I6" i="16"/>
  <c r="K26" i="16"/>
  <c r="K29" i="16" s="1"/>
  <c r="J26" i="16"/>
  <c r="I35" i="16"/>
  <c r="I36" i="16" s="1"/>
  <c r="K34" i="16"/>
  <c r="AB129" i="22" l="1"/>
  <c r="AB130" i="22" s="1"/>
  <c r="D60" i="16"/>
  <c r="K60" i="16"/>
  <c r="I60" i="16"/>
  <c r="L34" i="16"/>
  <c r="M34" i="16"/>
  <c r="M19" i="16"/>
  <c r="M20" i="16" s="1"/>
  <c r="L6" i="16"/>
  <c r="M9" i="16"/>
  <c r="M10" i="16" s="1"/>
  <c r="M29" i="16"/>
  <c r="M30" i="16" s="1"/>
  <c r="M31" i="16" s="1"/>
  <c r="E26" i="16"/>
  <c r="E29" i="16" s="1"/>
  <c r="M35" i="16"/>
  <c r="M36" i="16" s="1"/>
  <c r="L26" i="16"/>
  <c r="L29" i="16" s="1"/>
  <c r="H54" i="1"/>
  <c r="R48" i="1"/>
  <c r="C35" i="16"/>
  <c r="C36" i="16" s="1"/>
  <c r="L35" i="16"/>
  <c r="L36" i="16" s="1"/>
  <c r="D26" i="16"/>
  <c r="D29" i="16" s="1"/>
  <c r="J35" i="16"/>
  <c r="J36" i="16" s="1"/>
  <c r="H34" i="16"/>
  <c r="C60" i="16"/>
  <c r="E30" i="1" s="1"/>
  <c r="J34" i="16"/>
  <c r="G19" i="16"/>
  <c r="F35" i="16"/>
  <c r="F36" i="16" s="1"/>
  <c r="F29" i="16"/>
  <c r="G35" i="16"/>
  <c r="G36" i="16" s="1"/>
  <c r="J29" i="16"/>
  <c r="I26" i="16"/>
  <c r="I29" i="16" s="1"/>
  <c r="E9" i="16"/>
  <c r="E10" i="16" s="1"/>
  <c r="D6" i="16"/>
  <c r="D5" i="4" s="1"/>
  <c r="B6" i="16"/>
  <c r="C6" i="16"/>
  <c r="R53" i="1"/>
  <c r="R50" i="1"/>
  <c r="R49" i="1"/>
  <c r="J19" i="16"/>
  <c r="J20" i="16" s="1"/>
  <c r="E35" i="16"/>
  <c r="E36" i="16" s="1"/>
  <c r="C26" i="16"/>
  <c r="C29" i="16" s="1"/>
  <c r="B26" i="16"/>
  <c r="B29" i="16" s="1"/>
  <c r="O49" i="1"/>
  <c r="F19" i="16"/>
  <c r="G29" i="22" s="1"/>
  <c r="O48" i="1"/>
  <c r="H19" i="16"/>
  <c r="H20" i="16" s="1"/>
  <c r="C9" i="16"/>
  <c r="C10" i="16" s="1"/>
  <c r="C19" i="16"/>
  <c r="D29" i="22" s="1"/>
  <c r="E19" i="16"/>
  <c r="F29" i="22" s="1"/>
  <c r="D35" i="16"/>
  <c r="D36" i="16" s="1"/>
  <c r="G6" i="16"/>
  <c r="H9" i="16"/>
  <c r="H10" i="16" s="1"/>
  <c r="H6" i="16"/>
  <c r="J9" i="16"/>
  <c r="J10" i="16" s="1"/>
  <c r="J6" i="16"/>
  <c r="D19" i="16"/>
  <c r="E29" i="22" s="1"/>
  <c r="H56" i="1"/>
  <c r="K6" i="16"/>
  <c r="L9" i="16"/>
  <c r="L10" i="16" s="1"/>
  <c r="G34" i="16"/>
  <c r="L19" i="16"/>
  <c r="L20" i="16" s="1"/>
  <c r="D9" i="16"/>
  <c r="D10" i="16" s="1"/>
  <c r="G26" i="16"/>
  <c r="G29" i="16" s="1"/>
  <c r="H26" i="16"/>
  <c r="H29" i="16" s="1"/>
  <c r="E6" i="16"/>
  <c r="F9" i="16"/>
  <c r="F10" i="16" s="1"/>
  <c r="N49" i="1"/>
  <c r="F6" i="16"/>
  <c r="R47" i="1"/>
  <c r="H35" i="16"/>
  <c r="F34" i="16"/>
  <c r="I29" i="22" l="1"/>
  <c r="E45" i="1" a="1"/>
  <c r="E45" i="1" s="1"/>
  <c r="G20" i="16"/>
  <c r="F20" i="16"/>
  <c r="E20" i="16"/>
  <c r="D20" i="16"/>
  <c r="I45" i="1" a="1"/>
  <c r="S50" i="1" s="1"/>
  <c r="B30" i="16"/>
  <c r="B31" i="16" s="1"/>
  <c r="I32" i="10" s="1"/>
  <c r="H36" i="16"/>
  <c r="K28" i="1"/>
  <c r="N54" i="1"/>
  <c r="C20" i="16"/>
  <c r="J60" i="16"/>
  <c r="M60" i="16"/>
  <c r="G60" i="16"/>
  <c r="F60" i="16"/>
  <c r="E60" i="16"/>
  <c r="L60" i="16"/>
  <c r="H60" i="16"/>
  <c r="C59" i="16"/>
  <c r="K30" i="16"/>
  <c r="K31" i="16" s="1"/>
  <c r="L30" i="16"/>
  <c r="L31" i="16" s="1"/>
  <c r="O46" i="1"/>
  <c r="O47" i="1"/>
  <c r="J30" i="16"/>
  <c r="J31" i="16" s="1"/>
  <c r="D30" i="16"/>
  <c r="D31" i="16" s="1"/>
  <c r="N46" i="1"/>
  <c r="N50" i="1"/>
  <c r="E30" i="16"/>
  <c r="E31" i="16" s="1"/>
  <c r="I30" i="16"/>
  <c r="I31" i="16" s="1"/>
  <c r="H30" i="16"/>
  <c r="H31" i="16" s="1"/>
  <c r="N48" i="1"/>
  <c r="N47" i="1"/>
  <c r="G30" i="16"/>
  <c r="G31" i="16" s="1"/>
  <c r="C30" i="16"/>
  <c r="C31" i="16" s="1"/>
  <c r="C56" i="1"/>
  <c r="F30" i="16"/>
  <c r="F31" i="16" s="1"/>
  <c r="O50" i="1"/>
  <c r="R52" i="1"/>
  <c r="R51" i="1"/>
  <c r="N51" i="1"/>
  <c r="O51" i="1"/>
  <c r="O52" i="1"/>
  <c r="C57" i="1"/>
  <c r="N53" i="1"/>
  <c r="N52" i="1"/>
  <c r="E26" i="1" l="1"/>
  <c r="M30" i="1"/>
  <c r="M56" i="1"/>
  <c r="S49" i="1"/>
  <c r="S48" i="1"/>
  <c r="I45" i="1"/>
  <c r="S53" i="1"/>
  <c r="S52" i="1"/>
  <c r="S51" i="1"/>
  <c r="L56" i="1"/>
  <c r="S47" i="1"/>
  <c r="Q49" i="1"/>
  <c r="Q50" i="1"/>
  <c r="Q51" i="1"/>
  <c r="Q47" i="1"/>
  <c r="M28" i="1"/>
  <c r="C55" i="1"/>
  <c r="F56" i="1"/>
  <c r="F54" i="1"/>
  <c r="F57" i="1"/>
  <c r="Q52" i="1"/>
  <c r="Q48" i="1"/>
  <c r="Q53" i="1"/>
  <c r="H55" i="1" l="1"/>
  <c r="F55" i="1"/>
  <c r="M24" i="1"/>
  <c r="D54" i="1" l="1"/>
  <c r="O54" i="1" s="1"/>
  <c r="B9" i="16"/>
  <c r="B10" i="16" s="1"/>
  <c r="L57" i="1" l="1"/>
  <c r="I34" i="10"/>
  <c r="J34" i="10" s="1"/>
  <c r="D56" i="1"/>
  <c r="M27" i="1"/>
  <c r="O53" i="1"/>
  <c r="D55" i="1" s="1"/>
  <c r="M57" i="1" l="1"/>
  <c r="I13" i="10"/>
  <c r="J13" i="10" s="1"/>
  <c r="F36" i="17" l="1"/>
  <c r="F37" i="17" s="1"/>
  <c r="J56" i="17"/>
  <c r="J36" i="17"/>
  <c r="J37" i="17" s="1"/>
  <c r="M44" i="16"/>
  <c r="M59" i="16" s="1"/>
  <c r="I44" i="16"/>
  <c r="I59" i="16" s="1"/>
  <c r="I36" i="17"/>
  <c r="I37" i="17" s="1"/>
  <c r="I43" i="16" s="1"/>
  <c r="E44" i="16"/>
  <c r="E59" i="16" s="1"/>
  <c r="E37" i="17"/>
  <c r="G36" i="17"/>
  <c r="G37" i="17" s="1"/>
  <c r="K36" i="17"/>
  <c r="K37" i="17" s="1"/>
  <c r="H56" i="17"/>
  <c r="H36" i="17"/>
  <c r="H37" i="17" s="1"/>
  <c r="L44" i="16"/>
  <c r="L59" i="16" s="1"/>
  <c r="L36" i="17"/>
  <c r="L37" i="17" s="1"/>
  <c r="L43" i="16" s="1"/>
  <c r="G56" i="17" l="1"/>
  <c r="G64" i="16" s="1"/>
  <c r="J44" i="16"/>
  <c r="J59" i="16" s="1"/>
  <c r="H64" i="16"/>
  <c r="K43" i="16"/>
  <c r="F43" i="16"/>
  <c r="J43" i="16"/>
  <c r="G43" i="16"/>
  <c r="F56" i="17"/>
  <c r="K44" i="16"/>
  <c r="K59" i="16" s="1"/>
  <c r="F44" i="16"/>
  <c r="F59" i="16" s="1"/>
  <c r="G44" i="16"/>
  <c r="G59" i="16" s="1"/>
  <c r="H44" i="16"/>
  <c r="H59" i="16" s="1"/>
  <c r="L56" i="17"/>
  <c r="I56" i="17"/>
  <c r="M64" i="16" l="1"/>
  <c r="I64" i="16"/>
  <c r="M43" i="16"/>
  <c r="H43" i="16"/>
  <c r="E43" i="16"/>
  <c r="F64" i="16"/>
  <c r="J64" i="16"/>
  <c r="L64" i="16"/>
  <c r="E64" i="16"/>
  <c r="D36" i="17"/>
  <c r="D37" i="17" s="1"/>
  <c r="D56" i="17"/>
  <c r="D64" i="16" s="1"/>
  <c r="C56" i="17"/>
  <c r="C64" i="16" s="1"/>
  <c r="C56" i="16"/>
  <c r="C47" i="17"/>
  <c r="C50" i="17" s="1"/>
  <c r="D43" i="16" l="1"/>
  <c r="D44" i="16"/>
  <c r="D59" i="16" s="1"/>
  <c r="G45" i="1" s="1" a="1"/>
  <c r="G45" i="1" s="1"/>
  <c r="C55" i="16"/>
  <c r="C52" i="16"/>
  <c r="B68" i="16"/>
  <c r="L48" i="1" s="1"/>
  <c r="L55" i="1" s="1"/>
  <c r="B75" i="16"/>
  <c r="C68" i="16"/>
  <c r="M48" i="1" s="1"/>
  <c r="M55" i="1" s="1"/>
  <c r="C67" i="17"/>
  <c r="E25" i="4" s="1"/>
  <c r="E26" i="4" s="1"/>
  <c r="K56" i="17" l="1"/>
  <c r="K56" i="16"/>
  <c r="K52" i="16"/>
  <c r="K55" i="16"/>
  <c r="K64" i="16" l="1"/>
  <c r="H38" i="4" l="1"/>
  <c r="H39" i="4"/>
  <c r="I10" i="4" l="1"/>
  <c r="I39" i="4" s="1"/>
  <c r="I38" i="4" l="1"/>
  <c r="J10" i="4" s="1"/>
  <c r="J39" i="4" l="1"/>
  <c r="J38" i="4"/>
  <c r="K10" i="4" s="1"/>
  <c r="K38" i="4" l="1"/>
  <c r="L10" i="4" s="1"/>
  <c r="K39" i="4"/>
  <c r="L39" i="4" l="1"/>
  <c r="L38" i="4"/>
  <c r="M10" i="4" s="1"/>
  <c r="M39" i="4" l="1"/>
  <c r="M38" i="4"/>
  <c r="N10" i="4" s="1"/>
  <c r="N38" i="4" l="1"/>
  <c r="O10" i="4" s="1"/>
  <c r="N39" i="4"/>
  <c r="O39" i="4" l="1"/>
  <c r="O38" i="4"/>
  <c r="P10" i="4" s="1"/>
  <c r="P38" i="4" l="1"/>
  <c r="Q10" i="4" s="1"/>
  <c r="P39" i="4"/>
  <c r="Q38" i="4" l="1"/>
  <c r="R10" i="4" s="1"/>
  <c r="Q39" i="4"/>
  <c r="R39" i="4" l="1"/>
  <c r="R38" i="4"/>
  <c r="S10" i="4" s="1"/>
  <c r="S39" i="4" l="1"/>
  <c r="S38" i="4"/>
  <c r="T10" i="4" s="1"/>
  <c r="T38" i="4" l="1"/>
  <c r="U10" i="4" s="1"/>
  <c r="T39" i="4" l="1"/>
  <c r="U39" i="4" l="1"/>
  <c r="U38" i="4"/>
  <c r="V10" i="4" s="1"/>
  <c r="V39" i="4" l="1"/>
  <c r="V38" i="4"/>
  <c r="W10" i="4" s="1"/>
  <c r="W38" i="4" l="1"/>
  <c r="X10" i="4" s="1"/>
  <c r="W39" i="4"/>
  <c r="X39" i="4" l="1"/>
  <c r="X38" i="4"/>
  <c r="Y10" i="4" s="1"/>
  <c r="Y38" i="4" l="1"/>
  <c r="Z10" i="4" s="1"/>
  <c r="Y39" i="4"/>
  <c r="Z39" i="4" l="1"/>
  <c r="Z38" i="4"/>
  <c r="AA10" i="4" s="1"/>
  <c r="AA39" i="4" l="1"/>
  <c r="AA38" i="4"/>
  <c r="AB10" i="4" s="1"/>
  <c r="AB38" i="4" l="1"/>
  <c r="AC10" i="4" s="1"/>
  <c r="AB39" i="4" l="1"/>
  <c r="AC39" i="4" l="1"/>
  <c r="AC38" i="4"/>
  <c r="AD10" i="4" s="1"/>
  <c r="AD39" i="4" l="1"/>
  <c r="AD38" i="4"/>
  <c r="AE10" i="4" s="1"/>
  <c r="AE38" i="4" l="1"/>
  <c r="AF10" i="4" s="1"/>
  <c r="AE39" i="4"/>
  <c r="AF39" i="4" l="1"/>
  <c r="AG39" i="4" s="1"/>
  <c r="AF38" i="4"/>
  <c r="AG38" i="4" s="1"/>
  <c r="K63" i="17" l="1"/>
  <c r="K67" i="16"/>
  <c r="L63" i="17"/>
  <c r="L67" i="16"/>
  <c r="J68" i="16"/>
  <c r="L68" i="16"/>
  <c r="M68" i="16"/>
  <c r="G14" i="4" l="1"/>
  <c r="G8" i="4" l="1"/>
  <c r="G12" i="4" s="1"/>
  <c r="G11" i="4"/>
  <c r="G20" i="4" s="1"/>
  <c r="G21" i="4"/>
  <c r="G25" i="4"/>
  <c r="G26" i="4" s="1"/>
  <c r="G44" i="4" l="1"/>
  <c r="G28" i="4" s="1"/>
  <c r="H5" i="4"/>
  <c r="D137" i="22" s="1"/>
  <c r="H9" i="4" l="1"/>
  <c r="H27" i="4"/>
  <c r="H41" i="4"/>
  <c r="H11" i="4"/>
  <c r="H20" i="4" s="1"/>
  <c r="H24" i="4"/>
  <c r="H8" i="4"/>
  <c r="H23" i="4"/>
  <c r="I5" i="4"/>
  <c r="I9" i="4" l="1"/>
  <c r="E137" i="22"/>
  <c r="I27" i="4"/>
  <c r="H40" i="4"/>
  <c r="J5" i="4"/>
  <c r="I11" i="4"/>
  <c r="I20" i="4" s="1"/>
  <c r="I23" i="4"/>
  <c r="I24" i="4"/>
  <c r="I21" i="4"/>
  <c r="I8" i="4"/>
  <c r="H14" i="4"/>
  <c r="H25" i="4"/>
  <c r="H26" i="4" s="1"/>
  <c r="H31" i="4"/>
  <c r="H12" i="4"/>
  <c r="H44" i="4" s="1"/>
  <c r="F137" i="22" l="1"/>
  <c r="J9" i="4"/>
  <c r="J27" i="4"/>
  <c r="I40" i="4"/>
  <c r="I25" i="4"/>
  <c r="I26" i="4" s="1"/>
  <c r="I31" i="4"/>
  <c r="J11" i="4"/>
  <c r="J20" i="4" s="1"/>
  <c r="J23" i="4"/>
  <c r="J8" i="4"/>
  <c r="J24" i="4"/>
  <c r="J21" i="4"/>
  <c r="K21" i="4"/>
  <c r="I14" i="4"/>
  <c r="H28" i="4"/>
  <c r="I12" i="4" l="1"/>
  <c r="J40" i="4"/>
  <c r="K24" i="4"/>
  <c r="K23" i="4"/>
  <c r="J14" i="4"/>
  <c r="K11" i="4"/>
  <c r="K20" i="4" s="1"/>
  <c r="K5" i="4"/>
  <c r="G137" i="22" s="1"/>
  <c r="L21" i="4"/>
  <c r="J31" i="4"/>
  <c r="J25" i="4"/>
  <c r="J26" i="4" s="1"/>
  <c r="I41" i="4"/>
  <c r="K9" i="4" l="1"/>
  <c r="K27" i="4"/>
  <c r="I44" i="4"/>
  <c r="I28" i="4" s="1"/>
  <c r="K40" i="4"/>
  <c r="L23" i="4"/>
  <c r="L24" i="4"/>
  <c r="K14" i="4"/>
  <c r="K31" i="4"/>
  <c r="K25" i="4"/>
  <c r="K26" i="4" s="1"/>
  <c r="J12" i="4"/>
  <c r="J44" i="4" s="1"/>
  <c r="M21" i="4"/>
  <c r="L11" i="4"/>
  <c r="L20" i="4" s="1"/>
  <c r="L5" i="4"/>
  <c r="J41" i="4"/>
  <c r="K41" i="4" l="1"/>
  <c r="L9" i="4"/>
  <c r="H137" i="22"/>
  <c r="L27" i="4"/>
  <c r="L40" i="4"/>
  <c r="M23" i="4"/>
  <c r="M24" i="4"/>
  <c r="L14" i="4"/>
  <c r="N21" i="4"/>
  <c r="M11" i="4"/>
  <c r="M20" i="4" s="1"/>
  <c r="M5" i="4"/>
  <c r="J28" i="4"/>
  <c r="L31" i="4"/>
  <c r="L25" i="4"/>
  <c r="L26" i="4" s="1"/>
  <c r="L41" i="4" l="1"/>
  <c r="I137" i="22"/>
  <c r="M9" i="4"/>
  <c r="M27" i="4"/>
  <c r="M40" i="4"/>
  <c r="N23" i="4"/>
  <c r="N24" i="4"/>
  <c r="M25" i="4"/>
  <c r="M26" i="4" s="1"/>
  <c r="M31" i="4"/>
  <c r="M14" i="4"/>
  <c r="O21" i="4"/>
  <c r="N5" i="4"/>
  <c r="N11" i="4"/>
  <c r="N20" i="4" s="1"/>
  <c r="M41" i="4" l="1"/>
  <c r="J137" i="22"/>
  <c r="N9" i="4"/>
  <c r="N41" i="4" s="1"/>
  <c r="N27" i="4"/>
  <c r="N40" i="4"/>
  <c r="O24" i="4"/>
  <c r="O23" i="4"/>
  <c r="O11" i="4"/>
  <c r="O20" i="4" s="1"/>
  <c r="O5" i="4"/>
  <c r="N25" i="4"/>
  <c r="N26" i="4" s="1"/>
  <c r="N31" i="4"/>
  <c r="N14" i="4"/>
  <c r="P21" i="4"/>
  <c r="O9" i="4" l="1"/>
  <c r="K137" i="22"/>
  <c r="O27" i="4"/>
  <c r="O14" i="4"/>
  <c r="O40" i="4"/>
  <c r="P24" i="4"/>
  <c r="P23" i="4"/>
  <c r="Q21" i="4"/>
  <c r="O25" i="4"/>
  <c r="O26" i="4" s="1"/>
  <c r="O31" i="4"/>
  <c r="O41" i="4"/>
  <c r="P11" i="4"/>
  <c r="P20" i="4" s="1"/>
  <c r="P5" i="4"/>
  <c r="P9" i="4" s="1"/>
  <c r="L137" i="22" l="1"/>
  <c r="P27" i="4"/>
  <c r="P40" i="4"/>
  <c r="Q24" i="4"/>
  <c r="Q23" i="4"/>
  <c r="Q5" i="4"/>
  <c r="Q11" i="4"/>
  <c r="Q20" i="4" s="1"/>
  <c r="R21" i="4"/>
  <c r="P41" i="4"/>
  <c r="P25" i="4"/>
  <c r="P26" i="4" s="1"/>
  <c r="P31" i="4"/>
  <c r="P14" i="4"/>
  <c r="M137" i="22" l="1"/>
  <c r="Q9" i="4"/>
  <c r="Q27" i="4"/>
  <c r="Q40" i="4"/>
  <c r="R24" i="4"/>
  <c r="R23" i="4"/>
  <c r="Q14" i="4"/>
  <c r="Q31" i="4"/>
  <c r="Q25" i="4"/>
  <c r="Q26" i="4" s="1"/>
  <c r="R5" i="4"/>
  <c r="R11" i="4"/>
  <c r="R20" i="4" s="1"/>
  <c r="S21" i="4"/>
  <c r="N137" i="22" l="1"/>
  <c r="R9" i="4"/>
  <c r="R27" i="4"/>
  <c r="R40" i="4"/>
  <c r="S24" i="4"/>
  <c r="S23" i="4"/>
  <c r="R14" i="4"/>
  <c r="Q41" i="4"/>
  <c r="T21" i="4"/>
  <c r="S11" i="4"/>
  <c r="S20" i="4" s="1"/>
  <c r="S5" i="4"/>
  <c r="S9" i="4" s="1"/>
  <c r="R31" i="4"/>
  <c r="R25" i="4"/>
  <c r="R26" i="4" s="1"/>
  <c r="O137" i="22" l="1"/>
  <c r="S27" i="4"/>
  <c r="S40" i="4"/>
  <c r="T23" i="4"/>
  <c r="T24" i="4"/>
  <c r="S14" i="4"/>
  <c r="S25" i="4"/>
  <c r="S26" i="4" s="1"/>
  <c r="S31" i="4"/>
  <c r="U21" i="4"/>
  <c r="T11" i="4"/>
  <c r="T20" i="4" s="1"/>
  <c r="T5" i="4"/>
  <c r="T9" i="4" s="1"/>
  <c r="R41" i="4"/>
  <c r="P137" i="22" l="1"/>
  <c r="T27" i="4"/>
  <c r="T40" i="4"/>
  <c r="U23" i="4"/>
  <c r="U24" i="4"/>
  <c r="U5" i="4"/>
  <c r="U11" i="4"/>
  <c r="U20" i="4" s="1"/>
  <c r="S41" i="4"/>
  <c r="T31" i="4"/>
  <c r="T25" i="4"/>
  <c r="T26" i="4" s="1"/>
  <c r="V21" i="4"/>
  <c r="T14" i="4"/>
  <c r="Q137" i="22" l="1"/>
  <c r="U9" i="4"/>
  <c r="U27" i="4"/>
  <c r="U40" i="4"/>
  <c r="V23" i="4"/>
  <c r="V24" i="4"/>
  <c r="T41" i="4"/>
  <c r="W21" i="4"/>
  <c r="V11" i="4"/>
  <c r="V20" i="4" s="1"/>
  <c r="V5" i="4"/>
  <c r="U14" i="4"/>
  <c r="U25" i="4"/>
  <c r="U26" i="4" s="1"/>
  <c r="U31" i="4"/>
  <c r="R137" i="22" l="1"/>
  <c r="V9" i="4"/>
  <c r="V27" i="4"/>
  <c r="V14" i="4"/>
  <c r="V40" i="4"/>
  <c r="W24" i="4"/>
  <c r="W23" i="4"/>
  <c r="U41" i="4"/>
  <c r="W5" i="4"/>
  <c r="W11" i="4"/>
  <c r="W20" i="4" s="1"/>
  <c r="X21" i="4"/>
  <c r="V31" i="4"/>
  <c r="V25" i="4"/>
  <c r="V26" i="4" s="1"/>
  <c r="S137" i="22" l="1"/>
  <c r="W27" i="4"/>
  <c r="W14" i="4"/>
  <c r="W9" i="4"/>
  <c r="W40" i="4"/>
  <c r="X24" i="4"/>
  <c r="X23" i="4"/>
  <c r="V41" i="4"/>
  <c r="X5" i="4"/>
  <c r="X11" i="4"/>
  <c r="X20" i="4" s="1"/>
  <c r="Y21" i="4"/>
  <c r="W31" i="4"/>
  <c r="W25" i="4"/>
  <c r="W26" i="4" s="1"/>
  <c r="T137" i="22" l="1"/>
  <c r="X27" i="4"/>
  <c r="X9" i="4"/>
  <c r="X40" i="4"/>
  <c r="Y24" i="4"/>
  <c r="Y23" i="4"/>
  <c r="X25" i="4"/>
  <c r="X26" i="4" s="1"/>
  <c r="X31" i="4"/>
  <c r="X14" i="4"/>
  <c r="Y11" i="4"/>
  <c r="Y20" i="4" s="1"/>
  <c r="Y5" i="4"/>
  <c r="Z21" i="4"/>
  <c r="W41" i="4"/>
  <c r="Y27" i="4" l="1"/>
  <c r="U137" i="22"/>
  <c r="Y9" i="4"/>
  <c r="Y40" i="4"/>
  <c r="Z24" i="4"/>
  <c r="Z23" i="4"/>
  <c r="X41" i="4"/>
  <c r="Y41" i="4" s="1"/>
  <c r="AA21" i="4"/>
  <c r="Z11" i="4"/>
  <c r="Z20" i="4" s="1"/>
  <c r="Z5" i="4"/>
  <c r="Z27" i="4" s="1"/>
  <c r="Y31" i="4"/>
  <c r="Y25" i="4"/>
  <c r="Y26" i="4" s="1"/>
  <c r="Y14" i="4"/>
  <c r="V137" i="22" l="1"/>
  <c r="Z9" i="4"/>
  <c r="Z41" i="4" s="1"/>
  <c r="Z40" i="4"/>
  <c r="AA24" i="4"/>
  <c r="AA23" i="4"/>
  <c r="Z25" i="4"/>
  <c r="Z26" i="4" s="1"/>
  <c r="Z31" i="4"/>
  <c r="Z14" i="4"/>
  <c r="AB21" i="4"/>
  <c r="AA11" i="4"/>
  <c r="AA20" i="4" s="1"/>
  <c r="AA5" i="4"/>
  <c r="AA27" i="4" s="1"/>
  <c r="W137" i="22" l="1"/>
  <c r="AA9" i="4"/>
  <c r="AA40" i="4"/>
  <c r="AB24" i="4"/>
  <c r="AB23" i="4"/>
  <c r="AC21" i="4"/>
  <c r="AA14" i="4"/>
  <c r="AA25" i="4"/>
  <c r="AA26" i="4" s="1"/>
  <c r="AA31" i="4"/>
  <c r="AB11" i="4"/>
  <c r="AB20" i="4" s="1"/>
  <c r="AB5" i="4"/>
  <c r="AB27" i="4" s="1"/>
  <c r="X137" i="22" l="1"/>
  <c r="AB9" i="4"/>
  <c r="AB40" i="4"/>
  <c r="AC23" i="4"/>
  <c r="AC24" i="4"/>
  <c r="AB14" i="4"/>
  <c r="AB31" i="4"/>
  <c r="AB25" i="4"/>
  <c r="AB26" i="4" s="1"/>
  <c r="AA41" i="4"/>
  <c r="AD21" i="4"/>
  <c r="AC5" i="4"/>
  <c r="AC27" i="4" s="1"/>
  <c r="AC11" i="4"/>
  <c r="AC20" i="4" s="1"/>
  <c r="Y137" i="22" l="1"/>
  <c r="AC9" i="4"/>
  <c r="AC40" i="4"/>
  <c r="AD23" i="4"/>
  <c r="AD24" i="4"/>
  <c r="AD11" i="4"/>
  <c r="AD20" i="4" s="1"/>
  <c r="AD5" i="4"/>
  <c r="AD27" i="4" s="1"/>
  <c r="AB41" i="4"/>
  <c r="AE21" i="4"/>
  <c r="AC25" i="4"/>
  <c r="AC26" i="4" s="1"/>
  <c r="AC31" i="4"/>
  <c r="AC14" i="4"/>
  <c r="Z137" i="22" l="1"/>
  <c r="AD9" i="4"/>
  <c r="AD40" i="4"/>
  <c r="AE24" i="4"/>
  <c r="AE23" i="4"/>
  <c r="AF21" i="4"/>
  <c r="AE5" i="4"/>
  <c r="AE27" i="4" s="1"/>
  <c r="AE11" i="4"/>
  <c r="AE20" i="4" s="1"/>
  <c r="AC41" i="4"/>
  <c r="AD14" i="4"/>
  <c r="AD25" i="4"/>
  <c r="AD26" i="4" s="1"/>
  <c r="AD31" i="4"/>
  <c r="AA137" i="22" l="1"/>
  <c r="AE9" i="4"/>
  <c r="AE40" i="4"/>
  <c r="AF11" i="4"/>
  <c r="AF20" i="4" s="1"/>
  <c r="AF24" i="4"/>
  <c r="AF23" i="4"/>
  <c r="AG23" i="4" s="1"/>
  <c r="AF5" i="4"/>
  <c r="AF27" i="4" s="1"/>
  <c r="AE14" i="4"/>
  <c r="AD41" i="4"/>
  <c r="AE31" i="4"/>
  <c r="AE25" i="4"/>
  <c r="AE26" i="4" s="1"/>
  <c r="AB137" i="22" l="1"/>
  <c r="AF9" i="4"/>
  <c r="AG9" i="4" s="1"/>
  <c r="AF40" i="4"/>
  <c r="AG40" i="4" s="1"/>
  <c r="AF14" i="4"/>
  <c r="AF31" i="4"/>
  <c r="AE41" i="4"/>
  <c r="AF25" i="4"/>
  <c r="AF26" i="4" s="1"/>
  <c r="AF41" i="4" l="1"/>
  <c r="AG41" i="4" s="1"/>
  <c r="AH24" i="4"/>
  <c r="B7" i="3" l="1"/>
  <c r="H22" i="1" s="1"/>
  <c r="B6" i="3"/>
  <c r="H21" i="1" s="1"/>
  <c r="B11" i="3"/>
  <c r="B12" i="3"/>
  <c r="B5" i="3"/>
  <c r="H20" i="1" s="1"/>
  <c r="O8" i="3"/>
  <c r="N8" i="3"/>
  <c r="M8" i="3"/>
  <c r="K8" i="3"/>
  <c r="L8" i="3"/>
  <c r="B18" i="3"/>
  <c r="H26" i="1" s="1"/>
  <c r="B19" i="3"/>
  <c r="H27" i="1" s="1"/>
  <c r="O20" i="3"/>
  <c r="N20" i="3"/>
  <c r="M20" i="3"/>
  <c r="K20" i="3"/>
  <c r="L20" i="3"/>
  <c r="E22" i="4"/>
  <c r="E34" i="4" s="1"/>
  <c r="E36" i="4" s="1"/>
  <c r="E43" i="4" s="1"/>
  <c r="D22" i="4"/>
  <c r="D34" i="4" s="1"/>
  <c r="D36" i="4" s="1"/>
  <c r="F22" i="4"/>
  <c r="F34" i="4" s="1"/>
  <c r="F36" i="4" s="1"/>
  <c r="F43" i="4" l="1"/>
  <c r="G13" i="4" l="1"/>
  <c r="G15" i="4" s="1"/>
  <c r="G16" i="4" s="1"/>
  <c r="G17" i="4" s="1"/>
  <c r="G30" i="4" l="1"/>
  <c r="G19" i="4"/>
  <c r="G22" i="4" s="1"/>
  <c r="G34" i="4" s="1"/>
  <c r="G29" i="4"/>
  <c r="G35" i="4" l="1"/>
  <c r="G36" i="4" s="1"/>
  <c r="G43" i="4" s="1"/>
  <c r="H13" i="4" s="1"/>
  <c r="H15" i="4" s="1"/>
  <c r="H16" i="4" s="1"/>
  <c r="H17" i="4" s="1"/>
  <c r="H30" i="4" s="1"/>
  <c r="G32" i="4"/>
  <c r="H19" i="4" l="1"/>
  <c r="H22" i="4" s="1"/>
  <c r="H34" i="4" s="1"/>
  <c r="H29" i="4"/>
  <c r="H32" i="4" l="1"/>
  <c r="H35" i="4"/>
  <c r="H36" i="4" s="1"/>
  <c r="H43" i="4" s="1"/>
  <c r="I13" i="4" s="1"/>
  <c r="I15" i="4" s="1"/>
  <c r="I16" i="4" s="1"/>
  <c r="I17" i="4" s="1"/>
  <c r="I30" i="4" s="1"/>
  <c r="I29" i="4" l="1"/>
  <c r="I19" i="4"/>
  <c r="I22" i="4" s="1"/>
  <c r="I34" i="4" s="1"/>
  <c r="I35" i="4" l="1"/>
  <c r="I36" i="4" s="1"/>
  <c r="I43" i="4" s="1"/>
  <c r="J13" i="4" s="1"/>
  <c r="J15" i="4" s="1"/>
  <c r="J16" i="4" s="1"/>
  <c r="J17" i="4" s="1"/>
  <c r="J30" i="4" s="1"/>
  <c r="I32" i="4"/>
  <c r="K8" i="4"/>
  <c r="K12" i="4" s="1"/>
  <c r="K44" i="4" s="1"/>
  <c r="K28" i="4" s="1"/>
  <c r="J29" i="4" l="1"/>
  <c r="J19" i="4"/>
  <c r="J22" i="4" s="1"/>
  <c r="J34" i="4" s="1"/>
  <c r="J32" i="4" l="1"/>
  <c r="J35" i="4"/>
  <c r="J36" i="4" s="1"/>
  <c r="J43" i="4" s="1"/>
  <c r="K13" i="4" s="1"/>
  <c r="K15" i="4" s="1"/>
  <c r="K16" i="4" s="1"/>
  <c r="K17" i="4" s="1"/>
  <c r="M8" i="4"/>
  <c r="M12" i="4" s="1"/>
  <c r="M44" i="4" s="1"/>
  <c r="N8" i="4"/>
  <c r="N12" i="4" s="1"/>
  <c r="N44" i="4" s="1"/>
  <c r="O8" i="4"/>
  <c r="O12" i="4" s="1"/>
  <c r="O44" i="4" s="1"/>
  <c r="P8" i="4"/>
  <c r="P12" i="4" s="1"/>
  <c r="P44" i="4" s="1"/>
  <c r="Q8" i="4"/>
  <c r="Q12" i="4" s="1"/>
  <c r="Q44" i="4" s="1"/>
  <c r="R8" i="4"/>
  <c r="R12" i="4" s="1"/>
  <c r="R44" i="4" s="1"/>
  <c r="S8" i="4"/>
  <c r="S12" i="4" s="1"/>
  <c r="S44" i="4" s="1"/>
  <c r="T8" i="4"/>
  <c r="T12" i="4" s="1"/>
  <c r="T44" i="4" s="1"/>
  <c r="U8" i="4"/>
  <c r="U12" i="4" s="1"/>
  <c r="U44" i="4" s="1"/>
  <c r="U28" i="4" s="1"/>
  <c r="V8" i="4"/>
  <c r="V12" i="4" s="1"/>
  <c r="V44" i="4" s="1"/>
  <c r="W8" i="4"/>
  <c r="W12" i="4" s="1"/>
  <c r="W44" i="4" s="1"/>
  <c r="X8" i="4"/>
  <c r="X12" i="4" s="1"/>
  <c r="X44" i="4" s="1"/>
  <c r="Y8" i="4"/>
  <c r="Y12" i="4" s="1"/>
  <c r="Y44" i="4" s="1"/>
  <c r="Z8" i="4"/>
  <c r="Z12" i="4" s="1"/>
  <c r="Z44" i="4" s="1"/>
  <c r="AA8" i="4"/>
  <c r="AA12" i="4" s="1"/>
  <c r="AA44" i="4" s="1"/>
  <c r="AB8" i="4"/>
  <c r="AB12" i="4" s="1"/>
  <c r="AB44" i="4" s="1"/>
  <c r="AC8" i="4"/>
  <c r="AC12" i="4" s="1"/>
  <c r="AC44" i="4" s="1"/>
  <c r="AD8" i="4"/>
  <c r="AD12" i="4" s="1"/>
  <c r="AD44" i="4" s="1"/>
  <c r="AE8" i="4"/>
  <c r="AE12" i="4" s="1"/>
  <c r="AE44" i="4" s="1"/>
  <c r="L8" i="4"/>
  <c r="L12" i="4" s="1"/>
  <c r="L44" i="4" s="1"/>
  <c r="L28" i="4" s="1"/>
  <c r="AF8" i="4"/>
  <c r="AF12" i="4" s="1"/>
  <c r="AF44" i="4" s="1"/>
  <c r="K29" i="4" l="1"/>
  <c r="K19" i="4"/>
  <c r="K22" i="4" s="1"/>
  <c r="K34" i="4" s="1"/>
  <c r="K30" i="4"/>
  <c r="K35" i="4" s="1"/>
  <c r="Y28" i="4"/>
  <c r="X28" i="4"/>
  <c r="AC28" i="4"/>
  <c r="O28" i="4"/>
  <c r="AB28" i="4"/>
  <c r="S28" i="4"/>
  <c r="AA28" i="4"/>
  <c r="V28" i="4"/>
  <c r="Q28" i="4"/>
  <c r="R28" i="4"/>
  <c r="Z28" i="4"/>
  <c r="P28" i="4"/>
  <c r="T28" i="4"/>
  <c r="N28" i="4"/>
  <c r="AE28" i="4"/>
  <c r="AD28" i="4"/>
  <c r="AF28" i="4"/>
  <c r="W28" i="4"/>
  <c r="M28" i="4"/>
  <c r="K32" i="4" l="1"/>
  <c r="K36" i="4"/>
  <c r="K43" i="4" s="1"/>
  <c r="L13" i="4" s="1"/>
  <c r="L15" i="4" s="1"/>
  <c r="L16" i="4" s="1"/>
  <c r="L17" i="4" s="1"/>
  <c r="L29" i="4" s="1"/>
  <c r="L19" i="4" l="1"/>
  <c r="L22" i="4" s="1"/>
  <c r="L34" i="4" s="1"/>
  <c r="L30" i="4"/>
  <c r="L35" i="4" s="1"/>
  <c r="L36" i="4" l="1"/>
  <c r="L43" i="4" s="1"/>
  <c r="M13" i="4" s="1"/>
  <c r="M15" i="4" s="1"/>
  <c r="M16" i="4" s="1"/>
  <c r="M17" i="4" s="1"/>
  <c r="M29" i="4" s="1"/>
  <c r="L32" i="4"/>
  <c r="M19" i="4" l="1"/>
  <c r="M22" i="4" s="1"/>
  <c r="M34" i="4" s="1"/>
  <c r="M30" i="4"/>
  <c r="M35" i="4" s="1"/>
  <c r="M36" i="4" l="1"/>
  <c r="M43" i="4" s="1"/>
  <c r="N13" i="4" s="1"/>
  <c r="N15" i="4" s="1"/>
  <c r="N16" i="4" s="1"/>
  <c r="N17" i="4" s="1"/>
  <c r="N29" i="4" s="1"/>
  <c r="M32" i="4"/>
  <c r="N30" i="4" l="1"/>
  <c r="N35" i="4" s="1"/>
  <c r="N19" i="4"/>
  <c r="N22" i="4" s="1"/>
  <c r="N34" i="4" s="1"/>
  <c r="N32" i="4"/>
  <c r="N36" i="4" l="1"/>
  <c r="N43" i="4" s="1"/>
  <c r="O13" i="4" s="1"/>
  <c r="O15" i="4" l="1"/>
  <c r="O16" i="4" s="1"/>
  <c r="O17" i="4" s="1"/>
  <c r="O29" i="4" s="1"/>
  <c r="O19" i="4" l="1"/>
  <c r="O22" i="4" s="1"/>
  <c r="O34" i="4" s="1"/>
  <c r="O30" i="4"/>
  <c r="O35" i="4" s="1"/>
  <c r="O32" i="4" l="1"/>
  <c r="O36" i="4"/>
  <c r="O43" i="4" s="1"/>
  <c r="P13" i="4" s="1"/>
  <c r="P15" i="4" l="1"/>
  <c r="P16" i="4" s="1"/>
  <c r="P17" i="4" s="1"/>
  <c r="P29" i="4" s="1"/>
  <c r="P30" i="4" l="1"/>
  <c r="P35" i="4" s="1"/>
  <c r="P19" i="4"/>
  <c r="P22" i="4" s="1"/>
  <c r="P34" i="4" s="1"/>
  <c r="P32" i="4" l="1"/>
  <c r="P36" i="4"/>
  <c r="P43" i="4" s="1"/>
  <c r="Q13" i="4" s="1"/>
  <c r="Q15" i="4" l="1"/>
  <c r="Q16" i="4" s="1"/>
  <c r="Q17" i="4" s="1"/>
  <c r="Q29" i="4" s="1"/>
  <c r="Q30" i="4" l="1"/>
  <c r="Q19" i="4"/>
  <c r="Q22" i="4" s="1"/>
  <c r="Q34" i="4" s="1"/>
  <c r="Q35" i="4"/>
  <c r="Q32" i="4"/>
  <c r="Q36" i="4" l="1"/>
  <c r="Q43" i="4" s="1"/>
  <c r="R13" i="4" s="1"/>
  <c r="R15" i="4" l="1"/>
  <c r="R16" i="4" s="1"/>
  <c r="R17" i="4" s="1"/>
  <c r="R29" i="4" s="1"/>
  <c r="R30" i="4" l="1"/>
  <c r="R35" i="4" s="1"/>
  <c r="R19" i="4"/>
  <c r="R22" i="4" s="1"/>
  <c r="R34" i="4" s="1"/>
  <c r="R32" i="4" l="1"/>
  <c r="R36" i="4"/>
  <c r="R43" i="4" s="1"/>
  <c r="S13" i="4" s="1"/>
  <c r="S15" i="4" l="1"/>
  <c r="S16" i="4" s="1"/>
  <c r="S17" i="4" s="1"/>
  <c r="S29" i="4" s="1"/>
  <c r="S30" i="4" l="1"/>
  <c r="S35" i="4" s="1"/>
  <c r="S19" i="4"/>
  <c r="S22" i="4" s="1"/>
  <c r="S34" i="4" s="1"/>
  <c r="S32" i="4" l="1"/>
  <c r="S36" i="4"/>
  <c r="S43" i="4" s="1"/>
  <c r="T13" i="4" s="1"/>
  <c r="T15" i="4" l="1"/>
  <c r="T16" i="4" s="1"/>
  <c r="T17" i="4" s="1"/>
  <c r="T29" i="4" s="1"/>
  <c r="T30" i="4" l="1"/>
  <c r="T19" i="4"/>
  <c r="T22" i="4" s="1"/>
  <c r="T34" i="4" s="1"/>
  <c r="T35" i="4"/>
  <c r="T32" i="4"/>
  <c r="T36" i="4" l="1"/>
  <c r="T43" i="4" s="1"/>
  <c r="U13" i="4" s="1"/>
  <c r="U15" i="4" l="1"/>
  <c r="U16" i="4" s="1"/>
  <c r="U17" i="4" s="1"/>
  <c r="U29" i="4" s="1"/>
  <c r="U30" i="4" l="1"/>
  <c r="U19" i="4"/>
  <c r="U22" i="4" s="1"/>
  <c r="U34" i="4" s="1"/>
  <c r="U35" i="4"/>
  <c r="U32" i="4"/>
  <c r="U36" i="4" l="1"/>
  <c r="U43" i="4" s="1"/>
  <c r="V13" i="4" s="1"/>
  <c r="V15" i="4" l="1"/>
  <c r="V16" i="4" s="1"/>
  <c r="V17" i="4" s="1"/>
  <c r="V29" i="4" s="1"/>
  <c r="V30" i="4" l="1"/>
  <c r="V35" i="4" s="1"/>
  <c r="V19" i="4"/>
  <c r="V22" i="4" s="1"/>
  <c r="V34" i="4" s="1"/>
  <c r="V32" i="4" l="1"/>
  <c r="V36" i="4"/>
  <c r="V43" i="4" s="1"/>
  <c r="W13" i="4" s="1"/>
  <c r="W15" i="4" l="1"/>
  <c r="W16" i="4" s="1"/>
  <c r="W17" i="4" s="1"/>
  <c r="W29" i="4" s="1"/>
  <c r="W30" i="4" l="1"/>
  <c r="W35" i="4" s="1"/>
  <c r="W19" i="4"/>
  <c r="W22" i="4" s="1"/>
  <c r="W34" i="4" s="1"/>
  <c r="W32" i="4" l="1"/>
  <c r="W36" i="4"/>
  <c r="W43" i="4" s="1"/>
  <c r="X13" i="4" s="1"/>
  <c r="X15" i="4" l="1"/>
  <c r="X16" i="4" s="1"/>
  <c r="X17" i="4" s="1"/>
  <c r="X29" i="4" s="1"/>
  <c r="X30" i="4" l="1"/>
  <c r="X35" i="4" s="1"/>
  <c r="X19" i="4"/>
  <c r="X22" i="4" s="1"/>
  <c r="X34" i="4" s="1"/>
  <c r="X32" i="4" l="1"/>
  <c r="X36" i="4"/>
  <c r="X43" i="4" s="1"/>
  <c r="Y13" i="4" s="1"/>
  <c r="Y15" i="4" l="1"/>
  <c r="Y16" i="4" s="1"/>
  <c r="Y17" i="4" s="1"/>
  <c r="Y29" i="4" s="1"/>
  <c r="Y30" i="4" l="1"/>
  <c r="Y19" i="4"/>
  <c r="Y22" i="4" s="1"/>
  <c r="Y34" i="4" s="1"/>
  <c r="Y35" i="4"/>
  <c r="Y32" i="4"/>
  <c r="Y36" i="4" l="1"/>
  <c r="Y43" i="4" s="1"/>
  <c r="Z13" i="4" s="1"/>
  <c r="Z15" i="4" l="1"/>
  <c r="Z16" i="4" s="1"/>
  <c r="Z17" i="4" s="1"/>
  <c r="Z29" i="4" s="1"/>
  <c r="Z30" i="4" l="1"/>
  <c r="Z19" i="4"/>
  <c r="Z22" i="4" s="1"/>
  <c r="Z34" i="4" s="1"/>
  <c r="Z35" i="4"/>
  <c r="Z32" i="4"/>
  <c r="Z36" i="4" l="1"/>
  <c r="Z43" i="4" s="1"/>
  <c r="AA13" i="4" s="1"/>
  <c r="AA15" i="4" l="1"/>
  <c r="AA16" i="4" s="1"/>
  <c r="AA17" i="4" s="1"/>
  <c r="AA29" i="4" s="1"/>
  <c r="AA30" i="4" l="1"/>
  <c r="AA19" i="4"/>
  <c r="AA22" i="4" s="1"/>
  <c r="AA34" i="4" s="1"/>
  <c r="AA35" i="4"/>
  <c r="AA32" i="4"/>
  <c r="AA36" i="4" l="1"/>
  <c r="AA43" i="4" s="1"/>
  <c r="AB13" i="4" s="1"/>
  <c r="AB15" i="4" l="1"/>
  <c r="AB16" i="4" s="1"/>
  <c r="AB17" i="4" s="1"/>
  <c r="AB29" i="4" s="1"/>
  <c r="AB30" i="4" l="1"/>
  <c r="AB19" i="4"/>
  <c r="AB22" i="4" s="1"/>
  <c r="AB34" i="4" s="1"/>
  <c r="AB35" i="4"/>
  <c r="AB32" i="4"/>
  <c r="AB36" i="4" l="1"/>
  <c r="AB43" i="4" s="1"/>
  <c r="AC13" i="4" s="1"/>
  <c r="AC15" i="4" l="1"/>
  <c r="AC16" i="4" s="1"/>
  <c r="AC17" i="4" s="1"/>
  <c r="AC29" i="4" s="1"/>
  <c r="AC30" i="4" l="1"/>
  <c r="AC19" i="4"/>
  <c r="AC22" i="4" s="1"/>
  <c r="AC34" i="4" s="1"/>
  <c r="AC35" i="4"/>
  <c r="AC32" i="4"/>
  <c r="AC36" i="4" l="1"/>
  <c r="AC43" i="4" s="1"/>
  <c r="AD13" i="4" s="1"/>
  <c r="AD15" i="4" l="1"/>
  <c r="AD16" i="4" s="1"/>
  <c r="AD17" i="4" s="1"/>
  <c r="AD29" i="4" s="1"/>
  <c r="AD30" i="4" l="1"/>
  <c r="AD19" i="4"/>
  <c r="AD22" i="4" s="1"/>
  <c r="AD34" i="4" s="1"/>
  <c r="AD35" i="4"/>
  <c r="AD32" i="4"/>
  <c r="AD36" i="4" l="1"/>
  <c r="AD43" i="4" s="1"/>
  <c r="AE13" i="4" s="1"/>
  <c r="AE15" i="4" l="1"/>
  <c r="AE16" i="4" s="1"/>
  <c r="AE17" i="4" s="1"/>
  <c r="AE29" i="4" s="1"/>
  <c r="AE30" i="4" l="1"/>
  <c r="AE19" i="4"/>
  <c r="AE22" i="4" s="1"/>
  <c r="AE34" i="4" s="1"/>
  <c r="AE35" i="4"/>
  <c r="AE32" i="4"/>
  <c r="AE36" i="4" l="1"/>
  <c r="AE43" i="4" s="1"/>
  <c r="AF13" i="4" s="1"/>
  <c r="AF15" i="4" l="1"/>
  <c r="AF16" i="4" s="1"/>
  <c r="AF17" i="4" s="1"/>
  <c r="AF29" i="4" s="1"/>
  <c r="AF19" i="4" l="1"/>
  <c r="AF22" i="4" s="1"/>
  <c r="AF34" i="4" s="1"/>
  <c r="AF30" i="4"/>
  <c r="D69" i="4"/>
  <c r="AF35" i="4"/>
  <c r="AF32" i="4"/>
  <c r="AF36" i="4" l="1"/>
  <c r="AF43" i="4" s="1"/>
  <c r="D76" i="4" l="1"/>
  <c r="D75" i="4"/>
  <c r="D68" i="4"/>
  <c r="D70" i="4" l="1"/>
  <c r="D73" i="4" s="1"/>
  <c r="D72" i="4" s="1"/>
  <c r="E69" i="4" l="1"/>
  <c r="E68" i="4"/>
  <c r="D78" i="4" l="1"/>
  <c r="H39" i="1"/>
  <c r="J41" i="1"/>
  <c r="E75" i="4"/>
  <c r="E76" i="4"/>
  <c r="N7" i="27"/>
  <c r="Z7" i="27"/>
  <c r="Y7" i="27"/>
  <c r="N8" i="27"/>
  <c r="Z8" i="27"/>
  <c r="Y8" i="27"/>
  <c r="N5" i="27"/>
  <c r="Z5" i="27"/>
  <c r="Y5" i="27"/>
  <c r="N4" i="27"/>
  <c r="Z4" i="27"/>
  <c r="Y4" i="27"/>
  <c r="N6" i="27"/>
  <c r="Z6" i="27"/>
  <c r="Y6" i="27"/>
  <c r="N86" i="27"/>
  <c r="Z86" i="27" s="1"/>
  <c r="Y86" i="27" s="1"/>
  <c r="N78" i="27"/>
  <c r="Z78" i="27" s="1"/>
  <c r="Y78" i="27" s="1"/>
  <c r="N62" i="27"/>
  <c r="Z62" i="27" s="1"/>
  <c r="Y62" i="27" s="1"/>
  <c r="N46" i="27"/>
  <c r="Z46" i="27" s="1"/>
  <c r="Y46" i="27" s="1"/>
  <c r="N30" i="27"/>
  <c r="Z30" i="27" s="1"/>
  <c r="Y30" i="27" s="1"/>
  <c r="N22" i="27"/>
  <c r="Z22" i="27" s="1"/>
  <c r="Y22" i="27" s="1"/>
  <c r="N19" i="27"/>
  <c r="Z19" i="27" s="1"/>
  <c r="Y19" i="27" s="1"/>
  <c r="N93" i="27"/>
  <c r="Z93" i="27" s="1"/>
  <c r="Y93" i="27" s="1"/>
  <c r="N85" i="27"/>
  <c r="Z85" i="27" s="1"/>
  <c r="Y85" i="27" s="1"/>
  <c r="N69" i="27"/>
  <c r="Z69" i="27" s="1"/>
  <c r="Y69" i="27" s="1"/>
  <c r="N61" i="27"/>
  <c r="Z61" i="27" s="1"/>
  <c r="Y61" i="27" s="1"/>
  <c r="N53" i="27"/>
  <c r="Z53" i="27" s="1"/>
  <c r="Y53" i="27" s="1"/>
  <c r="N45" i="27"/>
  <c r="Z45" i="27" s="1"/>
  <c r="Y45" i="27" s="1"/>
  <c r="N37" i="27"/>
  <c r="Z37" i="27" s="1"/>
  <c r="Y37" i="27" s="1"/>
  <c r="N21" i="27"/>
  <c r="Z21" i="27" s="1"/>
  <c r="Y21" i="27" s="1"/>
  <c r="N12" i="27"/>
  <c r="Z12" i="27" s="1"/>
  <c r="Y12" i="27" s="1"/>
  <c r="N100" i="27"/>
  <c r="Z100" i="27" s="1"/>
  <c r="Y100" i="27" s="1"/>
  <c r="N68" i="27"/>
  <c r="Z68" i="27" s="1"/>
  <c r="Y68" i="27" s="1"/>
  <c r="N44" i="27"/>
  <c r="Z44" i="27" s="1"/>
  <c r="Y44" i="27" s="1"/>
  <c r="N92" i="27"/>
  <c r="Z92" i="27" s="1"/>
  <c r="Y92" i="27" s="1"/>
  <c r="N60" i="27"/>
  <c r="Z60" i="27" s="1"/>
  <c r="Y60" i="27" s="1"/>
  <c r="N36" i="27"/>
  <c r="Z36" i="27" s="1"/>
  <c r="Y36" i="27" s="1"/>
  <c r="N99" i="27"/>
  <c r="Z99" i="27" s="1"/>
  <c r="Y99" i="27" s="1"/>
  <c r="N91" i="27"/>
  <c r="Z91" i="27" s="1"/>
  <c r="Y91" i="27" s="1"/>
  <c r="N83" i="27"/>
  <c r="Z83" i="27" s="1"/>
  <c r="Y83" i="27" s="1"/>
  <c r="N75" i="27"/>
  <c r="Z75" i="27" s="1"/>
  <c r="Y75" i="27" s="1"/>
  <c r="N59" i="27"/>
  <c r="Z59" i="27" s="1"/>
  <c r="Y59" i="27" s="1"/>
  <c r="N51" i="27"/>
  <c r="Z51" i="27" s="1"/>
  <c r="Y51" i="27" s="1"/>
  <c r="N43" i="27"/>
  <c r="Z43" i="27" s="1"/>
  <c r="Y43" i="27" s="1"/>
  <c r="N35" i="27"/>
  <c r="Z35" i="27" s="1"/>
  <c r="Y35" i="27" s="1"/>
  <c r="N27" i="27"/>
  <c r="Z27" i="27" s="1"/>
  <c r="Y27" i="27" s="1"/>
  <c r="N14" i="27"/>
  <c r="Z14" i="27" s="1"/>
  <c r="Y14" i="27" s="1"/>
  <c r="N90" i="27"/>
  <c r="Z90" i="27" s="1"/>
  <c r="Y90" i="27" s="1"/>
  <c r="N82" i="27"/>
  <c r="Z82" i="27" s="1"/>
  <c r="Y82" i="27" s="1"/>
  <c r="N74" i="27"/>
  <c r="Z74" i="27" s="1"/>
  <c r="Y74" i="27" s="1"/>
  <c r="N66" i="27"/>
  <c r="Z66" i="27" s="1"/>
  <c r="Y66" i="27" s="1"/>
  <c r="N58" i="27"/>
  <c r="Z58" i="27" s="1"/>
  <c r="Y58" i="27" s="1"/>
  <c r="N50" i="27"/>
  <c r="Z50" i="27" s="1"/>
  <c r="Y50" i="27" s="1"/>
  <c r="N42" i="27"/>
  <c r="Z42" i="27" s="1"/>
  <c r="Y42" i="27" s="1"/>
  <c r="N15" i="27"/>
  <c r="Z15" i="27" s="1"/>
  <c r="Y15" i="27" s="1"/>
  <c r="N97" i="27"/>
  <c r="Z97" i="27" s="1"/>
  <c r="Y97" i="27" s="1"/>
  <c r="N73" i="27"/>
  <c r="Z73" i="27" s="1"/>
  <c r="Y73" i="27" s="1"/>
  <c r="N49" i="27"/>
  <c r="Z49" i="27" s="1"/>
  <c r="Y49" i="27" s="1"/>
  <c r="N33" i="27"/>
  <c r="Z33" i="27" s="1"/>
  <c r="Y33" i="27" s="1"/>
  <c r="N16" i="27"/>
  <c r="Z16" i="27" s="1"/>
  <c r="Y16" i="27" s="1"/>
  <c r="N89" i="27"/>
  <c r="Z89" i="27" s="1"/>
  <c r="Y89" i="27" s="1"/>
  <c r="N65" i="27"/>
  <c r="Z65" i="27" s="1"/>
  <c r="Y65" i="27" s="1"/>
  <c r="N57" i="27"/>
  <c r="Z57" i="27" s="1"/>
  <c r="Y57" i="27" s="1"/>
  <c r="N41" i="27"/>
  <c r="Z41" i="27" s="1"/>
  <c r="Y41" i="27" s="1"/>
  <c r="N25" i="27"/>
  <c r="Z25" i="27" s="1"/>
  <c r="Y25" i="27" s="1"/>
  <c r="N96" i="27"/>
  <c r="Z96" i="27" s="1"/>
  <c r="Y96" i="27" s="1"/>
  <c r="N88" i="27"/>
  <c r="Z88" i="27" s="1"/>
  <c r="Y88" i="27" s="1"/>
  <c r="N80" i="27"/>
  <c r="Z80" i="27" s="1"/>
  <c r="Y80" i="27" s="1"/>
  <c r="N72" i="27"/>
  <c r="Z72" i="27" s="1"/>
  <c r="Y72" i="27" s="1"/>
  <c r="N64" i="27"/>
  <c r="Z64" i="27" s="1"/>
  <c r="Y64" i="27" s="1"/>
  <c r="N48" i="27"/>
  <c r="Z48" i="27" s="1"/>
  <c r="Y48" i="27" s="1"/>
  <c r="N40" i="27"/>
  <c r="Z40" i="27" s="1"/>
  <c r="Y40" i="27" s="1"/>
  <c r="N32" i="27"/>
  <c r="Z32" i="27" s="1"/>
  <c r="Y32" i="27" s="1"/>
  <c r="N24" i="27"/>
  <c r="Z24" i="27" s="1"/>
  <c r="Y24" i="27" s="1"/>
  <c r="N9" i="27"/>
  <c r="Z9" i="27" s="1"/>
  <c r="Y9" i="27" s="1"/>
  <c r="N87" i="27"/>
  <c r="Z87" i="27" s="1"/>
  <c r="Y87" i="27" s="1"/>
  <c r="N79" i="27"/>
  <c r="Z79" i="27" s="1"/>
  <c r="Y79" i="27" s="1"/>
  <c r="N63" i="27"/>
  <c r="Z63" i="27" s="1"/>
  <c r="Y63" i="27" s="1"/>
  <c r="N55" i="27"/>
  <c r="Z55" i="27" s="1"/>
  <c r="Y55" i="27" s="1"/>
  <c r="N47" i="27"/>
  <c r="Z47" i="27" s="1"/>
  <c r="Y47" i="27" s="1"/>
  <c r="N39" i="27"/>
  <c r="Z39" i="27" s="1"/>
  <c r="Y39" i="27" s="1"/>
  <c r="N31" i="27"/>
  <c r="Z31" i="27" s="1"/>
  <c r="Y31" i="27" s="1"/>
  <c r="N10" i="27"/>
  <c r="Z10" i="27" s="1"/>
  <c r="Y10" i="27" s="1"/>
  <c r="N18" i="27"/>
  <c r="Z18" i="27" s="1"/>
  <c r="Y18" i="27" s="1"/>
  <c r="N95" i="27"/>
  <c r="Z95" i="27" s="1"/>
  <c r="Y95" i="27" s="1"/>
  <c r="N94" i="27"/>
  <c r="Z94" i="27" s="1"/>
  <c r="Y94" i="27" s="1"/>
  <c r="N70" i="27"/>
  <c r="Z70" i="27" s="1"/>
  <c r="Y70" i="27" s="1"/>
  <c r="N54" i="27"/>
  <c r="Z54" i="27" s="1"/>
  <c r="Y54" i="27" s="1"/>
  <c r="N11" i="27"/>
  <c r="Z11" i="27" s="1"/>
  <c r="Y11" i="27" s="1"/>
  <c r="N17" i="27"/>
  <c r="Z17" i="27" s="1"/>
  <c r="Y17" i="27" s="1"/>
  <c r="N34" i="27"/>
  <c r="Z34" i="27" s="1"/>
  <c r="Y34" i="27" s="1"/>
  <c r="N98" i="27"/>
  <c r="Z98" i="27" s="1"/>
  <c r="Y98" i="27" s="1"/>
  <c r="N67" i="27"/>
  <c r="Z67" i="27" s="1"/>
  <c r="Y67" i="27" s="1"/>
  <c r="N71" i="27"/>
  <c r="Z71" i="27" s="1"/>
  <c r="Y71" i="27" s="1"/>
  <c r="N56" i="27"/>
  <c r="Z56" i="27" s="1"/>
  <c r="Y56" i="27" s="1"/>
  <c r="N84" i="27"/>
  <c r="Z84" i="27" s="1"/>
  <c r="Y84" i="27" s="1"/>
  <c r="N52" i="27"/>
  <c r="Z52" i="27" s="1"/>
  <c r="Y52" i="27" s="1"/>
  <c r="N20" i="27"/>
  <c r="Z20" i="27" s="1"/>
  <c r="Y20" i="27" s="1"/>
  <c r="N26" i="27"/>
  <c r="Z26" i="27" s="1"/>
  <c r="Y26" i="27" s="1"/>
  <c r="N77" i="27"/>
  <c r="Z77" i="27" s="1"/>
  <c r="Y77" i="27" s="1"/>
  <c r="N23" i="27"/>
  <c r="Z23" i="27" s="1"/>
  <c r="Y23" i="27" s="1"/>
  <c r="N38" i="27"/>
  <c r="Z38" i="27" s="1"/>
  <c r="Y38" i="27" s="1"/>
  <c r="N29" i="27"/>
  <c r="Z29" i="27" s="1"/>
  <c r="Y29" i="27" s="1"/>
  <c r="N81" i="27"/>
  <c r="Z81" i="27" s="1"/>
  <c r="Y81" i="27" s="1"/>
  <c r="N13" i="27"/>
  <c r="Z13" i="27" s="1"/>
  <c r="Y13" i="27" s="1"/>
  <c r="N28" i="27"/>
  <c r="Z28" i="27" s="1"/>
  <c r="Y28" i="27" s="1"/>
  <c r="N76" i="27"/>
  <c r="Z76" i="27" s="1"/>
  <c r="Y76" i="27" s="1"/>
  <c r="N3" i="27"/>
  <c r="Z3" i="27"/>
  <c r="Y3" i="27" s="1"/>
  <c r="N706" i="27"/>
  <c r="N705" i="27"/>
  <c r="N704" i="27"/>
  <c r="N703" i="27"/>
  <c r="N702" i="27"/>
  <c r="N701" i="27"/>
  <c r="N700" i="27"/>
  <c r="N699" i="27"/>
  <c r="N698" i="27"/>
  <c r="N697" i="27"/>
  <c r="N696" i="27"/>
  <c r="N695" i="27"/>
  <c r="N694" i="27"/>
  <c r="N693" i="27"/>
  <c r="N692" i="27"/>
  <c r="N691" i="27"/>
  <c r="N690" i="27"/>
  <c r="N689" i="27"/>
  <c r="N688" i="27"/>
  <c r="N687" i="27"/>
  <c r="N686" i="27"/>
  <c r="N685" i="27"/>
  <c r="N684" i="27"/>
  <c r="N683" i="27"/>
  <c r="N682" i="27"/>
  <c r="N681" i="27"/>
  <c r="N680" i="27"/>
  <c r="N679" i="27"/>
  <c r="N678" i="27"/>
  <c r="N677" i="27"/>
  <c r="N676" i="27"/>
  <c r="N675" i="27"/>
  <c r="N674" i="27"/>
  <c r="N673" i="27"/>
  <c r="N672" i="27"/>
  <c r="N671" i="27"/>
  <c r="N670" i="27"/>
  <c r="N669" i="27"/>
  <c r="N668" i="27"/>
  <c r="N667" i="27"/>
  <c r="N666" i="27"/>
  <c r="N665" i="27"/>
  <c r="N664" i="27"/>
  <c r="N663" i="27"/>
  <c r="N662" i="27"/>
  <c r="N661" i="27"/>
  <c r="N660" i="27"/>
  <c r="N659" i="27"/>
  <c r="N658" i="27"/>
  <c r="N657" i="27"/>
  <c r="N656" i="27"/>
  <c r="N655" i="27"/>
  <c r="N654" i="27"/>
  <c r="N653" i="27"/>
  <c r="N652" i="27"/>
  <c r="N651" i="27"/>
  <c r="N650" i="27"/>
  <c r="N649" i="27"/>
  <c r="N648" i="27"/>
  <c r="N647" i="27"/>
  <c r="N646" i="27"/>
  <c r="N645" i="27"/>
  <c r="N644" i="27"/>
  <c r="N643" i="27"/>
  <c r="N642" i="27"/>
  <c r="N641" i="27"/>
  <c r="N640" i="27"/>
  <c r="N639" i="27"/>
  <c r="N638" i="27"/>
  <c r="N637" i="27"/>
  <c r="N636" i="27"/>
  <c r="N635" i="27"/>
  <c r="N634" i="27"/>
  <c r="N633" i="27"/>
  <c r="N632" i="27"/>
  <c r="N631" i="27"/>
  <c r="N630" i="27"/>
  <c r="N629" i="27"/>
  <c r="N628" i="27"/>
  <c r="N627" i="27"/>
  <c r="N626" i="27"/>
  <c r="N625" i="27"/>
  <c r="N624" i="27"/>
  <c r="N623" i="27"/>
  <c r="N622" i="27"/>
  <c r="N621" i="27"/>
  <c r="N620" i="27"/>
  <c r="N619" i="27"/>
  <c r="N618" i="27"/>
  <c r="N617" i="27"/>
  <c r="N616" i="27"/>
  <c r="N615" i="27"/>
  <c r="N614" i="27"/>
  <c r="N613" i="27"/>
  <c r="N612" i="27"/>
  <c r="N611" i="27"/>
  <c r="N610" i="27"/>
  <c r="N609" i="27"/>
  <c r="N608" i="27"/>
  <c r="N607" i="27"/>
  <c r="N606" i="27"/>
  <c r="N605" i="27"/>
  <c r="N604" i="27"/>
  <c r="N603" i="27"/>
  <c r="N602" i="27"/>
  <c r="N601" i="27"/>
  <c r="N600" i="27"/>
  <c r="N599" i="27"/>
  <c r="N598" i="27"/>
  <c r="N597" i="27"/>
  <c r="N596" i="27"/>
  <c r="N595" i="27"/>
  <c r="N594" i="27"/>
  <c r="N593" i="27"/>
  <c r="N592" i="27"/>
  <c r="N591" i="27"/>
  <c r="N590" i="27"/>
  <c r="N589" i="27"/>
  <c r="N588" i="27"/>
  <c r="N587" i="27"/>
  <c r="N586" i="27"/>
  <c r="N585" i="27"/>
  <c r="N584" i="27"/>
  <c r="N583" i="27"/>
  <c r="N582" i="27"/>
  <c r="N581" i="27"/>
  <c r="N580" i="27"/>
  <c r="N579" i="27"/>
  <c r="N578" i="27"/>
  <c r="N577" i="27"/>
  <c r="N576" i="27"/>
  <c r="N575" i="27"/>
  <c r="N574" i="27"/>
  <c r="N573" i="27"/>
  <c r="N572" i="27"/>
  <c r="N571" i="27"/>
  <c r="N570" i="27"/>
  <c r="N569" i="27"/>
  <c r="N568" i="27"/>
  <c r="N567" i="27"/>
  <c r="N566" i="27"/>
  <c r="N565" i="27"/>
  <c r="N564" i="27"/>
  <c r="N563" i="27"/>
  <c r="N562" i="27"/>
  <c r="N561" i="27"/>
  <c r="N560" i="27"/>
  <c r="N559" i="27"/>
  <c r="N558" i="27"/>
  <c r="N557" i="27"/>
  <c r="N556" i="27"/>
  <c r="N555" i="27"/>
  <c r="N554" i="27"/>
  <c r="N553" i="27"/>
  <c r="N552" i="27"/>
  <c r="N551" i="27"/>
  <c r="N550" i="27"/>
  <c r="N549" i="27"/>
  <c r="N548" i="27"/>
  <c r="N547" i="27"/>
  <c r="N546" i="27"/>
  <c r="N545" i="27"/>
  <c r="N544" i="27"/>
  <c r="N543" i="27"/>
  <c r="N542" i="27"/>
  <c r="N541" i="27"/>
  <c r="N540" i="27"/>
  <c r="N539" i="27"/>
  <c r="N538" i="27"/>
  <c r="N537" i="27"/>
  <c r="N536" i="27"/>
  <c r="N535" i="27"/>
  <c r="N534" i="27"/>
  <c r="N533" i="27"/>
  <c r="N532" i="27"/>
  <c r="N531" i="27"/>
  <c r="N530" i="27"/>
  <c r="N529" i="27"/>
  <c r="N528" i="27"/>
  <c r="N527" i="27"/>
  <c r="N526" i="27"/>
  <c r="N525" i="27"/>
  <c r="N524" i="27"/>
  <c r="N523" i="27"/>
  <c r="N522" i="27"/>
  <c r="N521" i="27"/>
  <c r="N520" i="27"/>
  <c r="N519" i="27"/>
  <c r="N518" i="27"/>
  <c r="N517" i="27"/>
  <c r="N516" i="27"/>
  <c r="N515" i="27"/>
  <c r="N514" i="27"/>
  <c r="N513" i="27"/>
  <c r="N512" i="27"/>
  <c r="N511" i="27"/>
  <c r="N510" i="27"/>
  <c r="N509" i="27"/>
  <c r="N508" i="27"/>
  <c r="N507" i="27"/>
  <c r="N506" i="27"/>
  <c r="N505" i="27"/>
  <c r="N504" i="27"/>
  <c r="N503" i="27"/>
  <c r="N502" i="27"/>
  <c r="N501" i="27"/>
  <c r="N500" i="27"/>
  <c r="N499" i="27"/>
  <c r="N498" i="27"/>
  <c r="N497" i="27"/>
  <c r="N496" i="27"/>
  <c r="N495" i="27"/>
  <c r="N494" i="27"/>
  <c r="N493" i="27"/>
  <c r="N492" i="27"/>
  <c r="N491" i="27"/>
  <c r="N490" i="27"/>
  <c r="N489" i="27"/>
  <c r="N488" i="27"/>
  <c r="N487" i="27"/>
  <c r="N486" i="27"/>
  <c r="N485" i="27"/>
  <c r="N484" i="27"/>
  <c r="N483" i="27"/>
  <c r="N482" i="27"/>
  <c r="N481" i="27"/>
  <c r="N480" i="27"/>
  <c r="N479" i="27"/>
  <c r="N478" i="27"/>
  <c r="N477" i="27"/>
  <c r="N476" i="27"/>
  <c r="N475" i="27"/>
  <c r="N474" i="27"/>
  <c r="N473" i="27"/>
  <c r="N472" i="27"/>
  <c r="N471" i="27"/>
  <c r="N470" i="27"/>
  <c r="N469" i="27"/>
  <c r="N468" i="27"/>
  <c r="N467" i="27"/>
  <c r="N466" i="27"/>
  <c r="N465" i="27"/>
  <c r="N464" i="27"/>
  <c r="N463" i="27"/>
  <c r="N462" i="27"/>
  <c r="N461" i="27"/>
  <c r="N460" i="27"/>
  <c r="N459" i="27"/>
  <c r="N458" i="27"/>
  <c r="N457" i="27"/>
  <c r="N456" i="27"/>
  <c r="N455" i="27"/>
  <c r="N454" i="27"/>
  <c r="N453" i="27"/>
  <c r="N452" i="27"/>
  <c r="N451" i="27"/>
  <c r="N450" i="27"/>
  <c r="N449" i="27"/>
  <c r="N448" i="27"/>
  <c r="N447" i="27"/>
  <c r="N446" i="27"/>
  <c r="N445" i="27"/>
  <c r="N444" i="27"/>
  <c r="N443" i="27"/>
  <c r="N442" i="27"/>
  <c r="N441" i="27"/>
  <c r="N440" i="27"/>
  <c r="N439" i="27"/>
  <c r="N438" i="27"/>
  <c r="N437" i="27"/>
  <c r="N436" i="27"/>
  <c r="N435" i="27"/>
  <c r="N434" i="27"/>
  <c r="N433" i="27"/>
  <c r="N432" i="27"/>
  <c r="N431" i="27"/>
  <c r="N430" i="27"/>
  <c r="N429" i="27"/>
  <c r="N428" i="27"/>
  <c r="N427" i="27"/>
  <c r="N426" i="27"/>
  <c r="N425" i="27"/>
  <c r="N424" i="27"/>
  <c r="N423" i="27"/>
  <c r="N422" i="27"/>
  <c r="N421" i="27"/>
  <c r="N420" i="27"/>
  <c r="N419" i="27"/>
  <c r="N418" i="27"/>
  <c r="N417" i="27"/>
  <c r="N416" i="27"/>
  <c r="N415" i="27"/>
  <c r="N414" i="27"/>
  <c r="N413" i="27"/>
  <c r="N412" i="27"/>
  <c r="N411" i="27"/>
  <c r="N410" i="27"/>
  <c r="N409" i="27"/>
  <c r="N408" i="27"/>
  <c r="N407" i="27"/>
  <c r="N406" i="27"/>
  <c r="N405" i="27"/>
  <c r="N404" i="27"/>
  <c r="N403" i="27"/>
  <c r="N402" i="27"/>
  <c r="N401" i="27"/>
  <c r="N400" i="27"/>
  <c r="N399" i="27"/>
  <c r="N398" i="27"/>
  <c r="N397" i="27"/>
  <c r="N396" i="27"/>
  <c r="N395" i="27"/>
  <c r="N394" i="27"/>
  <c r="N393" i="27"/>
  <c r="N392" i="27"/>
  <c r="N391" i="27"/>
  <c r="N390" i="27"/>
  <c r="N389" i="27"/>
  <c r="N388" i="27"/>
  <c r="N387" i="27"/>
  <c r="N386" i="27"/>
  <c r="N385" i="27"/>
  <c r="N384" i="27"/>
  <c r="N383" i="27"/>
  <c r="N382" i="27"/>
  <c r="N381" i="27"/>
  <c r="N380" i="27"/>
  <c r="N379" i="27"/>
  <c r="N378" i="27"/>
  <c r="N377" i="27"/>
  <c r="N376" i="27"/>
  <c r="N375" i="27"/>
  <c r="N374" i="27"/>
  <c r="N373" i="27"/>
  <c r="N372" i="27"/>
  <c r="N371" i="27"/>
  <c r="N370" i="27"/>
  <c r="N369" i="27"/>
  <c r="N368" i="27"/>
  <c r="N367" i="27"/>
  <c r="N366" i="27"/>
  <c r="N365" i="27"/>
  <c r="N364" i="27"/>
  <c r="N363" i="27"/>
  <c r="N362" i="27"/>
  <c r="N361" i="27"/>
  <c r="N360" i="27"/>
  <c r="N359" i="27"/>
  <c r="N358" i="27"/>
  <c r="N357" i="27"/>
  <c r="N356" i="27"/>
  <c r="N355" i="27"/>
  <c r="N354" i="27"/>
  <c r="N353" i="27"/>
  <c r="N352" i="27"/>
  <c r="N351" i="27"/>
  <c r="N350" i="27"/>
  <c r="N349" i="27"/>
  <c r="N348" i="27"/>
  <c r="N347" i="27"/>
  <c r="N346" i="27"/>
  <c r="N345" i="27"/>
  <c r="N344" i="27"/>
  <c r="N343" i="27"/>
  <c r="N342" i="27"/>
  <c r="N341" i="27"/>
  <c r="N340" i="27"/>
  <c r="N339" i="27"/>
  <c r="N338" i="27"/>
  <c r="N337" i="27"/>
  <c r="N336" i="27"/>
  <c r="N335" i="27"/>
  <c r="N334" i="27"/>
  <c r="N333" i="27"/>
  <c r="N332" i="27"/>
  <c r="N331" i="27"/>
  <c r="N330" i="27"/>
  <c r="N329" i="27"/>
  <c r="N328" i="27"/>
  <c r="N327" i="27"/>
  <c r="N326" i="27"/>
  <c r="N325" i="27"/>
  <c r="N324" i="27"/>
  <c r="N323" i="27"/>
  <c r="N322" i="27"/>
  <c r="N321" i="27"/>
  <c r="N320" i="27"/>
  <c r="N319" i="27"/>
  <c r="N318" i="27"/>
  <c r="N317" i="27"/>
  <c r="N316" i="27"/>
  <c r="N315" i="27"/>
  <c r="N314" i="27"/>
  <c r="N313" i="27"/>
  <c r="N312" i="27"/>
  <c r="N311" i="27"/>
  <c r="N310" i="27"/>
  <c r="N309" i="27"/>
  <c r="N308" i="27"/>
  <c r="N307" i="27"/>
  <c r="N306" i="27"/>
  <c r="N305" i="27"/>
  <c r="N304" i="27"/>
  <c r="N303" i="27"/>
  <c r="N302" i="27"/>
  <c r="N301" i="27"/>
  <c r="N300" i="27"/>
  <c r="N299" i="27"/>
  <c r="N298" i="27"/>
  <c r="N297" i="27"/>
  <c r="N296" i="27"/>
  <c r="N295" i="27"/>
  <c r="N294" i="27"/>
  <c r="N293" i="27"/>
  <c r="N292" i="27"/>
  <c r="N291" i="27"/>
  <c r="N290" i="27"/>
  <c r="N289" i="27"/>
  <c r="N288" i="27"/>
  <c r="N287" i="27"/>
  <c r="N286" i="27"/>
  <c r="N285" i="27"/>
  <c r="N284" i="27"/>
  <c r="N283" i="27"/>
  <c r="N282" i="27"/>
  <c r="N281" i="27"/>
  <c r="N280" i="27"/>
  <c r="N279" i="27"/>
  <c r="N278" i="27"/>
  <c r="N277" i="27"/>
  <c r="N276" i="27"/>
  <c r="N275" i="27"/>
  <c r="N274" i="27"/>
  <c r="N273" i="27"/>
  <c r="N272" i="27"/>
  <c r="N271" i="27"/>
  <c r="N270" i="27"/>
  <c r="N269" i="27"/>
  <c r="N268" i="27"/>
  <c r="N267" i="27"/>
  <c r="N266" i="27"/>
  <c r="N265" i="27"/>
  <c r="N264" i="27"/>
  <c r="N263" i="27"/>
  <c r="N262" i="27"/>
  <c r="N261" i="27"/>
  <c r="N260" i="27"/>
  <c r="N259" i="27"/>
  <c r="N258" i="27"/>
  <c r="N257" i="27"/>
  <c r="N256" i="27"/>
  <c r="N255" i="27"/>
  <c r="N254" i="27"/>
  <c r="N253" i="27"/>
  <c r="N252" i="27"/>
  <c r="N251" i="27"/>
  <c r="N250" i="27"/>
  <c r="N249" i="27"/>
  <c r="N248" i="27"/>
  <c r="N247" i="27"/>
  <c r="N246" i="27"/>
  <c r="N245" i="27"/>
  <c r="N244" i="27"/>
  <c r="N243" i="27"/>
  <c r="N242" i="27"/>
  <c r="N241" i="27"/>
  <c r="N240" i="27"/>
  <c r="N239" i="27"/>
  <c r="N238" i="27"/>
  <c r="N237" i="27"/>
  <c r="N236" i="27"/>
  <c r="N235" i="27"/>
  <c r="N234" i="27"/>
  <c r="N233" i="27"/>
  <c r="N232" i="27"/>
  <c r="N231" i="27"/>
  <c r="N230" i="27"/>
  <c r="N229" i="27"/>
  <c r="N228" i="27"/>
  <c r="N227" i="27"/>
  <c r="N226" i="27"/>
  <c r="N225" i="27"/>
  <c r="N224" i="27"/>
  <c r="N223" i="27"/>
  <c r="N222" i="27"/>
  <c r="N221" i="27"/>
  <c r="N220" i="27"/>
  <c r="N219" i="27"/>
  <c r="N218" i="27"/>
  <c r="N217" i="27"/>
  <c r="N216" i="27"/>
  <c r="N215" i="27"/>
  <c r="N214" i="27"/>
  <c r="N213" i="27"/>
  <c r="N212" i="27"/>
  <c r="N211" i="27"/>
  <c r="N210" i="27"/>
  <c r="N209" i="27"/>
  <c r="N208" i="27"/>
  <c r="N207" i="27"/>
  <c r="N206" i="27"/>
  <c r="N205" i="27"/>
  <c r="N204" i="27"/>
  <c r="N203" i="27"/>
  <c r="N202" i="27"/>
  <c r="N201" i="27"/>
  <c r="N200" i="27"/>
  <c r="N199" i="27"/>
  <c r="N198" i="27"/>
  <c r="N197" i="27"/>
  <c r="N196" i="27"/>
  <c r="N195" i="27"/>
  <c r="N194" i="27"/>
  <c r="N193" i="27"/>
  <c r="N192" i="27"/>
  <c r="N191" i="27"/>
  <c r="N190" i="27"/>
  <c r="N189" i="27"/>
  <c r="N188" i="27"/>
  <c r="N187" i="27"/>
  <c r="N186" i="27"/>
  <c r="N185" i="27"/>
  <c r="N184" i="27"/>
  <c r="N183" i="27"/>
  <c r="N182" i="27"/>
  <c r="N181" i="27"/>
  <c r="N180" i="27"/>
  <c r="N179" i="27"/>
  <c r="N178" i="27"/>
  <c r="N177" i="27"/>
  <c r="N176" i="27"/>
  <c r="N175" i="27"/>
  <c r="N174" i="27"/>
  <c r="N173" i="27"/>
  <c r="N172" i="27"/>
  <c r="N171" i="27"/>
  <c r="N170" i="27"/>
  <c r="N169" i="27"/>
  <c r="N168" i="27"/>
  <c r="N167" i="27"/>
  <c r="N166" i="27"/>
  <c r="N165" i="27"/>
  <c r="N164" i="27"/>
  <c r="N163" i="27"/>
  <c r="N162" i="27"/>
  <c r="N161" i="27"/>
  <c r="N160" i="27"/>
  <c r="N159" i="27"/>
  <c r="N158" i="27"/>
  <c r="N157" i="27"/>
  <c r="N156" i="27"/>
  <c r="N155" i="27"/>
  <c r="N154" i="27"/>
  <c r="N153" i="27"/>
  <c r="N152" i="27"/>
  <c r="N151" i="27"/>
  <c r="N150" i="27"/>
  <c r="N149" i="27"/>
  <c r="N148" i="27"/>
  <c r="N147" i="27"/>
  <c r="N146" i="27"/>
  <c r="N145" i="27"/>
  <c r="N144"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06" i="27"/>
  <c r="N105" i="27"/>
  <c r="N104" i="27"/>
  <c r="N103" i="27"/>
  <c r="N102" i="27"/>
  <c r="N101" i="27"/>
  <c r="S535" i="27" l="1"/>
  <c r="U535" i="27" s="1"/>
  <c r="S665" i="27"/>
  <c r="U665" i="27" s="1"/>
  <c r="S437" i="27"/>
  <c r="U437" i="27" s="1"/>
  <c r="S215" i="27"/>
  <c r="U215" i="27" s="1"/>
  <c r="S445" i="27"/>
  <c r="U445" i="27" s="1"/>
  <c r="S173" i="27"/>
  <c r="U173" i="27" s="1"/>
  <c r="S423" i="27"/>
  <c r="U423" i="27" s="1"/>
  <c r="S655" i="27"/>
  <c r="U655" i="27" s="1"/>
  <c r="S101" i="27"/>
  <c r="U101" i="27" s="1"/>
  <c r="S149" i="27"/>
  <c r="U149" i="27" s="1"/>
  <c r="S86" i="27"/>
  <c r="U86" i="27" s="1"/>
  <c r="S78" i="27"/>
  <c r="U78" i="27" s="1"/>
  <c r="S62" i="27"/>
  <c r="U62" i="27" s="1"/>
  <c r="S46" i="27"/>
  <c r="U46" i="27" s="1"/>
  <c r="S30" i="27"/>
  <c r="U30" i="27" s="1"/>
  <c r="S22" i="27"/>
  <c r="U22" i="27" s="1"/>
  <c r="S19" i="27"/>
  <c r="U19" i="27" s="1"/>
  <c r="S116" i="27"/>
  <c r="U116" i="27" s="1"/>
  <c r="S124" i="27"/>
  <c r="U124" i="27" s="1"/>
  <c r="S140" i="27"/>
  <c r="U140" i="27" s="1"/>
  <c r="S156" i="27"/>
  <c r="U156" i="27" s="1"/>
  <c r="S172" i="27"/>
  <c r="U172" i="27" s="1"/>
  <c r="S188" i="27"/>
  <c r="U188" i="27" s="1"/>
  <c r="S228" i="27"/>
  <c r="U228" i="27" s="1"/>
  <c r="S93" i="27"/>
  <c r="U93" i="27" s="1"/>
  <c r="S85" i="27"/>
  <c r="U85" i="27" s="1"/>
  <c r="S69" i="27"/>
  <c r="U69" i="27" s="1"/>
  <c r="S61" i="27"/>
  <c r="U61" i="27" s="1"/>
  <c r="S53" i="27"/>
  <c r="U53" i="27" s="1"/>
  <c r="S45" i="27"/>
  <c r="U45" i="27" s="1"/>
  <c r="S37" i="27"/>
  <c r="U37" i="27" s="1"/>
  <c r="S21" i="27"/>
  <c r="U21" i="27" s="1"/>
  <c r="S12" i="27"/>
  <c r="U12" i="27" s="1"/>
  <c r="S100" i="27"/>
  <c r="U100" i="27" s="1"/>
  <c r="S68" i="27"/>
  <c r="U68" i="27" s="1"/>
  <c r="S44" i="27"/>
  <c r="U44" i="27" s="1"/>
  <c r="S5" i="27"/>
  <c r="U5" i="27" s="1"/>
  <c r="S110" i="27"/>
  <c r="U110" i="27" s="1"/>
  <c r="S134" i="27"/>
  <c r="U134" i="27" s="1"/>
  <c r="S150" i="27"/>
  <c r="U150" i="27" s="1"/>
  <c r="S166" i="27"/>
  <c r="U166" i="27" s="1"/>
  <c r="S190" i="27"/>
  <c r="U190" i="27" s="1"/>
  <c r="S206" i="27"/>
  <c r="U206" i="27" s="1"/>
  <c r="S222" i="27"/>
  <c r="U222" i="27" s="1"/>
  <c r="S238" i="27"/>
  <c r="U238" i="27" s="1"/>
  <c r="S246" i="27"/>
  <c r="U246" i="27" s="1"/>
  <c r="S262" i="27"/>
  <c r="U262" i="27" s="1"/>
  <c r="S270" i="27"/>
  <c r="U270" i="27" s="1"/>
  <c r="S278" i="27"/>
  <c r="U278" i="27" s="1"/>
  <c r="S286" i="27"/>
  <c r="U286" i="27" s="1"/>
  <c r="S294" i="27"/>
  <c r="U294" i="27" s="1"/>
  <c r="S302" i="27"/>
  <c r="U302" i="27" s="1"/>
  <c r="S318" i="27"/>
  <c r="U318" i="27" s="1"/>
  <c r="S326" i="27"/>
  <c r="U326" i="27" s="1"/>
  <c r="S334" i="27"/>
  <c r="U334" i="27" s="1"/>
  <c r="S342" i="27"/>
  <c r="U342" i="27" s="1"/>
  <c r="S350" i="27"/>
  <c r="U350" i="27" s="1"/>
  <c r="S358" i="27"/>
  <c r="U358" i="27" s="1"/>
  <c r="S366" i="27"/>
  <c r="U366" i="27" s="1"/>
  <c r="S374" i="27"/>
  <c r="U374" i="27" s="1"/>
  <c r="S382" i="27"/>
  <c r="U382" i="27" s="1"/>
  <c r="S390" i="27"/>
  <c r="U390" i="27" s="1"/>
  <c r="S398" i="27"/>
  <c r="U398" i="27" s="1"/>
  <c r="S406" i="27"/>
  <c r="U406" i="27" s="1"/>
  <c r="S414" i="27"/>
  <c r="U414" i="27" s="1"/>
  <c r="S422" i="27"/>
  <c r="U422" i="27" s="1"/>
  <c r="S430" i="27"/>
  <c r="U430" i="27" s="1"/>
  <c r="S438" i="27"/>
  <c r="U438" i="27" s="1"/>
  <c r="S446" i="27"/>
  <c r="U446" i="27" s="1"/>
  <c r="S454" i="27"/>
  <c r="U454" i="27" s="1"/>
  <c r="S462" i="27"/>
  <c r="U462" i="27" s="1"/>
  <c r="S470" i="27"/>
  <c r="U470" i="27" s="1"/>
  <c r="S478" i="27"/>
  <c r="U478" i="27" s="1"/>
  <c r="S486" i="27"/>
  <c r="U486" i="27" s="1"/>
  <c r="S494" i="27"/>
  <c r="U494" i="27" s="1"/>
  <c r="S502" i="27"/>
  <c r="U502" i="27" s="1"/>
  <c r="S510" i="27"/>
  <c r="U510" i="27" s="1"/>
  <c r="S518" i="27"/>
  <c r="U518" i="27" s="1"/>
  <c r="S526" i="27"/>
  <c r="U526" i="27" s="1"/>
  <c r="S534" i="27"/>
  <c r="U534" i="27" s="1"/>
  <c r="S542" i="27"/>
  <c r="U542" i="27" s="1"/>
  <c r="S550" i="27"/>
  <c r="U550" i="27" s="1"/>
  <c r="S558" i="27"/>
  <c r="U558" i="27" s="1"/>
  <c r="S566" i="27"/>
  <c r="U566" i="27" s="1"/>
  <c r="S574" i="27"/>
  <c r="U574" i="27" s="1"/>
  <c r="S582" i="27"/>
  <c r="U582" i="27" s="1"/>
  <c r="S590" i="27"/>
  <c r="U590" i="27" s="1"/>
  <c r="S598" i="27"/>
  <c r="U598" i="27" s="1"/>
  <c r="S606" i="27"/>
  <c r="U606" i="27" s="1"/>
  <c r="S614" i="27"/>
  <c r="U614" i="27" s="1"/>
  <c r="S622" i="27"/>
  <c r="U622" i="27" s="1"/>
  <c r="S630" i="27"/>
  <c r="U630" i="27" s="1"/>
  <c r="S638" i="27"/>
  <c r="U638" i="27" s="1"/>
  <c r="S646" i="27"/>
  <c r="U646" i="27" s="1"/>
  <c r="S654" i="27"/>
  <c r="U654" i="27" s="1"/>
  <c r="S662" i="27"/>
  <c r="U662" i="27" s="1"/>
  <c r="S670" i="27"/>
  <c r="U670" i="27" s="1"/>
  <c r="S678" i="27"/>
  <c r="U678" i="27" s="1"/>
  <c r="S686" i="27"/>
  <c r="U686" i="27" s="1"/>
  <c r="S694" i="27"/>
  <c r="U694" i="27" s="1"/>
  <c r="S702" i="27"/>
  <c r="U702" i="27" s="1"/>
  <c r="S92" i="27"/>
  <c r="U92" i="27" s="1"/>
  <c r="S60" i="27"/>
  <c r="U60" i="27" s="1"/>
  <c r="S36" i="27"/>
  <c r="U36" i="27" s="1"/>
  <c r="S102" i="27"/>
  <c r="U102" i="27" s="1"/>
  <c r="S118" i="27"/>
  <c r="U118" i="27" s="1"/>
  <c r="S126" i="27"/>
  <c r="U126" i="27" s="1"/>
  <c r="S142" i="27"/>
  <c r="U142" i="27" s="1"/>
  <c r="S158" i="27"/>
  <c r="U158" i="27" s="1"/>
  <c r="S174" i="27"/>
  <c r="U174" i="27" s="1"/>
  <c r="S182" i="27"/>
  <c r="U182" i="27" s="1"/>
  <c r="S198" i="27"/>
  <c r="U198" i="27" s="1"/>
  <c r="S214" i="27"/>
  <c r="U214" i="27" s="1"/>
  <c r="S230" i="27"/>
  <c r="U230" i="27" s="1"/>
  <c r="S254" i="27"/>
  <c r="U254" i="27" s="1"/>
  <c r="S310" i="27"/>
  <c r="U310" i="27" s="1"/>
  <c r="S4" i="27"/>
  <c r="U4" i="27" s="1"/>
  <c r="S99" i="27"/>
  <c r="U99" i="27" s="1"/>
  <c r="S91" i="27"/>
  <c r="U91" i="27" s="1"/>
  <c r="S83" i="27"/>
  <c r="U83" i="27" s="1"/>
  <c r="S75" i="27"/>
  <c r="U75" i="27" s="1"/>
  <c r="S59" i="27"/>
  <c r="U59" i="27" s="1"/>
  <c r="S51" i="27"/>
  <c r="U51" i="27" s="1"/>
  <c r="S43" i="27"/>
  <c r="U43" i="27" s="1"/>
  <c r="S35" i="27"/>
  <c r="U35" i="27" s="1"/>
  <c r="S27" i="27"/>
  <c r="U27" i="27" s="1"/>
  <c r="S6" i="27"/>
  <c r="U6" i="27" s="1"/>
  <c r="S14" i="27"/>
  <c r="U14" i="27" s="1"/>
  <c r="S119" i="27"/>
  <c r="U119" i="27" s="1"/>
  <c r="S135" i="27"/>
  <c r="U135" i="27" s="1"/>
  <c r="S143" i="27"/>
  <c r="U143" i="27" s="1"/>
  <c r="S159" i="27"/>
  <c r="U159" i="27" s="1"/>
  <c r="S191" i="27"/>
  <c r="U191" i="27" s="1"/>
  <c r="S207" i="27"/>
  <c r="U207" i="27" s="1"/>
  <c r="S223" i="27"/>
  <c r="U223" i="27" s="1"/>
  <c r="S231" i="27"/>
  <c r="U231" i="27" s="1"/>
  <c r="S239" i="27"/>
  <c r="U239" i="27" s="1"/>
  <c r="S247" i="27"/>
  <c r="U247" i="27" s="1"/>
  <c r="S255" i="27"/>
  <c r="U255" i="27" s="1"/>
  <c r="S263" i="27"/>
  <c r="U263" i="27" s="1"/>
  <c r="S287" i="27"/>
  <c r="U287" i="27" s="1"/>
  <c r="S295" i="27"/>
  <c r="U295" i="27" s="1"/>
  <c r="S303" i="27"/>
  <c r="U303" i="27" s="1"/>
  <c r="S311" i="27"/>
  <c r="U311" i="27" s="1"/>
  <c r="S319" i="27"/>
  <c r="U319" i="27" s="1"/>
  <c r="S327" i="27"/>
  <c r="U327" i="27" s="1"/>
  <c r="S351" i="27"/>
  <c r="U351" i="27" s="1"/>
  <c r="S359" i="27"/>
  <c r="U359" i="27" s="1"/>
  <c r="S375" i="27"/>
  <c r="U375" i="27" s="1"/>
  <c r="S383" i="27"/>
  <c r="U383" i="27" s="1"/>
  <c r="S391" i="27"/>
  <c r="U391" i="27" s="1"/>
  <c r="S399" i="27"/>
  <c r="U399" i="27" s="1"/>
  <c r="S415" i="27"/>
  <c r="U415" i="27" s="1"/>
  <c r="S439" i="27"/>
  <c r="U439" i="27" s="1"/>
  <c r="S455" i="27"/>
  <c r="U455" i="27" s="1"/>
  <c r="S463" i="27"/>
  <c r="U463" i="27" s="1"/>
  <c r="S479" i="27"/>
  <c r="U479" i="27" s="1"/>
  <c r="S487" i="27"/>
  <c r="U487" i="27" s="1"/>
  <c r="S503" i="27"/>
  <c r="U503" i="27" s="1"/>
  <c r="S519" i="27"/>
  <c r="U519" i="27" s="1"/>
  <c r="S527" i="27"/>
  <c r="U527" i="27" s="1"/>
  <c r="S543" i="27"/>
  <c r="U543" i="27" s="1"/>
  <c r="S551" i="27"/>
  <c r="U551" i="27" s="1"/>
  <c r="S567" i="27"/>
  <c r="U567" i="27" s="1"/>
  <c r="S583" i="27"/>
  <c r="U583" i="27" s="1"/>
  <c r="S591" i="27"/>
  <c r="U591" i="27" s="1"/>
  <c r="S607" i="27"/>
  <c r="U607" i="27" s="1"/>
  <c r="S615" i="27"/>
  <c r="U615" i="27" s="1"/>
  <c r="S647" i="27"/>
  <c r="U647" i="27" s="1"/>
  <c r="S671" i="27"/>
  <c r="U671" i="27" s="1"/>
  <c r="S679" i="27"/>
  <c r="U679" i="27" s="1"/>
  <c r="S90" i="27"/>
  <c r="U90" i="27" s="1"/>
  <c r="S82" i="27"/>
  <c r="U82" i="27" s="1"/>
  <c r="S74" i="27"/>
  <c r="U74" i="27" s="1"/>
  <c r="S66" i="27"/>
  <c r="U66" i="27" s="1"/>
  <c r="S58" i="27"/>
  <c r="U58" i="27" s="1"/>
  <c r="S50" i="27"/>
  <c r="U50" i="27" s="1"/>
  <c r="S42" i="27"/>
  <c r="U42" i="27" s="1"/>
  <c r="S7" i="27"/>
  <c r="U7" i="27" s="1"/>
  <c r="S15" i="27"/>
  <c r="U15" i="27" s="1"/>
  <c r="S104" i="27"/>
  <c r="U104" i="27" s="1"/>
  <c r="S112" i="27"/>
  <c r="U112" i="27" s="1"/>
  <c r="S120" i="27"/>
  <c r="U120" i="27" s="1"/>
  <c r="S128" i="27"/>
  <c r="U128" i="27" s="1"/>
  <c r="S136" i="27"/>
  <c r="U136" i="27" s="1"/>
  <c r="S144" i="27"/>
  <c r="U144" i="27" s="1"/>
  <c r="S152" i="27"/>
  <c r="U152" i="27" s="1"/>
  <c r="S160" i="27"/>
  <c r="U160" i="27" s="1"/>
  <c r="S168" i="27"/>
  <c r="U168" i="27" s="1"/>
  <c r="S176" i="27"/>
  <c r="U176" i="27" s="1"/>
  <c r="S184" i="27"/>
  <c r="U184" i="27" s="1"/>
  <c r="S192" i="27"/>
  <c r="U192" i="27" s="1"/>
  <c r="S200" i="27"/>
  <c r="U200" i="27" s="1"/>
  <c r="S208" i="27"/>
  <c r="U208" i="27" s="1"/>
  <c r="S216" i="27"/>
  <c r="U216" i="27" s="1"/>
  <c r="S224" i="27"/>
  <c r="U224" i="27" s="1"/>
  <c r="S232" i="27"/>
  <c r="U232" i="27" s="1"/>
  <c r="S240" i="27"/>
  <c r="U240" i="27" s="1"/>
  <c r="S248" i="27"/>
  <c r="U248" i="27" s="1"/>
  <c r="S256" i="27"/>
  <c r="U256" i="27" s="1"/>
  <c r="S264" i="27"/>
  <c r="U264" i="27" s="1"/>
  <c r="S272" i="27"/>
  <c r="U272" i="27" s="1"/>
  <c r="S280" i="27"/>
  <c r="U280" i="27" s="1"/>
  <c r="S288" i="27"/>
  <c r="U288" i="27" s="1"/>
  <c r="S296" i="27"/>
  <c r="U296" i="27" s="1"/>
  <c r="S304" i="27"/>
  <c r="U304" i="27" s="1"/>
  <c r="S312" i="27"/>
  <c r="U312" i="27" s="1"/>
  <c r="S320" i="27"/>
  <c r="U320" i="27" s="1"/>
  <c r="S328" i="27"/>
  <c r="U328" i="27" s="1"/>
  <c r="S336" i="27"/>
  <c r="U336" i="27" s="1"/>
  <c r="S344" i="27"/>
  <c r="U344" i="27" s="1"/>
  <c r="S352" i="27"/>
  <c r="U352" i="27" s="1"/>
  <c r="S360" i="27"/>
  <c r="U360" i="27" s="1"/>
  <c r="S368" i="27"/>
  <c r="U368" i="27" s="1"/>
  <c r="S376" i="27"/>
  <c r="U376" i="27" s="1"/>
  <c r="S384" i="27"/>
  <c r="U384" i="27" s="1"/>
  <c r="S392" i="27"/>
  <c r="U392" i="27" s="1"/>
  <c r="S400" i="27"/>
  <c r="U400" i="27" s="1"/>
  <c r="S408" i="27"/>
  <c r="U408" i="27" s="1"/>
  <c r="S416" i="27"/>
  <c r="U416" i="27" s="1"/>
  <c r="S424" i="27"/>
  <c r="U424" i="27" s="1"/>
  <c r="S432" i="27"/>
  <c r="U432" i="27" s="1"/>
  <c r="S440" i="27"/>
  <c r="U440" i="27" s="1"/>
  <c r="S448" i="27"/>
  <c r="U448" i="27" s="1"/>
  <c r="S456" i="27"/>
  <c r="U456" i="27" s="1"/>
  <c r="S464" i="27"/>
  <c r="U464" i="27" s="1"/>
  <c r="S472" i="27"/>
  <c r="U472" i="27" s="1"/>
  <c r="S480" i="27"/>
  <c r="U480" i="27" s="1"/>
  <c r="S488" i="27"/>
  <c r="U488" i="27" s="1"/>
  <c r="S496" i="27"/>
  <c r="U496" i="27" s="1"/>
  <c r="S504" i="27"/>
  <c r="U504" i="27" s="1"/>
  <c r="S512" i="27"/>
  <c r="U512" i="27" s="1"/>
  <c r="S520" i="27"/>
  <c r="U520" i="27" s="1"/>
  <c r="S528" i="27"/>
  <c r="U528" i="27" s="1"/>
  <c r="S536" i="27"/>
  <c r="U536" i="27" s="1"/>
  <c r="S544" i="27"/>
  <c r="U544" i="27" s="1"/>
  <c r="S552" i="27"/>
  <c r="U552" i="27" s="1"/>
  <c r="S560" i="27"/>
  <c r="U560" i="27" s="1"/>
  <c r="S568" i="27"/>
  <c r="U568" i="27" s="1"/>
  <c r="S576" i="27"/>
  <c r="U576" i="27" s="1"/>
  <c r="S584" i="27"/>
  <c r="U584" i="27" s="1"/>
  <c r="S592" i="27"/>
  <c r="U592" i="27" s="1"/>
  <c r="S600" i="27"/>
  <c r="U600" i="27" s="1"/>
  <c r="S608" i="27"/>
  <c r="U608" i="27" s="1"/>
  <c r="S616" i="27"/>
  <c r="U616" i="27" s="1"/>
  <c r="S624" i="27"/>
  <c r="U624" i="27" s="1"/>
  <c r="S632" i="27"/>
  <c r="U632" i="27" s="1"/>
  <c r="S640" i="27"/>
  <c r="U640" i="27" s="1"/>
  <c r="S648" i="27"/>
  <c r="U648" i="27" s="1"/>
  <c r="S656" i="27"/>
  <c r="U656" i="27" s="1"/>
  <c r="S664" i="27"/>
  <c r="U664" i="27" s="1"/>
  <c r="S672" i="27"/>
  <c r="U672" i="27" s="1"/>
  <c r="S680" i="27"/>
  <c r="U680" i="27" s="1"/>
  <c r="S688" i="27"/>
  <c r="U688" i="27" s="1"/>
  <c r="S696" i="27"/>
  <c r="U696" i="27" s="1"/>
  <c r="S704" i="27"/>
  <c r="U704" i="27" s="1"/>
  <c r="S97" i="27"/>
  <c r="U97" i="27" s="1"/>
  <c r="S73" i="27"/>
  <c r="U73" i="27" s="1"/>
  <c r="S49" i="27"/>
  <c r="U49" i="27" s="1"/>
  <c r="S33" i="27"/>
  <c r="U33" i="27" s="1"/>
  <c r="S16" i="27"/>
  <c r="U16" i="27" s="1"/>
  <c r="S121" i="27"/>
  <c r="U121" i="27" s="1"/>
  <c r="S145" i="27"/>
  <c r="U145" i="27" s="1"/>
  <c r="S161" i="27"/>
  <c r="U161" i="27" s="1"/>
  <c r="S169" i="27"/>
  <c r="U169" i="27" s="1"/>
  <c r="S185" i="27"/>
  <c r="U185" i="27" s="1"/>
  <c r="S193" i="27"/>
  <c r="U193" i="27" s="1"/>
  <c r="S225" i="27"/>
  <c r="U225" i="27" s="1"/>
  <c r="S241" i="27"/>
  <c r="U241" i="27" s="1"/>
  <c r="S265" i="27"/>
  <c r="U265" i="27" s="1"/>
  <c r="S289" i="27"/>
  <c r="U289" i="27" s="1"/>
  <c r="S329" i="27"/>
  <c r="U329" i="27" s="1"/>
  <c r="S337" i="27"/>
  <c r="U337" i="27" s="1"/>
  <c r="S353" i="27"/>
  <c r="U353" i="27" s="1"/>
  <c r="S361" i="27"/>
  <c r="U361" i="27" s="1"/>
  <c r="S393" i="27"/>
  <c r="U393" i="27" s="1"/>
  <c r="S401" i="27"/>
  <c r="U401" i="27" s="1"/>
  <c r="S417" i="27"/>
  <c r="U417" i="27" s="1"/>
  <c r="S425" i="27"/>
  <c r="U425" i="27" s="1"/>
  <c r="S457" i="27"/>
  <c r="U457" i="27" s="1"/>
  <c r="S465" i="27"/>
  <c r="U465" i="27" s="1"/>
  <c r="S481" i="27"/>
  <c r="U481" i="27" s="1"/>
  <c r="S489" i="27"/>
  <c r="U489" i="27" s="1"/>
  <c r="S521" i="27"/>
  <c r="U521" i="27" s="1"/>
  <c r="S553" i="27"/>
  <c r="U553" i="27" s="1"/>
  <c r="S585" i="27"/>
  <c r="U585" i="27" s="1"/>
  <c r="S601" i="27"/>
  <c r="U601" i="27" s="1"/>
  <c r="S617" i="27"/>
  <c r="U617" i="27" s="1"/>
  <c r="S649" i="27"/>
  <c r="U649" i="27" s="1"/>
  <c r="S673" i="27"/>
  <c r="U673" i="27" s="1"/>
  <c r="S681" i="27"/>
  <c r="U681" i="27" s="1"/>
  <c r="S689" i="27"/>
  <c r="U689" i="27" s="1"/>
  <c r="S697" i="27"/>
  <c r="U697" i="27" s="1"/>
  <c r="S89" i="27"/>
  <c r="U89" i="27" s="1"/>
  <c r="S65" i="27"/>
  <c r="U65" i="27" s="1"/>
  <c r="S57" i="27"/>
  <c r="U57" i="27" s="1"/>
  <c r="S41" i="27"/>
  <c r="U41" i="27" s="1"/>
  <c r="S25" i="27"/>
  <c r="U25" i="27" s="1"/>
  <c r="S8" i="27"/>
  <c r="U8" i="27" s="1"/>
  <c r="S105" i="27"/>
  <c r="U105" i="27" s="1"/>
  <c r="S113" i="27"/>
  <c r="U113" i="27" s="1"/>
  <c r="S137" i="27"/>
  <c r="U137" i="27" s="1"/>
  <c r="S96" i="27"/>
  <c r="U96" i="27" s="1"/>
  <c r="S88" i="27"/>
  <c r="U88" i="27" s="1"/>
  <c r="S80" i="27"/>
  <c r="U80" i="27" s="1"/>
  <c r="S72" i="27"/>
  <c r="U72" i="27" s="1"/>
  <c r="S64" i="27"/>
  <c r="U64" i="27" s="1"/>
  <c r="S48" i="27"/>
  <c r="U48" i="27" s="1"/>
  <c r="S40" i="27"/>
  <c r="U40" i="27" s="1"/>
  <c r="S32" i="27"/>
  <c r="U32" i="27" s="1"/>
  <c r="S24" i="27"/>
  <c r="U24" i="27" s="1"/>
  <c r="S9" i="27"/>
  <c r="U9" i="27" s="1"/>
  <c r="S106" i="27"/>
  <c r="U106" i="27" s="1"/>
  <c r="S114" i="27"/>
  <c r="U114" i="27" s="1"/>
  <c r="S122" i="27"/>
  <c r="U122" i="27" s="1"/>
  <c r="S130" i="27"/>
  <c r="U130" i="27" s="1"/>
  <c r="S138" i="27"/>
  <c r="U138" i="27" s="1"/>
  <c r="S146" i="27"/>
  <c r="U146" i="27" s="1"/>
  <c r="S154" i="27"/>
  <c r="U154" i="27" s="1"/>
  <c r="S162" i="27"/>
  <c r="U162" i="27" s="1"/>
  <c r="S170" i="27"/>
  <c r="U170" i="27" s="1"/>
  <c r="S178" i="27"/>
  <c r="U178" i="27" s="1"/>
  <c r="S186" i="27"/>
  <c r="U186" i="27" s="1"/>
  <c r="S194" i="27"/>
  <c r="U194" i="27" s="1"/>
  <c r="S202" i="27"/>
  <c r="U202" i="27" s="1"/>
  <c r="S210" i="27"/>
  <c r="U210" i="27" s="1"/>
  <c r="S218" i="27"/>
  <c r="U218" i="27" s="1"/>
  <c r="S226" i="27"/>
  <c r="U226" i="27" s="1"/>
  <c r="S234" i="27"/>
  <c r="U234" i="27" s="1"/>
  <c r="S242" i="27"/>
  <c r="U242" i="27" s="1"/>
  <c r="S250" i="27"/>
  <c r="U250" i="27" s="1"/>
  <c r="S258" i="27"/>
  <c r="U258" i="27" s="1"/>
  <c r="S266" i="27"/>
  <c r="U266" i="27" s="1"/>
  <c r="S274" i="27"/>
  <c r="U274" i="27" s="1"/>
  <c r="S282" i="27"/>
  <c r="U282" i="27" s="1"/>
  <c r="S290" i="27"/>
  <c r="U290" i="27" s="1"/>
  <c r="S298" i="27"/>
  <c r="U298" i="27" s="1"/>
  <c r="S306" i="27"/>
  <c r="U306" i="27" s="1"/>
  <c r="S314" i="27"/>
  <c r="U314" i="27" s="1"/>
  <c r="S322" i="27"/>
  <c r="U322" i="27" s="1"/>
  <c r="S330" i="27"/>
  <c r="U330" i="27" s="1"/>
  <c r="S338" i="27"/>
  <c r="U338" i="27" s="1"/>
  <c r="S346" i="27"/>
  <c r="U346" i="27" s="1"/>
  <c r="S354" i="27"/>
  <c r="U354" i="27" s="1"/>
  <c r="S362" i="27"/>
  <c r="U362" i="27" s="1"/>
  <c r="S370" i="27"/>
  <c r="U370" i="27" s="1"/>
  <c r="S378" i="27"/>
  <c r="U378" i="27" s="1"/>
  <c r="S386" i="27"/>
  <c r="U386" i="27" s="1"/>
  <c r="S394" i="27"/>
  <c r="U394" i="27" s="1"/>
  <c r="S402" i="27"/>
  <c r="U402" i="27" s="1"/>
  <c r="S410" i="27"/>
  <c r="U410" i="27" s="1"/>
  <c r="S418" i="27"/>
  <c r="U418" i="27" s="1"/>
  <c r="S426" i="27"/>
  <c r="U426" i="27" s="1"/>
  <c r="S434" i="27"/>
  <c r="U434" i="27" s="1"/>
  <c r="S442" i="27"/>
  <c r="U442" i="27" s="1"/>
  <c r="S450" i="27"/>
  <c r="U450" i="27" s="1"/>
  <c r="S458" i="27"/>
  <c r="U458" i="27" s="1"/>
  <c r="S466" i="27"/>
  <c r="U466" i="27" s="1"/>
  <c r="S474" i="27"/>
  <c r="U474" i="27" s="1"/>
  <c r="S482" i="27"/>
  <c r="U482" i="27" s="1"/>
  <c r="S490" i="27"/>
  <c r="U490" i="27" s="1"/>
  <c r="S498" i="27"/>
  <c r="U498" i="27" s="1"/>
  <c r="S506" i="27"/>
  <c r="U506" i="27" s="1"/>
  <c r="S514" i="27"/>
  <c r="U514" i="27" s="1"/>
  <c r="S522" i="27"/>
  <c r="U522" i="27" s="1"/>
  <c r="S530" i="27"/>
  <c r="U530" i="27" s="1"/>
  <c r="S538" i="27"/>
  <c r="U538" i="27" s="1"/>
  <c r="S546" i="27"/>
  <c r="U546" i="27" s="1"/>
  <c r="S554" i="27"/>
  <c r="U554" i="27" s="1"/>
  <c r="S562" i="27"/>
  <c r="U562" i="27" s="1"/>
  <c r="S570" i="27"/>
  <c r="U570" i="27" s="1"/>
  <c r="S578" i="27"/>
  <c r="U578" i="27" s="1"/>
  <c r="S586" i="27"/>
  <c r="U586" i="27" s="1"/>
  <c r="S594" i="27"/>
  <c r="U594" i="27" s="1"/>
  <c r="S602" i="27"/>
  <c r="U602" i="27" s="1"/>
  <c r="S610" i="27"/>
  <c r="U610" i="27" s="1"/>
  <c r="S618" i="27"/>
  <c r="U618" i="27" s="1"/>
  <c r="S626" i="27"/>
  <c r="U626" i="27" s="1"/>
  <c r="S634" i="27"/>
  <c r="U634" i="27" s="1"/>
  <c r="S642" i="27"/>
  <c r="U642" i="27" s="1"/>
  <c r="S650" i="27"/>
  <c r="U650" i="27" s="1"/>
  <c r="S658" i="27"/>
  <c r="U658" i="27" s="1"/>
  <c r="S666" i="27"/>
  <c r="U666" i="27" s="1"/>
  <c r="S674" i="27"/>
  <c r="U674" i="27" s="1"/>
  <c r="S682" i="27"/>
  <c r="U682" i="27" s="1"/>
  <c r="S690" i="27"/>
  <c r="U690" i="27" s="1"/>
  <c r="S698" i="27"/>
  <c r="U698" i="27" s="1"/>
  <c r="S706" i="27"/>
  <c r="U706" i="27" s="1"/>
  <c r="S87" i="27"/>
  <c r="U87" i="27" s="1"/>
  <c r="S79" i="27"/>
  <c r="U79" i="27" s="1"/>
  <c r="S63" i="27"/>
  <c r="U63" i="27" s="1"/>
  <c r="S55" i="27"/>
  <c r="U55" i="27" s="1"/>
  <c r="S47" i="27"/>
  <c r="U47" i="27" s="1"/>
  <c r="S39" i="27"/>
  <c r="U39" i="27" s="1"/>
  <c r="S31" i="27"/>
  <c r="U31" i="27" s="1"/>
  <c r="S10" i="27"/>
  <c r="U10" i="27" s="1"/>
  <c r="S18" i="27"/>
  <c r="U18" i="27" s="1"/>
  <c r="S107" i="27"/>
  <c r="U107" i="27" s="1"/>
  <c r="S115" i="27"/>
  <c r="U115" i="27" s="1"/>
  <c r="S123" i="27"/>
  <c r="U123" i="27" s="1"/>
  <c r="S131" i="27"/>
  <c r="U131" i="27" s="1"/>
  <c r="S139" i="27"/>
  <c r="U139" i="27" s="1"/>
  <c r="S147" i="27"/>
  <c r="U147" i="27" s="1"/>
  <c r="S155" i="27"/>
  <c r="U155" i="27" s="1"/>
  <c r="S163" i="27"/>
  <c r="U163" i="27" s="1"/>
  <c r="S171" i="27"/>
  <c r="U171" i="27" s="1"/>
  <c r="S179" i="27"/>
  <c r="U179" i="27" s="1"/>
  <c r="S187" i="27"/>
  <c r="U187" i="27" s="1"/>
  <c r="S195" i="27"/>
  <c r="U195" i="27" s="1"/>
  <c r="S203" i="27"/>
  <c r="U203" i="27" s="1"/>
  <c r="S211" i="27"/>
  <c r="U211" i="27" s="1"/>
  <c r="S219" i="27"/>
  <c r="U219" i="27" s="1"/>
  <c r="S227" i="27"/>
  <c r="U227" i="27" s="1"/>
  <c r="S235" i="27"/>
  <c r="U235" i="27" s="1"/>
  <c r="S243" i="27"/>
  <c r="U243" i="27" s="1"/>
  <c r="S251" i="27"/>
  <c r="U251" i="27" s="1"/>
  <c r="S259" i="27"/>
  <c r="U259" i="27" s="1"/>
  <c r="S267" i="27"/>
  <c r="U267" i="27" s="1"/>
  <c r="S275" i="27"/>
  <c r="U275" i="27" s="1"/>
  <c r="S283" i="27"/>
  <c r="U283" i="27" s="1"/>
  <c r="S291" i="27"/>
  <c r="U291" i="27" s="1"/>
  <c r="S299" i="27"/>
  <c r="U299" i="27" s="1"/>
  <c r="S307" i="27"/>
  <c r="U307" i="27" s="1"/>
  <c r="S315" i="27"/>
  <c r="U315" i="27" s="1"/>
  <c r="S323" i="27"/>
  <c r="U323" i="27" s="1"/>
  <c r="S331" i="27"/>
  <c r="U331" i="27" s="1"/>
  <c r="S339" i="27"/>
  <c r="U339" i="27" s="1"/>
  <c r="S347" i="27"/>
  <c r="U347" i="27" s="1"/>
  <c r="S355" i="27"/>
  <c r="U355" i="27" s="1"/>
  <c r="S363" i="27"/>
  <c r="U363" i="27" s="1"/>
  <c r="S371" i="27"/>
  <c r="U371" i="27" s="1"/>
  <c r="S379" i="27"/>
  <c r="U379" i="27" s="1"/>
  <c r="S387" i="27"/>
  <c r="U387" i="27" s="1"/>
  <c r="S395" i="27"/>
  <c r="U395" i="27" s="1"/>
  <c r="S403" i="27"/>
  <c r="U403" i="27" s="1"/>
  <c r="S411" i="27"/>
  <c r="U411" i="27" s="1"/>
  <c r="S419" i="27"/>
  <c r="U419" i="27" s="1"/>
  <c r="S427" i="27"/>
  <c r="U427" i="27" s="1"/>
  <c r="S435" i="27"/>
  <c r="U435" i="27" s="1"/>
  <c r="S443" i="27"/>
  <c r="U443" i="27" s="1"/>
  <c r="S451" i="27"/>
  <c r="U451" i="27" s="1"/>
  <c r="S459" i="27"/>
  <c r="U459" i="27" s="1"/>
  <c r="S467" i="27"/>
  <c r="U467" i="27" s="1"/>
  <c r="S475" i="27"/>
  <c r="U475" i="27" s="1"/>
  <c r="S483" i="27"/>
  <c r="U483" i="27" s="1"/>
  <c r="S491" i="27"/>
  <c r="U491" i="27" s="1"/>
  <c r="S499" i="27"/>
  <c r="U499" i="27" s="1"/>
  <c r="S507" i="27"/>
  <c r="U507" i="27" s="1"/>
  <c r="S515" i="27"/>
  <c r="U515" i="27" s="1"/>
  <c r="S523" i="27"/>
  <c r="U523" i="27" s="1"/>
  <c r="S531" i="27"/>
  <c r="U531" i="27" s="1"/>
  <c r="S539" i="27"/>
  <c r="U539" i="27" s="1"/>
  <c r="S547" i="27"/>
  <c r="U547" i="27" s="1"/>
  <c r="S555" i="27"/>
  <c r="U555" i="27" s="1"/>
  <c r="S563" i="27"/>
  <c r="U563" i="27" s="1"/>
  <c r="S571" i="27"/>
  <c r="U571" i="27" s="1"/>
  <c r="S579" i="27"/>
  <c r="U579" i="27" s="1"/>
  <c r="S587" i="27"/>
  <c r="U587" i="27" s="1"/>
  <c r="S595" i="27"/>
  <c r="U595" i="27" s="1"/>
  <c r="S603" i="27"/>
  <c r="U603" i="27" s="1"/>
  <c r="S611" i="27"/>
  <c r="U611" i="27" s="1"/>
  <c r="S619" i="27"/>
  <c r="U619" i="27" s="1"/>
  <c r="S627" i="27"/>
  <c r="U627" i="27" s="1"/>
  <c r="S635" i="27"/>
  <c r="U635" i="27" s="1"/>
  <c r="S643" i="27"/>
  <c r="U643" i="27" s="1"/>
  <c r="S651" i="27"/>
  <c r="U651" i="27" s="1"/>
  <c r="S659" i="27"/>
  <c r="U659" i="27" s="1"/>
  <c r="S667" i="27"/>
  <c r="U667" i="27" s="1"/>
  <c r="S675" i="27"/>
  <c r="U675" i="27" s="1"/>
  <c r="S683" i="27"/>
  <c r="U683" i="27" s="1"/>
  <c r="S691" i="27"/>
  <c r="U691" i="27" s="1"/>
  <c r="S699" i="27"/>
  <c r="U699" i="27" s="1"/>
  <c r="S95" i="27"/>
  <c r="U95" i="27" s="1"/>
  <c r="S94" i="27"/>
  <c r="U94" i="27" s="1"/>
  <c r="S70" i="27"/>
  <c r="U70" i="27" s="1"/>
  <c r="S54" i="27"/>
  <c r="U54" i="27" s="1"/>
  <c r="S11" i="27"/>
  <c r="U11" i="27" s="1"/>
  <c r="S108" i="27"/>
  <c r="U108" i="27" s="1"/>
  <c r="S132" i="27"/>
  <c r="U132" i="27" s="1"/>
  <c r="S148" i="27"/>
  <c r="U148" i="27" s="1"/>
  <c r="S164" i="27"/>
  <c r="U164" i="27" s="1"/>
  <c r="S180" i="27"/>
  <c r="U180" i="27" s="1"/>
  <c r="S196" i="27"/>
  <c r="U196" i="27" s="1"/>
  <c r="S204" i="27"/>
  <c r="U204" i="27" s="1"/>
  <c r="S212" i="27"/>
  <c r="U212" i="27" s="1"/>
  <c r="S220" i="27"/>
  <c r="U220" i="27" s="1"/>
  <c r="S236" i="27"/>
  <c r="U236" i="27" s="1"/>
  <c r="S244" i="27"/>
  <c r="U244" i="27" s="1"/>
  <c r="S252" i="27"/>
  <c r="U252" i="27" s="1"/>
  <c r="S260" i="27"/>
  <c r="U260" i="27" s="1"/>
  <c r="S268" i="27"/>
  <c r="U268" i="27" s="1"/>
  <c r="S276" i="27"/>
  <c r="U276" i="27" s="1"/>
  <c r="S284" i="27"/>
  <c r="U284" i="27" s="1"/>
  <c r="S292" i="27"/>
  <c r="U292" i="27" s="1"/>
  <c r="S300" i="27"/>
  <c r="U300" i="27" s="1"/>
  <c r="S308" i="27"/>
  <c r="U308" i="27" s="1"/>
  <c r="S316" i="27"/>
  <c r="U316" i="27" s="1"/>
  <c r="S324" i="27"/>
  <c r="U324" i="27" s="1"/>
  <c r="S332" i="27"/>
  <c r="U332" i="27" s="1"/>
  <c r="S340" i="27"/>
  <c r="U340" i="27" s="1"/>
  <c r="S348" i="27"/>
  <c r="U348" i="27" s="1"/>
  <c r="S356" i="27"/>
  <c r="U356" i="27" s="1"/>
  <c r="S364" i="27"/>
  <c r="U364" i="27" s="1"/>
  <c r="S372" i="27"/>
  <c r="U372" i="27" s="1"/>
  <c r="S380" i="27"/>
  <c r="U380" i="27" s="1"/>
  <c r="S388" i="27"/>
  <c r="U388" i="27" s="1"/>
  <c r="S396" i="27"/>
  <c r="U396" i="27" s="1"/>
  <c r="S404" i="27"/>
  <c r="U404" i="27" s="1"/>
  <c r="S412" i="27"/>
  <c r="U412" i="27" s="1"/>
  <c r="S420" i="27"/>
  <c r="U420" i="27" s="1"/>
  <c r="S428" i="27"/>
  <c r="U428" i="27" s="1"/>
  <c r="S436" i="27"/>
  <c r="U436" i="27" s="1"/>
  <c r="S444" i="27"/>
  <c r="U444" i="27" s="1"/>
  <c r="S452" i="27"/>
  <c r="U452" i="27" s="1"/>
  <c r="S460" i="27"/>
  <c r="U460" i="27" s="1"/>
  <c r="S468" i="27"/>
  <c r="U468" i="27" s="1"/>
  <c r="S476" i="27"/>
  <c r="U476" i="27" s="1"/>
  <c r="S484" i="27"/>
  <c r="U484" i="27" s="1"/>
  <c r="S492" i="27"/>
  <c r="U492" i="27" s="1"/>
  <c r="S500" i="27"/>
  <c r="U500" i="27" s="1"/>
  <c r="S508" i="27"/>
  <c r="U508" i="27" s="1"/>
  <c r="S516" i="27"/>
  <c r="U516" i="27" s="1"/>
  <c r="S524" i="27"/>
  <c r="U524" i="27" s="1"/>
  <c r="S532" i="27"/>
  <c r="U532" i="27" s="1"/>
  <c r="S540" i="27"/>
  <c r="U540" i="27" s="1"/>
  <c r="S548" i="27"/>
  <c r="U548" i="27" s="1"/>
  <c r="S556" i="27"/>
  <c r="U556" i="27" s="1"/>
  <c r="S564" i="27"/>
  <c r="U564" i="27" s="1"/>
  <c r="S572" i="27"/>
  <c r="U572" i="27" s="1"/>
  <c r="S580" i="27"/>
  <c r="U580" i="27" s="1"/>
  <c r="S588" i="27"/>
  <c r="U588" i="27" s="1"/>
  <c r="S596" i="27"/>
  <c r="U596" i="27" s="1"/>
  <c r="S604" i="27"/>
  <c r="U604" i="27" s="1"/>
  <c r="S612" i="27"/>
  <c r="U612" i="27" s="1"/>
  <c r="S620" i="27"/>
  <c r="U620" i="27" s="1"/>
  <c r="S628" i="27"/>
  <c r="U628" i="27" s="1"/>
  <c r="S636" i="27"/>
  <c r="U636" i="27" s="1"/>
  <c r="S644" i="27"/>
  <c r="U644" i="27" s="1"/>
  <c r="S652" i="27"/>
  <c r="U652" i="27" s="1"/>
  <c r="S660" i="27"/>
  <c r="U660" i="27" s="1"/>
  <c r="S668" i="27"/>
  <c r="U668" i="27" s="1"/>
  <c r="S676" i="27"/>
  <c r="U676" i="27" s="1"/>
  <c r="S684" i="27"/>
  <c r="U684" i="27" s="1"/>
  <c r="S692" i="27"/>
  <c r="U692" i="27" s="1"/>
  <c r="S700" i="27"/>
  <c r="U700" i="27" s="1"/>
  <c r="S199" i="27"/>
  <c r="U199" i="27" s="1"/>
  <c r="S493" i="27"/>
  <c r="U493" i="27" s="1"/>
  <c r="S153" i="27"/>
  <c r="U153" i="27" s="1"/>
  <c r="S237" i="27"/>
  <c r="U237" i="27" s="1"/>
  <c r="S501" i="27"/>
  <c r="U501" i="27" s="1"/>
  <c r="S279" i="27"/>
  <c r="U279" i="27" s="1"/>
  <c r="S509" i="27"/>
  <c r="U509" i="27" s="1"/>
  <c r="S133" i="27"/>
  <c r="U133" i="27" s="1"/>
  <c r="S177" i="27"/>
  <c r="U177" i="27" s="1"/>
  <c r="S253" i="27"/>
  <c r="U253" i="27" s="1"/>
  <c r="S111" i="27"/>
  <c r="U111" i="27" s="1"/>
  <c r="S249" i="27"/>
  <c r="U249" i="27" s="1"/>
  <c r="S317" i="27"/>
  <c r="U317" i="27" s="1"/>
  <c r="S469" i="27"/>
  <c r="U469" i="27" s="1"/>
  <c r="S257" i="27"/>
  <c r="U257" i="27" s="1"/>
  <c r="S165" i="27"/>
  <c r="U165" i="27" s="1"/>
  <c r="S277" i="27"/>
  <c r="U277" i="27" s="1"/>
  <c r="S605" i="27"/>
  <c r="U605" i="27" s="1"/>
  <c r="S17" i="27"/>
  <c r="U17" i="27" s="1"/>
  <c r="S34" i="27"/>
  <c r="U34" i="27" s="1"/>
  <c r="S357" i="27"/>
  <c r="U357" i="27" s="1"/>
  <c r="S209" i="27"/>
  <c r="U209" i="27" s="1"/>
  <c r="S557" i="27"/>
  <c r="U557" i="27" s="1"/>
  <c r="S217" i="27"/>
  <c r="U217" i="27" s="1"/>
  <c r="S429" i="27"/>
  <c r="U429" i="27" s="1"/>
  <c r="S565" i="27"/>
  <c r="U565" i="27" s="1"/>
  <c r="S343" i="27"/>
  <c r="U343" i="27" s="1"/>
  <c r="S573" i="27"/>
  <c r="U573" i="27" s="1"/>
  <c r="S453" i="27"/>
  <c r="U453" i="27" s="1"/>
  <c r="S305" i="27"/>
  <c r="U305" i="27" s="1"/>
  <c r="S325" i="27"/>
  <c r="U325" i="27" s="1"/>
  <c r="S175" i="27"/>
  <c r="U175" i="27" s="1"/>
  <c r="S313" i="27"/>
  <c r="U313" i="27" s="1"/>
  <c r="S261" i="27"/>
  <c r="U261" i="27" s="1"/>
  <c r="S533" i="27"/>
  <c r="U533" i="27" s="1"/>
  <c r="S321" i="27"/>
  <c r="U321" i="27" s="1"/>
  <c r="S189" i="27"/>
  <c r="U189" i="27" s="1"/>
  <c r="S157" i="27"/>
  <c r="U157" i="27" s="1"/>
  <c r="S669" i="27"/>
  <c r="U669" i="27" s="1"/>
  <c r="S98" i="27"/>
  <c r="U98" i="27" s="1"/>
  <c r="S67" i="27"/>
  <c r="U67" i="27" s="1"/>
  <c r="S695" i="27"/>
  <c r="U695" i="27" s="1"/>
  <c r="S561" i="27"/>
  <c r="U561" i="27" s="1"/>
  <c r="S213" i="27"/>
  <c r="U213" i="27" s="1"/>
  <c r="S269" i="27"/>
  <c r="U269" i="27" s="1"/>
  <c r="S71" i="27"/>
  <c r="U71" i="27" s="1"/>
  <c r="S705" i="27"/>
  <c r="U705" i="27" s="1"/>
  <c r="S421" i="27"/>
  <c r="U421" i="27" s="1"/>
  <c r="S273" i="27"/>
  <c r="U273" i="27" s="1"/>
  <c r="S621" i="27"/>
  <c r="U621" i="27" s="1"/>
  <c r="S281" i="27"/>
  <c r="U281" i="27" s="1"/>
  <c r="S117" i="27"/>
  <c r="U117" i="27" s="1"/>
  <c r="S629" i="27"/>
  <c r="U629" i="27" s="1"/>
  <c r="S407" i="27"/>
  <c r="U407" i="27" s="1"/>
  <c r="S637" i="27"/>
  <c r="U637" i="27" s="1"/>
  <c r="S581" i="27"/>
  <c r="U581" i="27" s="1"/>
  <c r="S369" i="27"/>
  <c r="U369" i="27" s="1"/>
  <c r="S205" i="27"/>
  <c r="U205" i="27" s="1"/>
  <c r="S367" i="27"/>
  <c r="U367" i="27" s="1"/>
  <c r="S377" i="27"/>
  <c r="U377" i="27" s="1"/>
  <c r="S517" i="27"/>
  <c r="U517" i="27" s="1"/>
  <c r="S597" i="27"/>
  <c r="U597" i="27" s="1"/>
  <c r="S385" i="27"/>
  <c r="U385" i="27" s="1"/>
  <c r="S197" i="27"/>
  <c r="U197" i="27" s="1"/>
  <c r="S221" i="27"/>
  <c r="U221" i="27" s="1"/>
  <c r="S599" i="27"/>
  <c r="U599" i="27" s="1"/>
  <c r="S56" i="27"/>
  <c r="U56" i="27" s="1"/>
  <c r="S84" i="27"/>
  <c r="U84" i="27" s="1"/>
  <c r="S613" i="27"/>
  <c r="U613" i="27" s="1"/>
  <c r="S473" i="27"/>
  <c r="U473" i="27" s="1"/>
  <c r="S703" i="27"/>
  <c r="U703" i="27" s="1"/>
  <c r="S125" i="27"/>
  <c r="U125" i="27" s="1"/>
  <c r="S103" i="27"/>
  <c r="U103" i="27" s="1"/>
  <c r="S413" i="27"/>
  <c r="U413" i="27" s="1"/>
  <c r="S687" i="27"/>
  <c r="U687" i="27" s="1"/>
  <c r="S129" i="27"/>
  <c r="U129" i="27" s="1"/>
  <c r="S485" i="27"/>
  <c r="U485" i="27" s="1"/>
  <c r="S529" i="27"/>
  <c r="U529" i="27" s="1"/>
  <c r="S685" i="27"/>
  <c r="U685" i="27" s="1"/>
  <c r="S345" i="27"/>
  <c r="U345" i="27" s="1"/>
  <c r="S181" i="27"/>
  <c r="U181" i="27" s="1"/>
  <c r="S693" i="27"/>
  <c r="U693" i="27" s="1"/>
  <c r="S545" i="27"/>
  <c r="U545" i="27" s="1"/>
  <c r="S701" i="27"/>
  <c r="U701" i="27" s="1"/>
  <c r="S645" i="27"/>
  <c r="U645" i="27" s="1"/>
  <c r="S433" i="27"/>
  <c r="U433" i="27" s="1"/>
  <c r="S397" i="27"/>
  <c r="U397" i="27" s="1"/>
  <c r="S431" i="27"/>
  <c r="U431" i="27" s="1"/>
  <c r="S441" i="27"/>
  <c r="U441" i="27" s="1"/>
  <c r="S333" i="27"/>
  <c r="U333" i="27" s="1"/>
  <c r="S661" i="27"/>
  <c r="U661" i="27" s="1"/>
  <c r="S449" i="27"/>
  <c r="U449" i="27" s="1"/>
  <c r="S389" i="27"/>
  <c r="U389" i="27" s="1"/>
  <c r="S285" i="27"/>
  <c r="U285" i="27" s="1"/>
  <c r="S127" i="27"/>
  <c r="U127" i="27" s="1"/>
  <c r="S52" i="27"/>
  <c r="U52" i="27" s="1"/>
  <c r="S20" i="27"/>
  <c r="U20" i="27" s="1"/>
  <c r="S309" i="27"/>
  <c r="U309" i="27" s="1"/>
  <c r="S559" i="27"/>
  <c r="U559" i="27" s="1"/>
  <c r="S663" i="27"/>
  <c r="U663" i="27" s="1"/>
  <c r="S26" i="27"/>
  <c r="U26" i="27" s="1"/>
  <c r="S109" i="27"/>
  <c r="U109" i="27" s="1"/>
  <c r="S405" i="27"/>
  <c r="U405" i="27" s="1"/>
  <c r="S541" i="27"/>
  <c r="U541" i="27" s="1"/>
  <c r="S77" i="27"/>
  <c r="U77" i="27" s="1"/>
  <c r="S549" i="27"/>
  <c r="U549" i="27" s="1"/>
  <c r="S593" i="27"/>
  <c r="U593" i="27" s="1"/>
  <c r="S471" i="27"/>
  <c r="U471" i="27" s="1"/>
  <c r="S409" i="27"/>
  <c r="U409" i="27" s="1"/>
  <c r="S245" i="27"/>
  <c r="U245" i="27" s="1"/>
  <c r="S631" i="27"/>
  <c r="U631" i="27" s="1"/>
  <c r="S609" i="27"/>
  <c r="U609" i="27" s="1"/>
  <c r="S639" i="27"/>
  <c r="U639" i="27" s="1"/>
  <c r="S575" i="27"/>
  <c r="U575" i="27" s="1"/>
  <c r="S497" i="27"/>
  <c r="U497" i="27" s="1"/>
  <c r="S589" i="27"/>
  <c r="U589" i="27" s="1"/>
  <c r="S495" i="27"/>
  <c r="U495" i="27" s="1"/>
  <c r="S505" i="27"/>
  <c r="U505" i="27" s="1"/>
  <c r="S525" i="27"/>
  <c r="U525" i="27" s="1"/>
  <c r="S447" i="27"/>
  <c r="U447" i="27" s="1"/>
  <c r="S513" i="27"/>
  <c r="U513" i="27" s="1"/>
  <c r="S141" i="27"/>
  <c r="U141" i="27" s="1"/>
  <c r="S349" i="27"/>
  <c r="U349" i="27" s="1"/>
  <c r="S201" i="27"/>
  <c r="U201" i="27" s="1"/>
  <c r="S23" i="27"/>
  <c r="U23" i="27" s="1"/>
  <c r="S38" i="27"/>
  <c r="U38" i="27" s="1"/>
  <c r="S657" i="27"/>
  <c r="U657" i="27" s="1"/>
  <c r="S233" i="27"/>
  <c r="U233" i="27" s="1"/>
  <c r="S653" i="27"/>
  <c r="U653" i="27" s="1"/>
  <c r="S569" i="27"/>
  <c r="U569" i="27" s="1"/>
  <c r="S577" i="27"/>
  <c r="U577" i="27" s="1"/>
  <c r="S29" i="27"/>
  <c r="U29" i="27" s="1"/>
  <c r="S81" i="27"/>
  <c r="U81" i="27" s="1"/>
  <c r="S677" i="27"/>
  <c r="U677" i="27" s="1"/>
  <c r="S301" i="27"/>
  <c r="U301" i="27" s="1"/>
  <c r="S271" i="27"/>
  <c r="U271" i="27" s="1"/>
  <c r="S537" i="27"/>
  <c r="U537" i="27" s="1"/>
  <c r="S373" i="27"/>
  <c r="U373" i="27" s="1"/>
  <c r="S151" i="27"/>
  <c r="U151" i="27" s="1"/>
  <c r="S381" i="27"/>
  <c r="U381" i="27" s="1"/>
  <c r="S297" i="27"/>
  <c r="U297" i="27" s="1"/>
  <c r="S167" i="27"/>
  <c r="U167" i="27" s="1"/>
  <c r="S625" i="27"/>
  <c r="U625" i="27" s="1"/>
  <c r="S511" i="27"/>
  <c r="U511" i="27" s="1"/>
  <c r="S623" i="27"/>
  <c r="U623" i="27" s="1"/>
  <c r="S633" i="27"/>
  <c r="U633" i="27" s="1"/>
  <c r="S341" i="27"/>
  <c r="U341" i="27" s="1"/>
  <c r="S183" i="27"/>
  <c r="U183" i="27" s="1"/>
  <c r="S641" i="27"/>
  <c r="U641" i="27" s="1"/>
  <c r="S461" i="27"/>
  <c r="U461" i="27" s="1"/>
  <c r="S477" i="27"/>
  <c r="U477" i="27" s="1"/>
  <c r="S13" i="27"/>
  <c r="U13" i="27" s="1"/>
  <c r="S28" i="27"/>
  <c r="U28" i="27" s="1"/>
  <c r="S76" i="27"/>
  <c r="U76" i="27" s="1"/>
  <c r="S229" i="27"/>
  <c r="U229" i="27" s="1"/>
  <c r="S365" i="27"/>
  <c r="U365" i="27" s="1"/>
  <c r="S335" i="27"/>
  <c r="U335" i="27" s="1"/>
  <c r="S293" i="27"/>
  <c r="U293" i="27" s="1"/>
  <c r="V293" i="27" s="1"/>
  <c r="W293" i="27" s="1"/>
  <c r="V335" i="27" l="1"/>
  <c r="W335" i="27" s="1"/>
  <c r="V365" i="27"/>
  <c r="W365" i="27" s="1"/>
  <c r="V229" i="27"/>
  <c r="W229" i="27" s="1"/>
  <c r="V76" i="27"/>
  <c r="W76" i="27" s="1"/>
  <c r="V28" i="27"/>
  <c r="W28" i="27" s="1"/>
  <c r="V13" i="27"/>
  <c r="W13" i="27" s="1"/>
  <c r="V477" i="27"/>
  <c r="W477" i="27" s="1"/>
  <c r="V461" i="27"/>
  <c r="W461" i="27" s="1"/>
  <c r="V641" i="27"/>
  <c r="W641" i="27" s="1"/>
  <c r="V183" i="27"/>
  <c r="W183" i="27" s="1"/>
  <c r="V341" i="27"/>
  <c r="W341" i="27" s="1"/>
  <c r="V633" i="27"/>
  <c r="W633" i="27" s="1"/>
  <c r="V623" i="27"/>
  <c r="W623" i="27" s="1"/>
  <c r="V511" i="27"/>
  <c r="W511" i="27" s="1"/>
  <c r="V625" i="27"/>
  <c r="W625" i="27" s="1"/>
  <c r="V167" i="27"/>
  <c r="W167" i="27" s="1"/>
  <c r="V297" i="27"/>
  <c r="W297" i="27" s="1"/>
  <c r="V381" i="27"/>
  <c r="W381" i="27" s="1"/>
  <c r="V151" i="27"/>
  <c r="W151" i="27" s="1"/>
  <c r="V373" i="27"/>
  <c r="W373" i="27" s="1"/>
  <c r="V537" i="27"/>
  <c r="W537" i="27" s="1"/>
  <c r="V271" i="27"/>
  <c r="W271" i="27" s="1"/>
  <c r="V301" i="27"/>
  <c r="W301" i="27" s="1"/>
  <c r="V677" i="27"/>
  <c r="W677" i="27" s="1"/>
  <c r="V81" i="27"/>
  <c r="W81" i="27" s="1"/>
  <c r="V29" i="27"/>
  <c r="W29" i="27" s="1"/>
  <c r="V577" i="27"/>
  <c r="W577" i="27" s="1"/>
  <c r="V569" i="27"/>
  <c r="W569" i="27" s="1"/>
  <c r="V653" i="27"/>
  <c r="W653" i="27" s="1"/>
  <c r="V233" i="27"/>
  <c r="W233" i="27" s="1"/>
  <c r="V657" i="27"/>
  <c r="W657" i="27" s="1"/>
  <c r="V38" i="27"/>
  <c r="W38" i="27" s="1"/>
  <c r="V23" i="27"/>
  <c r="W23" i="27" s="1"/>
  <c r="V201" i="27"/>
  <c r="W201" i="27" s="1"/>
  <c r="V349" i="27"/>
  <c r="W349" i="27" s="1"/>
  <c r="V141" i="27"/>
  <c r="W141" i="27" s="1"/>
  <c r="V513" i="27"/>
  <c r="W513" i="27" s="1"/>
  <c r="V447" i="27"/>
  <c r="W447" i="27" s="1"/>
  <c r="V525" i="27"/>
  <c r="W525" i="27" s="1"/>
  <c r="V505" i="27"/>
  <c r="W505" i="27" s="1"/>
  <c r="V495" i="27"/>
  <c r="W495" i="27" s="1"/>
  <c r="V589" i="27"/>
  <c r="W589" i="27" s="1"/>
  <c r="V497" i="27"/>
  <c r="W497" i="27" s="1"/>
  <c r="V575" i="27"/>
  <c r="W575" i="27" s="1"/>
  <c r="V639" i="27"/>
  <c r="W639" i="27" s="1"/>
  <c r="V609" i="27"/>
  <c r="W609" i="27" s="1"/>
  <c r="V631" i="27"/>
  <c r="W631" i="27" s="1"/>
  <c r="V245" i="27"/>
  <c r="W245" i="27" s="1"/>
  <c r="V409" i="27"/>
  <c r="W409" i="27" s="1"/>
  <c r="V471" i="27"/>
  <c r="W471" i="27" s="1"/>
  <c r="V593" i="27"/>
  <c r="W593" i="27" s="1"/>
  <c r="V549" i="27"/>
  <c r="W549" i="27" s="1"/>
  <c r="V77" i="27"/>
  <c r="W77" i="27" s="1"/>
  <c r="V541" i="27"/>
  <c r="W541" i="27" s="1"/>
  <c r="V405" i="27"/>
  <c r="W405" i="27" s="1"/>
  <c r="V109" i="27"/>
  <c r="W109" i="27" s="1"/>
  <c r="V26" i="27"/>
  <c r="W26" i="27" s="1"/>
  <c r="V663" i="27"/>
  <c r="W663" i="27" s="1"/>
  <c r="V559" i="27"/>
  <c r="W559" i="27" s="1"/>
  <c r="V309" i="27"/>
  <c r="W309" i="27" s="1"/>
  <c r="V20" i="27"/>
  <c r="W20" i="27" s="1"/>
  <c r="V52" i="27"/>
  <c r="W52" i="27" s="1"/>
  <c r="V127" i="27"/>
  <c r="W127" i="27" s="1"/>
  <c r="V285" i="27"/>
  <c r="W285" i="27" s="1"/>
  <c r="V389" i="27"/>
  <c r="W389" i="27" s="1"/>
  <c r="V449" i="27"/>
  <c r="W449" i="27" s="1"/>
  <c r="V661" i="27"/>
  <c r="W661" i="27" s="1"/>
  <c r="V333" i="27"/>
  <c r="W333" i="27" s="1"/>
  <c r="V441" i="27"/>
  <c r="W441" i="27" s="1"/>
  <c r="V431" i="27"/>
  <c r="W431" i="27" s="1"/>
  <c r="V397" i="27"/>
  <c r="W397" i="27" s="1"/>
  <c r="V433" i="27"/>
  <c r="W433" i="27" s="1"/>
  <c r="V645" i="27"/>
  <c r="W645" i="27" s="1"/>
  <c r="V701" i="27"/>
  <c r="W701" i="27" s="1"/>
  <c r="V545" i="27"/>
  <c r="W545" i="27" s="1"/>
  <c r="V693" i="27"/>
  <c r="W693" i="27" s="1"/>
  <c r="V181" i="27"/>
  <c r="W181" i="27" s="1"/>
  <c r="V345" i="27"/>
  <c r="W345" i="27" s="1"/>
  <c r="V685" i="27"/>
  <c r="W685" i="27" s="1"/>
  <c r="V529" i="27"/>
  <c r="W529" i="27" s="1"/>
  <c r="V485" i="27"/>
  <c r="W485" i="27" s="1"/>
  <c r="V129" i="27"/>
  <c r="W129" i="27" s="1"/>
  <c r="V687" i="27"/>
  <c r="W687" i="27" s="1"/>
  <c r="V413" i="27"/>
  <c r="W413" i="27" s="1"/>
  <c r="V103" i="27"/>
  <c r="W103" i="27" s="1"/>
  <c r="V125" i="27"/>
  <c r="W125" i="27" s="1"/>
  <c r="V703" i="27"/>
  <c r="W703" i="27" s="1"/>
  <c r="V473" i="27"/>
  <c r="W473" i="27" s="1"/>
  <c r="V613" i="27"/>
  <c r="W613" i="27" s="1"/>
  <c r="V84" i="27"/>
  <c r="W84" i="27" s="1"/>
  <c r="V56" i="27"/>
  <c r="W56" i="27" s="1"/>
  <c r="V599" i="27"/>
  <c r="W599" i="27" s="1"/>
  <c r="V221" i="27"/>
  <c r="W221" i="27" s="1"/>
  <c r="V197" i="27"/>
  <c r="W197" i="27" s="1"/>
  <c r="V385" i="27"/>
  <c r="W385" i="27" s="1"/>
  <c r="V597" i="27"/>
  <c r="W597" i="27" s="1"/>
  <c r="V517" i="27"/>
  <c r="W517" i="27" s="1"/>
  <c r="V377" i="27"/>
  <c r="W377" i="27" s="1"/>
  <c r="V367" i="27"/>
  <c r="W367" i="27" s="1"/>
  <c r="V205" i="27"/>
  <c r="W205" i="27" s="1"/>
  <c r="V369" i="27"/>
  <c r="W369" i="27" s="1"/>
  <c r="V581" i="27"/>
  <c r="W581" i="27" s="1"/>
  <c r="V637" i="27"/>
  <c r="W637" i="27" s="1"/>
  <c r="V407" i="27"/>
  <c r="W407" i="27" s="1"/>
  <c r="V629" i="27"/>
  <c r="W629" i="27" s="1"/>
  <c r="V117" i="27"/>
  <c r="W117" i="27" s="1"/>
  <c r="V281" i="27"/>
  <c r="W281" i="27" s="1"/>
  <c r="V621" i="27"/>
  <c r="W621" i="27" s="1"/>
  <c r="V273" i="27"/>
  <c r="W273" i="27" s="1"/>
  <c r="V421" i="27"/>
  <c r="W421" i="27" s="1"/>
  <c r="V705" i="27"/>
  <c r="W705" i="27" s="1"/>
  <c r="V71" i="27"/>
  <c r="W71" i="27" s="1"/>
  <c r="V269" i="27"/>
  <c r="W269" i="27" s="1"/>
  <c r="V213" i="27"/>
  <c r="W213" i="27" s="1"/>
  <c r="V561" i="27"/>
  <c r="W561" i="27" s="1"/>
  <c r="V695" i="27"/>
  <c r="W695" i="27" s="1"/>
  <c r="V67" i="27"/>
  <c r="W67" i="27" s="1"/>
  <c r="V98" i="27"/>
  <c r="W98" i="27" s="1"/>
  <c r="V669" i="27"/>
  <c r="W669" i="27" s="1"/>
  <c r="V157" i="27"/>
  <c r="W157" i="27" s="1"/>
  <c r="V189" i="27"/>
  <c r="W189" i="27" s="1"/>
  <c r="V321" i="27"/>
  <c r="W321" i="27" s="1"/>
  <c r="V533" i="27"/>
  <c r="W533" i="27" s="1"/>
  <c r="V261" i="27"/>
  <c r="W261" i="27" s="1"/>
  <c r="V313" i="27"/>
  <c r="W313" i="27" s="1"/>
  <c r="V175" i="27"/>
  <c r="W175" i="27" s="1"/>
  <c r="V325" i="27"/>
  <c r="W325" i="27" s="1"/>
  <c r="V305" i="27"/>
  <c r="W305" i="27" s="1"/>
  <c r="V453" i="27"/>
  <c r="W453" i="27" s="1"/>
  <c r="V573" i="27"/>
  <c r="W573" i="27" s="1"/>
  <c r="V343" i="27"/>
  <c r="W343" i="27" s="1"/>
  <c r="V565" i="27"/>
  <c r="W565" i="27" s="1"/>
  <c r="V429" i="27"/>
  <c r="W429" i="27" s="1"/>
  <c r="V217" i="27"/>
  <c r="W217" i="27" s="1"/>
  <c r="V557" i="27"/>
  <c r="W557" i="27" s="1"/>
  <c r="V209" i="27"/>
  <c r="W209" i="27" s="1"/>
  <c r="V357" i="27"/>
  <c r="W357" i="27" s="1"/>
  <c r="V34" i="27"/>
  <c r="W34" i="27" s="1"/>
  <c r="V17" i="27"/>
  <c r="W17" i="27" s="1"/>
  <c r="V605" i="27"/>
  <c r="W605" i="27" s="1"/>
  <c r="V277" i="27"/>
  <c r="W277" i="27" s="1"/>
  <c r="V165" i="27"/>
  <c r="W165" i="27" s="1"/>
  <c r="V257" i="27"/>
  <c r="W257" i="27" s="1"/>
  <c r="V469" i="27"/>
  <c r="W469" i="27" s="1"/>
  <c r="V317" i="27"/>
  <c r="W317" i="27" s="1"/>
  <c r="V249" i="27"/>
  <c r="W249" i="27" s="1"/>
  <c r="V111" i="27"/>
  <c r="W111" i="27" s="1"/>
  <c r="V253" i="27"/>
  <c r="W253" i="27" s="1"/>
  <c r="V177" i="27"/>
  <c r="W177" i="27" s="1"/>
  <c r="V133" i="27"/>
  <c r="W133" i="27" s="1"/>
  <c r="V509" i="27"/>
  <c r="W509" i="27" s="1"/>
  <c r="V279" i="27"/>
  <c r="W279" i="27" s="1"/>
  <c r="V501" i="27"/>
  <c r="W501" i="27" s="1"/>
  <c r="V237" i="27"/>
  <c r="W237" i="27" s="1"/>
  <c r="V153" i="27"/>
  <c r="W153" i="27" s="1"/>
  <c r="V493" i="27"/>
  <c r="W493" i="27" s="1"/>
  <c r="V199" i="27"/>
  <c r="W199" i="27" s="1"/>
  <c r="V700" i="27"/>
  <c r="W700" i="27" s="1"/>
  <c r="V692" i="27"/>
  <c r="W692" i="27" s="1"/>
  <c r="V684" i="27"/>
  <c r="W684" i="27" s="1"/>
  <c r="V676" i="27"/>
  <c r="W676" i="27" s="1"/>
  <c r="V668" i="27"/>
  <c r="W668" i="27" s="1"/>
  <c r="V660" i="27"/>
  <c r="W660" i="27" s="1"/>
  <c r="V652" i="27"/>
  <c r="W652" i="27" s="1"/>
  <c r="V644" i="27"/>
  <c r="W644" i="27" s="1"/>
  <c r="V636" i="27"/>
  <c r="W636" i="27" s="1"/>
  <c r="V628" i="27"/>
  <c r="W628" i="27" s="1"/>
  <c r="V620" i="27"/>
  <c r="W620" i="27" s="1"/>
  <c r="V612" i="27"/>
  <c r="W612" i="27" s="1"/>
  <c r="V604" i="27"/>
  <c r="W604" i="27" s="1"/>
  <c r="V596" i="27"/>
  <c r="W596" i="27" s="1"/>
  <c r="V588" i="27"/>
  <c r="W588" i="27" s="1"/>
  <c r="V580" i="27"/>
  <c r="W580" i="27" s="1"/>
  <c r="V572" i="27"/>
  <c r="W572" i="27" s="1"/>
  <c r="V564" i="27"/>
  <c r="W564" i="27" s="1"/>
  <c r="V556" i="27"/>
  <c r="W556" i="27" s="1"/>
  <c r="V548" i="27"/>
  <c r="W548" i="27" s="1"/>
  <c r="V540" i="27"/>
  <c r="W540" i="27" s="1"/>
  <c r="V532" i="27"/>
  <c r="W532" i="27" s="1"/>
  <c r="V524" i="27"/>
  <c r="W524" i="27" s="1"/>
  <c r="V516" i="27"/>
  <c r="W516" i="27" s="1"/>
  <c r="V508" i="27"/>
  <c r="W508" i="27" s="1"/>
  <c r="V500" i="27"/>
  <c r="W500" i="27" s="1"/>
  <c r="V492" i="27"/>
  <c r="W492" i="27" s="1"/>
  <c r="V484" i="27"/>
  <c r="W484" i="27" s="1"/>
  <c r="V476" i="27"/>
  <c r="W476" i="27" s="1"/>
  <c r="V468" i="27"/>
  <c r="W468" i="27" s="1"/>
  <c r="V460" i="27"/>
  <c r="W460" i="27" s="1"/>
  <c r="V452" i="27"/>
  <c r="W452" i="27" s="1"/>
  <c r="V444" i="27"/>
  <c r="W444" i="27" s="1"/>
  <c r="V436" i="27"/>
  <c r="W436" i="27" s="1"/>
  <c r="V428" i="27"/>
  <c r="W428" i="27" s="1"/>
  <c r="V420" i="27"/>
  <c r="W420" i="27" s="1"/>
  <c r="V412" i="27"/>
  <c r="W412" i="27" s="1"/>
  <c r="V404" i="27"/>
  <c r="W404" i="27" s="1"/>
  <c r="V396" i="27"/>
  <c r="W396" i="27" s="1"/>
  <c r="V388" i="27"/>
  <c r="W388" i="27" s="1"/>
  <c r="V380" i="27"/>
  <c r="W380" i="27" s="1"/>
  <c r="V372" i="27"/>
  <c r="W372" i="27" s="1"/>
  <c r="V364" i="27"/>
  <c r="W364" i="27" s="1"/>
  <c r="V356" i="27"/>
  <c r="W356" i="27" s="1"/>
  <c r="V348" i="27"/>
  <c r="W348" i="27" s="1"/>
  <c r="V340" i="27"/>
  <c r="W340" i="27" s="1"/>
  <c r="V332" i="27"/>
  <c r="W332" i="27" s="1"/>
  <c r="V324" i="27"/>
  <c r="W324" i="27" s="1"/>
  <c r="V316" i="27"/>
  <c r="W316" i="27" s="1"/>
  <c r="V308" i="27"/>
  <c r="W308" i="27" s="1"/>
  <c r="V300" i="27"/>
  <c r="W300" i="27" s="1"/>
  <c r="V292" i="27"/>
  <c r="W292" i="27" s="1"/>
  <c r="V284" i="27"/>
  <c r="W284" i="27" s="1"/>
  <c r="V276" i="27"/>
  <c r="W276" i="27" s="1"/>
  <c r="V268" i="27"/>
  <c r="W268" i="27" s="1"/>
  <c r="V260" i="27"/>
  <c r="W260" i="27" s="1"/>
  <c r="V252" i="27"/>
  <c r="W252" i="27" s="1"/>
  <c r="V244" i="27"/>
  <c r="W244" i="27" s="1"/>
  <c r="V236" i="27"/>
  <c r="W236" i="27" s="1"/>
  <c r="V220" i="27"/>
  <c r="W220" i="27" s="1"/>
  <c r="V212" i="27"/>
  <c r="W212" i="27" s="1"/>
  <c r="V204" i="27"/>
  <c r="W204" i="27" s="1"/>
  <c r="V196" i="27"/>
  <c r="W196" i="27" s="1"/>
  <c r="V180" i="27"/>
  <c r="W180" i="27" s="1"/>
  <c r="V164" i="27"/>
  <c r="W164" i="27" s="1"/>
  <c r="V148" i="27"/>
  <c r="W148" i="27" s="1"/>
  <c r="V132" i="27"/>
  <c r="W132" i="27" s="1"/>
  <c r="V108" i="27"/>
  <c r="W108" i="27" s="1"/>
  <c r="V11" i="27"/>
  <c r="W11" i="27" s="1"/>
  <c r="V54" i="27"/>
  <c r="W54" i="27" s="1"/>
  <c r="V70" i="27"/>
  <c r="W70" i="27" s="1"/>
  <c r="V94" i="27"/>
  <c r="W94" i="27" s="1"/>
  <c r="V95" i="27"/>
  <c r="W95" i="27" s="1"/>
  <c r="V699" i="27"/>
  <c r="W699"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V563" i="27"/>
  <c r="W563" i="27" s="1"/>
  <c r="V555" i="27"/>
  <c r="W555" i="27" s="1"/>
  <c r="V547" i="27"/>
  <c r="W547" i="27" s="1"/>
  <c r="V539" i="27"/>
  <c r="W539" i="27" s="1"/>
  <c r="V531" i="27"/>
  <c r="W531" i="27" s="1"/>
  <c r="V523" i="27"/>
  <c r="W523" i="27" s="1"/>
  <c r="V515" i="27"/>
  <c r="W515" i="27" s="1"/>
  <c r="V507" i="27"/>
  <c r="W507" i="27" s="1"/>
  <c r="V499" i="27"/>
  <c r="W499" i="27" s="1"/>
  <c r="V491" i="27"/>
  <c r="W491" i="27" s="1"/>
  <c r="V483" i="27"/>
  <c r="W483" i="27" s="1"/>
  <c r="V475" i="27"/>
  <c r="W475" i="27" s="1"/>
  <c r="V467" i="27"/>
  <c r="W467" i="27" s="1"/>
  <c r="V459" i="27"/>
  <c r="W459" i="27" s="1"/>
  <c r="V451" i="27"/>
  <c r="W451" i="27" s="1"/>
  <c r="V443" i="27"/>
  <c r="W443" i="27" s="1"/>
  <c r="V435" i="27"/>
  <c r="W435" i="27" s="1"/>
  <c r="V427" i="27"/>
  <c r="W427" i="27" s="1"/>
  <c r="V419" i="27"/>
  <c r="W419" i="27" s="1"/>
  <c r="V411" i="27"/>
  <c r="W411" i="27" s="1"/>
  <c r="V403" i="27"/>
  <c r="W403" i="27" s="1"/>
  <c r="V395" i="27"/>
  <c r="W395" i="27" s="1"/>
  <c r="V387" i="27"/>
  <c r="W387" i="27" s="1"/>
  <c r="V379" i="27"/>
  <c r="W379" i="27" s="1"/>
  <c r="V371" i="27"/>
  <c r="W371" i="27" s="1"/>
  <c r="V363" i="27"/>
  <c r="W363" i="27" s="1"/>
  <c r="V355" i="27"/>
  <c r="W355" i="27" s="1"/>
  <c r="V347" i="27"/>
  <c r="W347" i="27" s="1"/>
  <c r="V339" i="27"/>
  <c r="W339" i="27" s="1"/>
  <c r="V331" i="27"/>
  <c r="W331" i="27" s="1"/>
  <c r="V323" i="27"/>
  <c r="W323" i="27" s="1"/>
  <c r="V315" i="27"/>
  <c r="W315" i="27" s="1"/>
  <c r="V307" i="27"/>
  <c r="W307" i="27" s="1"/>
  <c r="V299" i="27"/>
  <c r="W299" i="27" s="1"/>
  <c r="V291" i="27"/>
  <c r="W291" i="27" s="1"/>
  <c r="V283" i="27"/>
  <c r="W283" i="27" s="1"/>
  <c r="V275" i="27"/>
  <c r="W275" i="27" s="1"/>
  <c r="V267" i="27"/>
  <c r="W267" i="27" s="1"/>
  <c r="V259" i="27"/>
  <c r="W259" i="27" s="1"/>
  <c r="V251" i="27"/>
  <c r="W251" i="27" s="1"/>
  <c r="V243" i="27"/>
  <c r="W243" i="27" s="1"/>
  <c r="V235" i="27"/>
  <c r="W235" i="27" s="1"/>
  <c r="V227" i="27"/>
  <c r="W227" i="27" s="1"/>
  <c r="V219" i="27"/>
  <c r="W219" i="27" s="1"/>
  <c r="V211" i="27"/>
  <c r="W211" i="27" s="1"/>
  <c r="V203" i="27"/>
  <c r="W203" i="27" s="1"/>
  <c r="V195" i="27"/>
  <c r="W195" i="27" s="1"/>
  <c r="V187" i="27"/>
  <c r="W187" i="27" s="1"/>
  <c r="V179" i="27"/>
  <c r="W179" i="27" s="1"/>
  <c r="V171" i="27"/>
  <c r="W171" i="27" s="1"/>
  <c r="V163" i="27"/>
  <c r="W163" i="27" s="1"/>
  <c r="V155" i="27"/>
  <c r="W155" i="27" s="1"/>
  <c r="V147" i="27"/>
  <c r="W147" i="27" s="1"/>
  <c r="V139" i="27"/>
  <c r="W139" i="27" s="1"/>
  <c r="V131" i="27"/>
  <c r="W131" i="27" s="1"/>
  <c r="V123" i="27"/>
  <c r="W123" i="27" s="1"/>
  <c r="V115" i="27"/>
  <c r="W115" i="27" s="1"/>
  <c r="V107" i="27"/>
  <c r="W107" i="27" s="1"/>
  <c r="V18" i="27"/>
  <c r="W18" i="27" s="1"/>
  <c r="V10" i="27"/>
  <c r="W10" i="27" s="1"/>
  <c r="V31" i="27"/>
  <c r="W31" i="27" s="1"/>
  <c r="V39" i="27"/>
  <c r="W39" i="27" s="1"/>
  <c r="V47" i="27"/>
  <c r="W47" i="27" s="1"/>
  <c r="V55" i="27"/>
  <c r="W55" i="27" s="1"/>
  <c r="V63" i="27"/>
  <c r="W63" i="27" s="1"/>
  <c r="V79" i="27"/>
  <c r="W79" i="27" s="1"/>
  <c r="V87" i="27"/>
  <c r="W87" i="27" s="1"/>
  <c r="V706" i="27"/>
  <c r="W706" i="27" s="1"/>
  <c r="V698" i="27"/>
  <c r="W698" i="27" s="1"/>
  <c r="V690" i="27"/>
  <c r="W690" i="27" s="1"/>
  <c r="V682" i="27"/>
  <c r="W682" i="27" s="1"/>
  <c r="V674" i="27"/>
  <c r="W674" i="27" s="1"/>
  <c r="V666" i="27"/>
  <c r="W666" i="27" s="1"/>
  <c r="V658" i="27"/>
  <c r="W658" i="27" s="1"/>
  <c r="V650" i="27"/>
  <c r="W650" i="27" s="1"/>
  <c r="V642" i="27"/>
  <c r="W642" i="27" s="1"/>
  <c r="V634" i="27"/>
  <c r="W634" i="27" s="1"/>
  <c r="V626" i="27"/>
  <c r="W626" i="27" s="1"/>
  <c r="V618" i="27"/>
  <c r="W618" i="27" s="1"/>
  <c r="V610" i="27"/>
  <c r="W610" i="27" s="1"/>
  <c r="V602" i="27"/>
  <c r="W602" i="27" s="1"/>
  <c r="V594" i="27"/>
  <c r="W594" i="27" s="1"/>
  <c r="V586" i="27"/>
  <c r="W586" i="27" s="1"/>
  <c r="V578" i="27"/>
  <c r="W578" i="27" s="1"/>
  <c r="V570" i="27"/>
  <c r="W570" i="27" s="1"/>
  <c r="V562" i="27"/>
  <c r="W562" i="27" s="1"/>
  <c r="V554" i="27"/>
  <c r="W554" i="27" s="1"/>
  <c r="V546" i="27"/>
  <c r="W546" i="27" s="1"/>
  <c r="V538" i="27"/>
  <c r="W538" i="27" s="1"/>
  <c r="V530" i="27"/>
  <c r="W530" i="27" s="1"/>
  <c r="V522" i="27"/>
  <c r="W522" i="27" s="1"/>
  <c r="V514" i="27"/>
  <c r="W514" i="27" s="1"/>
  <c r="V506" i="27"/>
  <c r="W506" i="27" s="1"/>
  <c r="V498" i="27"/>
  <c r="W498" i="27" s="1"/>
  <c r="V490" i="27"/>
  <c r="W490" i="27" s="1"/>
  <c r="V482" i="27"/>
  <c r="W482" i="27" s="1"/>
  <c r="V474" i="27"/>
  <c r="W474" i="27" s="1"/>
  <c r="V466" i="27"/>
  <c r="W466" i="27" s="1"/>
  <c r="V458" i="27"/>
  <c r="W458" i="27" s="1"/>
  <c r="V450" i="27"/>
  <c r="W450" i="27" s="1"/>
  <c r="V442" i="27"/>
  <c r="W442" i="27" s="1"/>
  <c r="V434" i="27"/>
  <c r="W434" i="27" s="1"/>
  <c r="V426" i="27"/>
  <c r="W426" i="27" s="1"/>
  <c r="V418" i="27"/>
  <c r="W418" i="27" s="1"/>
  <c r="V410" i="27"/>
  <c r="W410" i="27" s="1"/>
  <c r="V402" i="27"/>
  <c r="W402" i="27" s="1"/>
  <c r="V394" i="27"/>
  <c r="W394" i="27" s="1"/>
  <c r="V386" i="27"/>
  <c r="W386" i="27" s="1"/>
  <c r="V378" i="27"/>
  <c r="W378" i="27" s="1"/>
  <c r="V370" i="27"/>
  <c r="W370" i="27" s="1"/>
  <c r="V362" i="27"/>
  <c r="W362" i="27" s="1"/>
  <c r="V354" i="27"/>
  <c r="W354" i="27" s="1"/>
  <c r="V346" i="27"/>
  <c r="W346" i="27" s="1"/>
  <c r="V338" i="27"/>
  <c r="W338" i="27" s="1"/>
  <c r="V330" i="27"/>
  <c r="W330" i="27" s="1"/>
  <c r="V322" i="27"/>
  <c r="W322" i="27" s="1"/>
  <c r="V314" i="27"/>
  <c r="W314" i="27" s="1"/>
  <c r="V306" i="27"/>
  <c r="W306" i="27" s="1"/>
  <c r="V298" i="27"/>
  <c r="W298" i="27" s="1"/>
  <c r="V290" i="27"/>
  <c r="W290" i="27" s="1"/>
  <c r="V282" i="27"/>
  <c r="W282" i="27" s="1"/>
  <c r="V274" i="27"/>
  <c r="W274" i="27" s="1"/>
  <c r="V266" i="27"/>
  <c r="W266" i="27" s="1"/>
  <c r="V258" i="27"/>
  <c r="W258" i="27" s="1"/>
  <c r="V250" i="27"/>
  <c r="W250" i="27" s="1"/>
  <c r="V242" i="27"/>
  <c r="W242" i="27" s="1"/>
  <c r="V234" i="27"/>
  <c r="W234" i="27" s="1"/>
  <c r="V226" i="27"/>
  <c r="W226" i="27" s="1"/>
  <c r="V218" i="27"/>
  <c r="W218" i="27" s="1"/>
  <c r="V210" i="27"/>
  <c r="W210" i="27" s="1"/>
  <c r="V202" i="27"/>
  <c r="W202" i="27" s="1"/>
  <c r="V194" i="27"/>
  <c r="W194" i="27" s="1"/>
  <c r="V186" i="27"/>
  <c r="W186" i="27" s="1"/>
  <c r="V178" i="27"/>
  <c r="W178" i="27" s="1"/>
  <c r="V170" i="27"/>
  <c r="W170" i="27" s="1"/>
  <c r="V162" i="27"/>
  <c r="W162" i="27" s="1"/>
  <c r="V154" i="27"/>
  <c r="W154" i="27" s="1"/>
  <c r="V146" i="27"/>
  <c r="W146" i="27" s="1"/>
  <c r="V138" i="27"/>
  <c r="W138" i="27" s="1"/>
  <c r="V130" i="27"/>
  <c r="W130" i="27" s="1"/>
  <c r="V122" i="27"/>
  <c r="W122" i="27" s="1"/>
  <c r="V114" i="27"/>
  <c r="W114" i="27" s="1"/>
  <c r="V106" i="27"/>
  <c r="W106" i="27" s="1"/>
  <c r="V9" i="27"/>
  <c r="W9" i="27" s="1"/>
  <c r="V24" i="27"/>
  <c r="W24" i="27" s="1"/>
  <c r="V32" i="27"/>
  <c r="W32" i="27" s="1"/>
  <c r="V40" i="27"/>
  <c r="W40" i="27" s="1"/>
  <c r="V48" i="27"/>
  <c r="W48" i="27" s="1"/>
  <c r="V64" i="27"/>
  <c r="W64" i="27" s="1"/>
  <c r="V72" i="27"/>
  <c r="W72" i="27" s="1"/>
  <c r="V80" i="27"/>
  <c r="W80" i="27" s="1"/>
  <c r="V88" i="27"/>
  <c r="W88" i="27" s="1"/>
  <c r="V96" i="27"/>
  <c r="W96" i="27" s="1"/>
  <c r="V137" i="27"/>
  <c r="W137" i="27" s="1"/>
  <c r="V113" i="27"/>
  <c r="W113" i="27" s="1"/>
  <c r="V105" i="27"/>
  <c r="W105" i="27" s="1"/>
  <c r="V8" i="27"/>
  <c r="W8" i="27" s="1"/>
  <c r="V25" i="27"/>
  <c r="W25" i="27" s="1"/>
  <c r="V41" i="27"/>
  <c r="W41" i="27" s="1"/>
  <c r="V57" i="27"/>
  <c r="W57" i="27" s="1"/>
  <c r="V65" i="27"/>
  <c r="W65" i="27" s="1"/>
  <c r="V89" i="27"/>
  <c r="W89" i="27" s="1"/>
  <c r="V697" i="27"/>
  <c r="W697" i="27" s="1"/>
  <c r="V689" i="27"/>
  <c r="W689" i="27" s="1"/>
  <c r="V681" i="27"/>
  <c r="W681" i="27" s="1"/>
  <c r="V673" i="27"/>
  <c r="W673" i="27" s="1"/>
  <c r="V649" i="27"/>
  <c r="W649" i="27" s="1"/>
  <c r="V617" i="27"/>
  <c r="W617" i="27" s="1"/>
  <c r="V601" i="27"/>
  <c r="W601" i="27" s="1"/>
  <c r="V585" i="27"/>
  <c r="W585" i="27" s="1"/>
  <c r="V553" i="27"/>
  <c r="W553" i="27" s="1"/>
  <c r="V521" i="27"/>
  <c r="W521" i="27" s="1"/>
  <c r="V489" i="27"/>
  <c r="W489" i="27" s="1"/>
  <c r="V481" i="27"/>
  <c r="W481" i="27" s="1"/>
  <c r="V465" i="27"/>
  <c r="W465" i="27" s="1"/>
  <c r="V457" i="27"/>
  <c r="W457" i="27" s="1"/>
  <c r="V425" i="27"/>
  <c r="W425" i="27" s="1"/>
  <c r="V417" i="27"/>
  <c r="W417" i="27" s="1"/>
  <c r="V401" i="27"/>
  <c r="W401" i="27" s="1"/>
  <c r="V393" i="27"/>
  <c r="W393" i="27" s="1"/>
  <c r="V361" i="27"/>
  <c r="W361" i="27" s="1"/>
  <c r="V353" i="27"/>
  <c r="W353" i="27" s="1"/>
  <c r="V337" i="27"/>
  <c r="W337" i="27" s="1"/>
  <c r="V329" i="27"/>
  <c r="W329" i="27" s="1"/>
  <c r="V289" i="27"/>
  <c r="W289" i="27" s="1"/>
  <c r="V265" i="27"/>
  <c r="W265" i="27" s="1"/>
  <c r="V241" i="27"/>
  <c r="W241" i="27" s="1"/>
  <c r="V225" i="27"/>
  <c r="W225" i="27" s="1"/>
  <c r="V193" i="27"/>
  <c r="W193" i="27" s="1"/>
  <c r="V185" i="27"/>
  <c r="W185" i="27" s="1"/>
  <c r="V169" i="27"/>
  <c r="W169" i="27" s="1"/>
  <c r="V161" i="27"/>
  <c r="W161" i="27" s="1"/>
  <c r="V145" i="27"/>
  <c r="W145" i="27" s="1"/>
  <c r="V121" i="27"/>
  <c r="W121" i="27" s="1"/>
  <c r="V16" i="27"/>
  <c r="W16" i="27" s="1"/>
  <c r="V33" i="27"/>
  <c r="W33" i="27" s="1"/>
  <c r="V49" i="27"/>
  <c r="W49" i="27" s="1"/>
  <c r="V73" i="27"/>
  <c r="W73" i="27" s="1"/>
  <c r="V97" i="27"/>
  <c r="W97" i="27" s="1"/>
  <c r="V704" i="27"/>
  <c r="W704" i="27" s="1"/>
  <c r="V696" i="27"/>
  <c r="W696" i="27" s="1"/>
  <c r="V688" i="27"/>
  <c r="W688" i="27" s="1"/>
  <c r="V680" i="27"/>
  <c r="W680" i="27" s="1"/>
  <c r="V672" i="27"/>
  <c r="W672" i="27" s="1"/>
  <c r="V664" i="27"/>
  <c r="W664" i="27" s="1"/>
  <c r="V656" i="27"/>
  <c r="W656" i="27" s="1"/>
  <c r="V648" i="27"/>
  <c r="W648" i="27" s="1"/>
  <c r="V640" i="27"/>
  <c r="W640" i="27" s="1"/>
  <c r="V632" i="27"/>
  <c r="W632" i="27" s="1"/>
  <c r="V624" i="27"/>
  <c r="W624" i="27" s="1"/>
  <c r="V616" i="27"/>
  <c r="W616" i="27" s="1"/>
  <c r="V608" i="27"/>
  <c r="W608" i="27" s="1"/>
  <c r="V600" i="27"/>
  <c r="W600" i="27" s="1"/>
  <c r="V592" i="27"/>
  <c r="W592" i="27" s="1"/>
  <c r="V584" i="27"/>
  <c r="W584" i="27" s="1"/>
  <c r="V576" i="27"/>
  <c r="W576" i="27" s="1"/>
  <c r="V568" i="27"/>
  <c r="W568" i="27" s="1"/>
  <c r="V560" i="27"/>
  <c r="W560" i="27" s="1"/>
  <c r="V552" i="27"/>
  <c r="W552" i="27" s="1"/>
  <c r="V544" i="27"/>
  <c r="W544" i="27" s="1"/>
  <c r="V536" i="27"/>
  <c r="W536" i="27" s="1"/>
  <c r="V528" i="27"/>
  <c r="W528" i="27" s="1"/>
  <c r="V520" i="27"/>
  <c r="W520" i="27" s="1"/>
  <c r="V512" i="27"/>
  <c r="W512" i="27" s="1"/>
  <c r="V504" i="27"/>
  <c r="W504" i="27" s="1"/>
  <c r="V496" i="27"/>
  <c r="W496" i="27" s="1"/>
  <c r="V488" i="27"/>
  <c r="W488" i="27" s="1"/>
  <c r="V480" i="27"/>
  <c r="W480" i="27" s="1"/>
  <c r="V472" i="27"/>
  <c r="W472" i="27" s="1"/>
  <c r="V464" i="27"/>
  <c r="W464" i="27" s="1"/>
  <c r="V456" i="27"/>
  <c r="W456" i="27" s="1"/>
  <c r="V448" i="27"/>
  <c r="W448" i="27" s="1"/>
  <c r="V440" i="27"/>
  <c r="W440" i="27" s="1"/>
  <c r="V432" i="27"/>
  <c r="W432" i="27" s="1"/>
  <c r="V424" i="27"/>
  <c r="W424" i="27" s="1"/>
  <c r="V416" i="27"/>
  <c r="W416" i="27" s="1"/>
  <c r="V408" i="27"/>
  <c r="W408" i="27" s="1"/>
  <c r="V400" i="27"/>
  <c r="W400" i="27" s="1"/>
  <c r="V392" i="27"/>
  <c r="W392" i="27" s="1"/>
  <c r="V384" i="27"/>
  <c r="W384" i="27" s="1"/>
  <c r="V376" i="27"/>
  <c r="W376" i="27" s="1"/>
  <c r="V368" i="27"/>
  <c r="W368" i="27" s="1"/>
  <c r="V360" i="27"/>
  <c r="W360" i="27" s="1"/>
  <c r="V352" i="27"/>
  <c r="W352" i="27" s="1"/>
  <c r="V344" i="27"/>
  <c r="W344" i="27" s="1"/>
  <c r="V336" i="27"/>
  <c r="W336" i="27" s="1"/>
  <c r="V328" i="27"/>
  <c r="W328" i="27" s="1"/>
  <c r="V320" i="27"/>
  <c r="W320" i="27" s="1"/>
  <c r="V312" i="27"/>
  <c r="W312" i="27" s="1"/>
  <c r="V304" i="27"/>
  <c r="W304" i="27" s="1"/>
  <c r="V296" i="27"/>
  <c r="W296" i="27" s="1"/>
  <c r="V288" i="27"/>
  <c r="W288" i="27" s="1"/>
  <c r="V280" i="27"/>
  <c r="W280" i="27" s="1"/>
  <c r="V272" i="27"/>
  <c r="W272" i="27" s="1"/>
  <c r="V264" i="27"/>
  <c r="W264" i="27" s="1"/>
  <c r="V256" i="27"/>
  <c r="W256" i="27" s="1"/>
  <c r="V248" i="27"/>
  <c r="W248" i="27" s="1"/>
  <c r="V240" i="27"/>
  <c r="W240" i="27" s="1"/>
  <c r="V232" i="27"/>
  <c r="W232" i="27" s="1"/>
  <c r="V224" i="27"/>
  <c r="W224" i="27" s="1"/>
  <c r="V216" i="27"/>
  <c r="W216" i="27" s="1"/>
  <c r="V208" i="27"/>
  <c r="W208" i="27" s="1"/>
  <c r="V200" i="27"/>
  <c r="W200" i="27" s="1"/>
  <c r="V192" i="27"/>
  <c r="W192" i="27" s="1"/>
  <c r="V184" i="27"/>
  <c r="W184" i="27" s="1"/>
  <c r="V176" i="27"/>
  <c r="W176" i="27" s="1"/>
  <c r="V168" i="27"/>
  <c r="W168" i="27" s="1"/>
  <c r="V160" i="27"/>
  <c r="W160" i="27" s="1"/>
  <c r="V152" i="27"/>
  <c r="W152" i="27" s="1"/>
  <c r="V144" i="27"/>
  <c r="W144" i="27" s="1"/>
  <c r="V136" i="27"/>
  <c r="W136" i="27" s="1"/>
  <c r="V128" i="27"/>
  <c r="W128" i="27" s="1"/>
  <c r="V120" i="27"/>
  <c r="W120" i="27" s="1"/>
  <c r="V112" i="27"/>
  <c r="W112" i="27" s="1"/>
  <c r="V104" i="27"/>
  <c r="W104" i="27" s="1"/>
  <c r="V15" i="27"/>
  <c r="W15" i="27" s="1"/>
  <c r="V7" i="27"/>
  <c r="W7" i="27" s="1"/>
  <c r="V42" i="27"/>
  <c r="W42" i="27" s="1"/>
  <c r="V50" i="27"/>
  <c r="W50" i="27" s="1"/>
  <c r="V58" i="27"/>
  <c r="W58" i="27" s="1"/>
  <c r="V66" i="27"/>
  <c r="W66" i="27" s="1"/>
  <c r="V74" i="27"/>
  <c r="W74" i="27" s="1"/>
  <c r="V82" i="27"/>
  <c r="W82" i="27" s="1"/>
  <c r="V90" i="27"/>
  <c r="W90" i="27" s="1"/>
  <c r="V679" i="27"/>
  <c r="W679" i="27" s="1"/>
  <c r="V671" i="27"/>
  <c r="W671" i="27" s="1"/>
  <c r="V647" i="27"/>
  <c r="W647" i="27" s="1"/>
  <c r="V615" i="27"/>
  <c r="W615" i="27" s="1"/>
  <c r="V607" i="27"/>
  <c r="W607" i="27" s="1"/>
  <c r="V591" i="27"/>
  <c r="W591" i="27" s="1"/>
  <c r="V583" i="27"/>
  <c r="W583" i="27" s="1"/>
  <c r="V567" i="27"/>
  <c r="W567" i="27" s="1"/>
  <c r="V551" i="27"/>
  <c r="W551" i="27" s="1"/>
  <c r="V543" i="27"/>
  <c r="W543" i="27" s="1"/>
  <c r="V527" i="27"/>
  <c r="W527" i="27" s="1"/>
  <c r="V519" i="27"/>
  <c r="W519" i="27" s="1"/>
  <c r="V503" i="27"/>
  <c r="W503" i="27" s="1"/>
  <c r="V487" i="27"/>
  <c r="W487" i="27" s="1"/>
  <c r="V479" i="27"/>
  <c r="W479" i="27" s="1"/>
  <c r="V463" i="27"/>
  <c r="W463" i="27" s="1"/>
  <c r="V455" i="27"/>
  <c r="W455" i="27" s="1"/>
  <c r="V439" i="27"/>
  <c r="W439" i="27" s="1"/>
  <c r="V415" i="27"/>
  <c r="W415" i="27" s="1"/>
  <c r="V399" i="27"/>
  <c r="W399" i="27" s="1"/>
  <c r="V391" i="27"/>
  <c r="W391" i="27" s="1"/>
  <c r="V383" i="27"/>
  <c r="W383" i="27" s="1"/>
  <c r="V375" i="27"/>
  <c r="W375" i="27" s="1"/>
  <c r="V359" i="27"/>
  <c r="W359" i="27" s="1"/>
  <c r="V351" i="27"/>
  <c r="W351" i="27" s="1"/>
  <c r="V327" i="27"/>
  <c r="W327" i="27" s="1"/>
  <c r="V319" i="27"/>
  <c r="W319" i="27" s="1"/>
  <c r="V311" i="27"/>
  <c r="W311" i="27" s="1"/>
  <c r="V303" i="27"/>
  <c r="W303" i="27" s="1"/>
  <c r="V295" i="27"/>
  <c r="W295" i="27" s="1"/>
  <c r="V287" i="27"/>
  <c r="W287" i="27" s="1"/>
  <c r="V263" i="27"/>
  <c r="W263" i="27" s="1"/>
  <c r="V255" i="27"/>
  <c r="W255" i="27" s="1"/>
  <c r="V247" i="27"/>
  <c r="W247" i="27" s="1"/>
  <c r="V239" i="27"/>
  <c r="W239" i="27" s="1"/>
  <c r="V231" i="27"/>
  <c r="W231" i="27" s="1"/>
  <c r="V223" i="27"/>
  <c r="W223" i="27" s="1"/>
  <c r="V207" i="27"/>
  <c r="W207" i="27" s="1"/>
  <c r="V191" i="27"/>
  <c r="W191" i="27" s="1"/>
  <c r="V159" i="27"/>
  <c r="W159" i="27" s="1"/>
  <c r="V143" i="27"/>
  <c r="W143" i="27" s="1"/>
  <c r="V135" i="27"/>
  <c r="W135" i="27" s="1"/>
  <c r="V119" i="27"/>
  <c r="W119" i="27" s="1"/>
  <c r="V14" i="27"/>
  <c r="W14" i="27" s="1"/>
  <c r="V6" i="27"/>
  <c r="W6" i="27" s="1"/>
  <c r="V27" i="27"/>
  <c r="W27" i="27" s="1"/>
  <c r="V35" i="27"/>
  <c r="W35" i="27" s="1"/>
  <c r="V43" i="27"/>
  <c r="W43" i="27" s="1"/>
  <c r="V51" i="27"/>
  <c r="W51" i="27" s="1"/>
  <c r="V59" i="27"/>
  <c r="W59" i="27" s="1"/>
  <c r="V75" i="27"/>
  <c r="W75" i="27" s="1"/>
  <c r="V83" i="27"/>
  <c r="W83" i="27" s="1"/>
  <c r="V91" i="27"/>
  <c r="W91" i="27" s="1"/>
  <c r="V99" i="27"/>
  <c r="W99" i="27" s="1"/>
  <c r="V4" i="27"/>
  <c r="W4" i="27" s="1"/>
  <c r="V310" i="27"/>
  <c r="W310" i="27" s="1"/>
  <c r="V254" i="27"/>
  <c r="W254" i="27" s="1"/>
  <c r="V230" i="27"/>
  <c r="W230" i="27" s="1"/>
  <c r="V214" i="27"/>
  <c r="W214" i="27" s="1"/>
  <c r="V198" i="27"/>
  <c r="W198" i="27" s="1"/>
  <c r="V182" i="27"/>
  <c r="W182" i="27" s="1"/>
  <c r="V174" i="27"/>
  <c r="W174" i="27" s="1"/>
  <c r="V158" i="27"/>
  <c r="W158" i="27" s="1"/>
  <c r="V142" i="27"/>
  <c r="W142" i="27" s="1"/>
  <c r="V126" i="27"/>
  <c r="W126" i="27" s="1"/>
  <c r="V118" i="27"/>
  <c r="W118" i="27" s="1"/>
  <c r="V102" i="27"/>
  <c r="W102" i="27" s="1"/>
  <c r="V36" i="27"/>
  <c r="W36" i="27" s="1"/>
  <c r="V60" i="27"/>
  <c r="W60" i="27" s="1"/>
  <c r="V92" i="27"/>
  <c r="W92" i="27" s="1"/>
  <c r="V702" i="27"/>
  <c r="W702" i="27" s="1"/>
  <c r="V694" i="27"/>
  <c r="W694" i="27" s="1"/>
  <c r="V686" i="27"/>
  <c r="W686" i="27" s="1"/>
  <c r="V678" i="27"/>
  <c r="W678" i="27" s="1"/>
  <c r="V670" i="27"/>
  <c r="W670" i="27" s="1"/>
  <c r="V662" i="27"/>
  <c r="W662" i="27" s="1"/>
  <c r="V654" i="27"/>
  <c r="W654" i="27" s="1"/>
  <c r="V646" i="27"/>
  <c r="W646" i="27" s="1"/>
  <c r="V638" i="27"/>
  <c r="W638" i="27" s="1"/>
  <c r="V630" i="27"/>
  <c r="W630" i="27" s="1"/>
  <c r="V622" i="27"/>
  <c r="W622" i="27" s="1"/>
  <c r="V614" i="27"/>
  <c r="W614" i="27" s="1"/>
  <c r="V606" i="27"/>
  <c r="W606" i="27" s="1"/>
  <c r="V598" i="27"/>
  <c r="W598" i="27" s="1"/>
  <c r="V590" i="27"/>
  <c r="W590" i="27" s="1"/>
  <c r="V582" i="27"/>
  <c r="W582" i="27" s="1"/>
  <c r="V574" i="27"/>
  <c r="W574" i="27" s="1"/>
  <c r="V566" i="27"/>
  <c r="W566" i="27" s="1"/>
  <c r="V558" i="27"/>
  <c r="W558" i="27" s="1"/>
  <c r="V550" i="27"/>
  <c r="W550" i="27" s="1"/>
  <c r="V542" i="27"/>
  <c r="W542" i="27" s="1"/>
  <c r="V534" i="27"/>
  <c r="W534" i="27" s="1"/>
  <c r="V526" i="27"/>
  <c r="W526" i="27" s="1"/>
  <c r="V518" i="27"/>
  <c r="W518" i="27" s="1"/>
  <c r="V510" i="27"/>
  <c r="W510" i="27" s="1"/>
  <c r="V502" i="27"/>
  <c r="W502" i="27" s="1"/>
  <c r="V494" i="27"/>
  <c r="W494" i="27" s="1"/>
  <c r="V486" i="27"/>
  <c r="W486" i="27" s="1"/>
  <c r="V478" i="27"/>
  <c r="W478" i="27" s="1"/>
  <c r="V470" i="27"/>
  <c r="W470" i="27" s="1"/>
  <c r="V462" i="27"/>
  <c r="W462" i="27" s="1"/>
  <c r="V454" i="27"/>
  <c r="W454" i="27" s="1"/>
  <c r="V446" i="27"/>
  <c r="W446" i="27" s="1"/>
  <c r="V438" i="27"/>
  <c r="W438" i="27" s="1"/>
  <c r="V430" i="27"/>
  <c r="W430" i="27" s="1"/>
  <c r="V422" i="27"/>
  <c r="W422" i="27" s="1"/>
  <c r="V414" i="27"/>
  <c r="W414" i="27" s="1"/>
  <c r="V406" i="27"/>
  <c r="W406" i="27" s="1"/>
  <c r="V398" i="27"/>
  <c r="W398" i="27" s="1"/>
  <c r="V390" i="27"/>
  <c r="W390" i="27" s="1"/>
  <c r="V382" i="27"/>
  <c r="W382" i="27" s="1"/>
  <c r="V374" i="27"/>
  <c r="W374" i="27" s="1"/>
  <c r="V366" i="27"/>
  <c r="W366" i="27" s="1"/>
  <c r="V358" i="27"/>
  <c r="W358" i="27" s="1"/>
  <c r="V350" i="27"/>
  <c r="W350" i="27" s="1"/>
  <c r="V342" i="27"/>
  <c r="W342" i="27" s="1"/>
  <c r="V334" i="27"/>
  <c r="W334" i="27" s="1"/>
  <c r="V326" i="27"/>
  <c r="W326" i="27" s="1"/>
  <c r="V318" i="27"/>
  <c r="W318" i="27" s="1"/>
  <c r="V302" i="27"/>
  <c r="W302" i="27" s="1"/>
  <c r="V294" i="27"/>
  <c r="W294" i="27" s="1"/>
  <c r="V286" i="27"/>
  <c r="W286" i="27" s="1"/>
  <c r="V278" i="27"/>
  <c r="W278" i="27" s="1"/>
  <c r="V270" i="27"/>
  <c r="W270" i="27" s="1"/>
  <c r="V262" i="27"/>
  <c r="W262" i="27" s="1"/>
  <c r="V246" i="27"/>
  <c r="W246" i="27" s="1"/>
  <c r="V238" i="27"/>
  <c r="W238" i="27" s="1"/>
  <c r="V222" i="27"/>
  <c r="W222" i="27" s="1"/>
  <c r="V206" i="27"/>
  <c r="W206" i="27" s="1"/>
  <c r="V190" i="27"/>
  <c r="W190" i="27" s="1"/>
  <c r="V166" i="27"/>
  <c r="W166" i="27" s="1"/>
  <c r="V150" i="27"/>
  <c r="W150" i="27" s="1"/>
  <c r="V134" i="27"/>
  <c r="W134" i="27" s="1"/>
  <c r="V110" i="27"/>
  <c r="W110" i="27" s="1"/>
  <c r="V5" i="27"/>
  <c r="W5" i="27" s="1"/>
  <c r="V44" i="27"/>
  <c r="W44" i="27" s="1"/>
  <c r="V68" i="27"/>
  <c r="W68" i="27" s="1"/>
  <c r="V100" i="27"/>
  <c r="W100" i="27" s="1"/>
  <c r="V12" i="27"/>
  <c r="W12" i="27" s="1"/>
  <c r="V21" i="27"/>
  <c r="W21" i="27" s="1"/>
  <c r="V37" i="27"/>
  <c r="W37" i="27" s="1"/>
  <c r="V45" i="27"/>
  <c r="W45" i="27" s="1"/>
  <c r="V53" i="27"/>
  <c r="W53" i="27" s="1"/>
  <c r="V61" i="27"/>
  <c r="W61" i="27" s="1"/>
  <c r="V69" i="27"/>
  <c r="W69" i="27" s="1"/>
  <c r="V85" i="27"/>
  <c r="W85" i="27" s="1"/>
  <c r="V93" i="27"/>
  <c r="W93" i="27" s="1"/>
  <c r="V228" i="27"/>
  <c r="W228" i="27" s="1"/>
  <c r="V188" i="27"/>
  <c r="W188" i="27" s="1"/>
  <c r="V172" i="27"/>
  <c r="W172" i="27" s="1"/>
  <c r="V156" i="27"/>
  <c r="W156" i="27" s="1"/>
  <c r="V140" i="27"/>
  <c r="W140" i="27" s="1"/>
  <c r="V124" i="27"/>
  <c r="W124" i="27" s="1"/>
  <c r="V116" i="27"/>
  <c r="W116" i="27" s="1"/>
  <c r="V19" i="27"/>
  <c r="W19" i="27" s="1"/>
  <c r="V22" i="27"/>
  <c r="W22" i="27" s="1"/>
  <c r="V30" i="27"/>
  <c r="W30" i="27" s="1"/>
  <c r="V46" i="27"/>
  <c r="W46" i="27" s="1"/>
  <c r="V62" i="27"/>
  <c r="W62" i="27" s="1"/>
  <c r="V78" i="27"/>
  <c r="W78" i="27" s="1"/>
  <c r="V86" i="27"/>
  <c r="W86" i="27" s="1"/>
  <c r="V149" i="27"/>
  <c r="W149" i="27" s="1"/>
  <c r="V101" i="27"/>
  <c r="W101" i="27" s="1"/>
  <c r="V655" i="27"/>
  <c r="W655" i="27" s="1"/>
  <c r="V423" i="27"/>
  <c r="W423" i="27" s="1"/>
  <c r="V173" i="27"/>
  <c r="W173" i="27" s="1"/>
  <c r="V445" i="27"/>
  <c r="W445" i="27" s="1"/>
  <c r="V215" i="27"/>
  <c r="W215" i="27" s="1"/>
  <c r="V437" i="27"/>
  <c r="W437" i="27" s="1"/>
  <c r="V665" i="27"/>
  <c r="W665" i="27" s="1"/>
  <c r="V535" i="27"/>
  <c r="W535" i="27" s="1"/>
  <c r="AF5" i="27" l="1"/>
  <c r="AG5" i="27"/>
  <c r="AI5" i="27"/>
  <c r="AH5" i="27"/>
  <c r="AH8" i="27" l="1"/>
  <c r="AI8" i="27"/>
  <c r="AG8" i="27"/>
  <c r="AF8" i="27"/>
  <c r="AG7" i="27"/>
  <c r="AI7" i="27"/>
  <c r="AH7" i="27"/>
  <c r="AH6" i="27"/>
  <c r="AG6" i="27"/>
  <c r="AI6" i="27"/>
  <c r="AF6" i="27"/>
  <c r="AF3" i="27"/>
  <c r="AI3" i="27"/>
  <c r="AH3" i="27"/>
  <c r="AG3" i="27"/>
  <c r="AH4" i="27"/>
  <c r="AI4" i="27"/>
  <c r="AG4" i="27"/>
  <c r="AF4" i="27"/>
  <c r="B8" i="3"/>
  <c r="B2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4"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tc={7EBE0EC2-CCBB-42E4-84C2-29AAA74983FF}</author>
    <author>tc={076FB482-CCB2-4247-A427-BCFE75CBC6F4}</author>
    <author>tc={D2F56C7F-6783-4D10-9912-21434C2EC4E3}</author>
    <author>tc={4316AA6E-8A0F-4E06-9489-2738E4E791D4}</author>
    <author>tc={67640A9A-35F4-456B-9BD9-AD6196E60C80}</author>
    <author>tc={9CC32F89-8D8A-49DF-816B-5028BD743007}</author>
  </authors>
  <commentList>
    <comment ref="D5" authorId="0" shapeId="0" xr:uid="{7EBE0EC2-CCBB-42E4-84C2-29AAA74983FF}">
      <text>
        <t>[Threaded comment]
Your version of Excel allows you to read this threaded comment; however, any edits to it will get removed if the file is opened in a newer version of Excel. Learn more: https://go.microsoft.com/fwlink/?linkid=870924
Comment:
    MONCLER Brand:
EMEA reported revenues of EUR 910.5 million in 2023, growing +13.2% compared to 2022. This acceleration was driven by the DTC channel, with a positive contribution from both tourists and locals. Chinese, Korean and American customers remained the strongest contributors to tourist purchases in the region</t>
      </text>
    </comment>
    <comment ref="D6" authorId="1" shapeId="0" xr:uid="{076FB482-CCB2-4247-A427-BCFE75CBC6F4}">
      <text>
        <t>[Threaded comment]
Your version of Excel allows you to read this threaded comment; however, any edits to it will get removed if the file is opened in a newer version of Excel. Learn more: https://go.microsoft.com/fwlink/?linkid=870924
Comment:
    MONCLER Brand:
Americas registered revenues of EUR 371.3 million in 2023, +0.9% compared to 2022, driven mainly by the DTC channel. The performance of the region in the two channels was influenced by the conversions of Nordstrom and part of Saks from a wholesale to a DTC business model.
Reply:
    STONE ISLAND Brand
Americas registered revenues of EUR 34.1 million, with a decline of -19.3% as performance continued to be impacted by challenging trends mostly among department stores, as well as by the ongoing efforts in upgrading the quality of this channel.  </t>
      </text>
    </comment>
    <comment ref="D7" authorId="2" shapeId="0" xr:uid="{D2F56C7F-6783-4D10-9912-21434C2EC4E3}">
      <text>
        <t>[Threaded comment]
Your version of Excel allows you to read this threaded comment; however, any edits to it will get removed if the file is opened in a newer version of Excel. Learn more: https://go.microsoft.com/fwlink/?linkid=870924
Comment:
    MONCLER Brand:
In 2023, revenues in Asia (which includes APAC, Japan and Korea) were equal to EUR 1,291.4 million registering a +25.5% growth compared to the 2022, thanks to a strong growth registered in the Chinese mainland. The performance in the APAC region in 2022 was penalized by the severe Covid restrictions in Mainland China occurred in the last months of the year. Japan, Korea and the rest of APAC continued to record a very solid performance.
Reply:
    STONE ISLAND Brand:
Asia reached EUR 89.4 million revenues with the strong performance of Japan and the Chinese mainland fully compensating for a weaker performance of the Korean market</t>
      </text>
    </comment>
    <comment ref="F7" authorId="3" shapeId="0" xr:uid="{4316AA6E-8A0F-4E06-9489-2738E4E791D4}">
      <text>
        <t>[Threaded comment]
Your version of Excel allows you to read this threaded comment; however, any edits to it will get removed if the file is opened in a newer version of Excel. Learn more: https://go.microsoft.com/fwlink/?linkid=870924
Comment:
    Values = Moncler Brand + Stone Island Brand</t>
      </text>
    </comment>
    <comment ref="D18" authorId="4" shapeId="0" xr:uid="{67640A9A-35F4-456B-9BD9-AD6196E60C80}">
      <text>
        <t>[Threaded comment]
Your version of Excel allows you to read this threaded comment; however, any edits to it will get removed if the file is opened in a newer version of Excel. Learn more: https://go.microsoft.com/fwlink/?linkid=870924
Comment:
    Values = Moncler Brand + Stone Island Brand</t>
      </text>
    </comment>
    <comment ref="C19" authorId="5" shapeId="0" xr:uid="{9CC32F89-8D8A-49DF-816B-5028BD743007}">
      <text>
        <t>[Threaded comment]
Your version of Excel allows you to read this threaded comment; however, any edits to it will get removed if the file is opened in a newer version of Excel. Learn more: https://go.microsoft.com/fwlink/?linkid=870924
Comment:
    Está de acordo com o anual report, em vez de estar retail como normal.
 DTC- direct to consumer- é um modelo de negócio vertical, onde o fabricante negoceia diretamente com o consumidor.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Patrícia de Almeida Nunes</author>
  </authors>
  <commentList>
    <comment ref="C38" authorId="0" shapeId="0" xr:uid="{F343DDF0-5440-4406-99E4-7FE4C9606D77}">
      <text>
        <r>
          <rPr>
            <sz val="10"/>
            <rFont val="Arial"/>
            <family val="2"/>
          </rPr>
          <t>Patrícia de Almeida Nunes:
Brands and other intangible assets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Diana</author>
  </authors>
  <commentList>
    <comment ref="F26" authorId="0" shapeId="0" xr:uid="{D4078F9A-2F3E-4477-AF5F-F9E0B7AFE613}">
      <text>
        <r>
          <rPr>
            <b/>
            <sz val="9"/>
            <color indexed="81"/>
            <rFont val="Tahoma"/>
            <family val="2"/>
          </rPr>
          <t>Diana:</t>
        </r>
        <r>
          <rPr>
            <sz val="9"/>
            <color indexed="81"/>
            <rFont val="Tahoma"/>
            <family val="2"/>
          </rPr>
          <t xml:space="preserve">
the Covid-19 emergency requires a prudent approach, also in terms of dividends, in order to protect the Group’s financial solidity. The Board therefore decided to withdraw the proposal to distribute the dividend from FY 2019 net income approved on 10 February 2020.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Russel Stavale Warren</author>
    <author>Patrícia de Almeida Nunes</author>
  </authors>
  <commentList>
    <comment ref="A9" authorId="0" shapeId="0" xr:uid="{F937F524-6D7B-4C24-BF71-4A7A4B942F50}">
      <text>
        <r>
          <rPr>
            <sz val="10"/>
            <rFont val="Arial"/>
            <family val="2"/>
          </rPr>
          <t>John Russel Stavale Warren:
Includes minority interest expenses</t>
        </r>
      </text>
    </comment>
    <comment ref="A16" authorId="0" shapeId="0" xr:uid="{E5F8D68E-9EF0-4010-8573-3B2C691CBD95}">
      <text>
        <r>
          <rPr>
            <sz val="10"/>
            <rFont val="Arial"/>
            <family val="2"/>
          </rPr>
          <t xml:space="preserve">John Russel Stavale Warren:
Defined as equal to the share capital (???)
</t>
        </r>
      </text>
    </comment>
    <comment ref="A17" authorId="0" shapeId="0" xr:uid="{4B02975C-0468-4316-BA45-D75C501CBBA3}">
      <text>
        <r>
          <rPr>
            <sz val="10"/>
            <rFont val="Arial"/>
            <family val="2"/>
          </rPr>
          <t xml:space="preserve">John Russel Stavale Warren:
the same as basic, but considering NI to shareholders instead of "holders" (i.e., excluding minority interests?)
+Company does not report the dilutive effect of free shares distribution, therefore both Basic and Diluted WAS are the same
</t>
        </r>
      </text>
    </comment>
    <comment ref="A34" authorId="1" shapeId="0" xr:uid="{99B67FAE-4C3F-4D3D-884A-D2B8D7E1ACF4}">
      <text>
        <r>
          <rPr>
            <sz val="10"/>
            <rFont val="Arial"/>
            <family val="2"/>
          </rPr>
          <t>Patrícia de Almeida Nunes:
Right of use assets</t>
        </r>
      </text>
    </comment>
    <comment ref="F34" authorId="0" shapeId="0" xr:uid="{0BC03A56-A417-4209-BA09-3419E1DD9840}">
      <text>
        <r>
          <rPr>
            <sz val="10"/>
            <rFont val="Arial"/>
            <family val="2"/>
          </rPr>
          <t xml:space="preserve">John Russel Stavale Warren:
Adoption of IFRS 16 rules. Operating and Financial Leases must be reported in financial position and both are essentially considered the same - being the actual "owner/operator", or having the RIGHT TO USE the asset is enough to be a lease
</t>
        </r>
      </text>
    </comment>
    <comment ref="D36" authorId="0" shapeId="0" xr:uid="{182DCB24-2093-43E6-83D5-4C7AD0DBD8CB}">
      <text>
        <r>
          <rPr>
            <sz val="10"/>
            <rFont val="Arial"/>
            <family val="2"/>
          </rPr>
          <t xml:space="preserve">John Russel Stavale Warren:
Acquisition of Stone Island. +~400 M in Goodwill
+~800 M in "Brands and Intangible Assets"
</t>
        </r>
      </text>
    </comment>
    <comment ref="F49" authorId="0" shapeId="0" xr:uid="{F0D214C1-0AC9-4022-839D-C67AED2C259A}">
      <text>
        <r>
          <rPr>
            <sz val="10"/>
            <rFont val="Arial"/>
            <family val="2"/>
          </rPr>
          <t>John Russel Stavale Warren:
In accordance with IFRS 16, RIGHT OF USE assets must have it's "counterpart" on balance sheet.</t>
        </r>
      </text>
    </comment>
    <comment ref="A62" authorId="1" shapeId="0" xr:uid="{A3960315-9216-4D29-9B74-D291D2A33B2F}">
      <text>
        <r>
          <rPr>
            <sz val="10"/>
            <rFont val="Arial"/>
            <family val="2"/>
          </rPr>
          <t>Patrícia de Almeida Nunes:
Changes in net working capital</t>
        </r>
      </text>
    </comment>
    <comment ref="A65" authorId="0" shapeId="0" xr:uid="{4777A871-6B18-4243-BEC7-FD19AD1C6039}">
      <text>
        <r>
          <rPr>
            <sz val="10"/>
            <rFont val="Arial"/>
            <family val="2"/>
          </rPr>
          <t xml:space="preserve">John Russel Stavale Warren:
CapEx net of disposals/PP&amp;E sales
</t>
        </r>
      </text>
    </comment>
    <comment ref="D66" authorId="0" shapeId="0" xr:uid="{B8DC4220-C0B8-41E2-8B43-ED215AF028DD}">
      <text>
        <r>
          <rPr>
            <sz val="10"/>
            <rFont val="Arial"/>
            <family val="2"/>
          </rPr>
          <t>John Russel Stavale Warren:
Acquisition of Sportswear Company S.p.A. (owner of Stone Island)</t>
        </r>
      </text>
    </comment>
    <comment ref="A70" authorId="0" shapeId="0" xr:uid="{C791090B-8604-45D3-834B-FFA1C6F340EE}">
      <text>
        <r>
          <rPr>
            <sz val="10"/>
            <rFont val="Arial"/>
            <family val="2"/>
          </rPr>
          <t xml:space="preserve">John Russel Stavale Warren:
Short-term debt paid + Current portion of long-term debt paid
</t>
        </r>
      </text>
    </comment>
    <comment ref="A71" authorId="0" shapeId="0" xr:uid="{B98E627B-B59C-4374-9798-1B9D6466354C}">
      <text>
        <r>
          <rPr>
            <sz val="10"/>
            <rFont val="Arial"/>
            <family val="2"/>
          </rPr>
          <t>John Russel Stavale Warren:
Couldn't find any data in Moncler's reports regarding specifically new leasing contracts.</t>
        </r>
      </text>
    </comment>
    <comment ref="A89" authorId="0" shapeId="0" xr:uid="{18B469E9-4CF3-4AC2-A2C8-A7BEEAA0E0B8}">
      <text>
        <r>
          <rPr>
            <sz val="10"/>
            <rFont val="Arial"/>
            <family val="2"/>
          </rPr>
          <t xml:space="preserve">John Russel Stavale Warren:
Diluted.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<sst xmlns="http://schemas.openxmlformats.org/spreadsheetml/2006/main" count="11188" uniqueCount="7179">
  <si>
    <t>Team 1</t>
  </si>
  <si>
    <t>NYSE</t>
  </si>
  <si>
    <t xml:space="preserve">SIC: </t>
  </si>
  <si>
    <t>COMPANY DESCRIPTION</t>
  </si>
  <si>
    <t>CEO &amp; BOARD OF DIRECTORS</t>
  </si>
  <si>
    <t>Name</t>
  </si>
  <si>
    <t>Gender</t>
  </si>
  <si>
    <t>Age</t>
  </si>
  <si>
    <t>Tenure</t>
  </si>
  <si>
    <t>Executive?</t>
  </si>
  <si>
    <t>Other roles</t>
  </si>
  <si>
    <t>Remo Ruffini</t>
  </si>
  <si>
    <t>Male</t>
  </si>
  <si>
    <t>Y</t>
  </si>
  <si>
    <t>Chairman, Chief Executive Officer</t>
  </si>
  <si>
    <t>Marco De Benedetti</t>
  </si>
  <si>
    <t>M</t>
  </si>
  <si>
    <t>N/A</t>
  </si>
  <si>
    <t>N</t>
  </si>
  <si>
    <t>Vice President; Non-Executive Director; Control, Risk and Sustainability Committee;  Nomination and Remuneration Committee</t>
  </si>
  <si>
    <t>Roberto Eggs</t>
  </si>
  <si>
    <t>Executive Director</t>
  </si>
  <si>
    <t>Bettina Fetzer</t>
  </si>
  <si>
    <t>F</t>
  </si>
  <si>
    <t>Independent Director</t>
  </si>
  <si>
    <t>Gabriele Galateri di Genola</t>
  </si>
  <si>
    <t>Independent Director
Control; Risk and Sustainability Committee</t>
  </si>
  <si>
    <t>Alessandra Gritti</t>
  </si>
  <si>
    <t>Independent Director; Lead Independent Director; Nomination and Remuneration Committee; Related Parties Committee</t>
  </si>
  <si>
    <t>Jeanne Jackson</t>
  </si>
  <si>
    <t xml:space="preserve">Independent Director </t>
  </si>
  <si>
    <t>Diva Moriani</t>
  </si>
  <si>
    <t xml:space="preserve">Independent Director; Nomination and Remuneration Committee; Related Parties Committee </t>
  </si>
  <si>
    <t>Guido Pianaroli</t>
  </si>
  <si>
    <t>Independent Director
Control, Risk and Sustainability Committee
Related Parties Committee</t>
  </si>
  <si>
    <t>Carlo Rivetti</t>
  </si>
  <si>
    <t>Non-Executive Director</t>
  </si>
  <si>
    <t>Luciano Santel</t>
  </si>
  <si>
    <t>USD MILLIONS</t>
  </si>
  <si>
    <t>Maria Sharapova</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</si>
  <si>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</si>
  <si>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</si>
  <si>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</si>
  <si>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</si>
  <si>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</si>
  <si>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</si>
  <si>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</si>
  <si>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</si>
  <si>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</si>
  <si>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</si>
  <si>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</si>
  <si>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</si>
  <si>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</si>
  <si>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</si>
  <si>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</si>
  <si>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Insiders Own</t>
  </si>
  <si>
    <t xml:space="preserve">
18.50%</t>
  </si>
  <si>
    <t>Market Cap.</t>
  </si>
  <si>
    <t>Cash/Share</t>
  </si>
  <si>
    <t>EBITDA</t>
  </si>
  <si>
    <t>b (Yahoo)</t>
  </si>
  <si>
    <t>+Total Debt</t>
  </si>
  <si>
    <t>EBITDA/Net Financial Cost (NFC)</t>
  </si>
  <si>
    <t>Depreciation &amp; Amortization</t>
  </si>
  <si>
    <t>Score (S&amp;P)</t>
  </si>
  <si>
    <t>-Cash</t>
  </si>
  <si>
    <t>Debt/EBITDA</t>
  </si>
  <si>
    <t>EBIT</t>
  </si>
  <si>
    <t>Price/Book Value</t>
  </si>
  <si>
    <t>=Enterprise Value</t>
  </si>
  <si>
    <t>"Others Assets"/Asset</t>
  </si>
  <si>
    <t>Net Income</t>
  </si>
  <si>
    <t>NCF(3y avg)/Asset</t>
  </si>
  <si>
    <t>Holdings (nac/int'l)</t>
  </si>
  <si>
    <t>-</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</si>
  <si>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</si>
  <si>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</si>
  <si>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</si>
  <si>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</si>
  <si>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</si>
  <si>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</si>
  <si>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</si>
  <si>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</si>
  <si>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</si>
  <si>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</si>
  <si>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</si>
  <si>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</si>
  <si>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</si>
  <si>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</si>
  <si>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</si>
  <si>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</si>
  <si>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</si>
  <si>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</si>
  <si>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</si>
  <si>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</si>
  <si>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</si>
  <si>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</si>
  <si>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</si>
  <si>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</si>
  <si>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</si>
  <si>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</si>
  <si>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</si>
  <si>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</si>
  <si>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</si>
  <si>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</si>
  <si>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</si>
  <si>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 xml:space="preserve">Omnichannel </t>
  </si>
  <si>
    <t>Investments in the distribution channels with an omnichannel approach, supported by a strong digital culture.</t>
  </si>
  <si>
    <t>Global: focus on Asia</t>
  </si>
  <si>
    <t>Keep developing a global brand with a particular focus on the Asian market which is believed to become main market in luxury goods by 2030.</t>
  </si>
  <si>
    <t>Consistent Margins</t>
  </si>
  <si>
    <t>The company has had a very consistent operating margin over the years, surrounding the 30%.</t>
  </si>
  <si>
    <t>Risks of Investment</t>
  </si>
  <si>
    <t>Price Target</t>
  </si>
  <si>
    <t>Valuation</t>
  </si>
  <si>
    <t>Risk</t>
  </si>
  <si>
    <t>Discount Rate</t>
  </si>
  <si>
    <t>Price M. Upside</t>
  </si>
  <si>
    <t>Volatile Market</t>
  </si>
  <si>
    <t>In the luxury industry, because the products are not essential goods, sales can easily be compromised by economic downturns, international conflicts etc.</t>
  </si>
  <si>
    <t>Consumer Demand</t>
  </si>
  <si>
    <t>Consumer demand changes at a fast pace, trends can change drastically and the brand has to be able to meet those expectations.</t>
  </si>
  <si>
    <t>Upside</t>
  </si>
  <si>
    <t>EV M. Upside</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</si>
  <si>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</si>
  <si>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</si>
  <si>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</si>
  <si>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</si>
  <si>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</si>
  <si>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</si>
  <si>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</si>
  <si>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</si>
  <si>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</si>
  <si>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</si>
  <si>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</si>
  <si>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</si>
  <si>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</si>
  <si>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</si>
  <si>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</si>
  <si>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</si>
  <si>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</si>
  <si>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</si>
  <si>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</si>
  <si>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</si>
  <si>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</si>
  <si>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</si>
  <si>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</si>
  <si>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</si>
  <si>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</si>
  <si>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</si>
  <si>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</si>
  <si>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</si>
  <si>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</si>
  <si>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t>1- The brand is able to generate revenue across different geographic locations, through multiple channels.
2- It has a strong financial position with high margins and growth.
3 - Focus on digital transformations and client focused operations.</t>
  </si>
  <si>
    <t>1- Quality Control Risks: Outsourcing production of raw goods to regions with different regulatory standards poses quality control risks, potentially affecting brand reputation and customer satisfaction due to inconsistencies in product quality
2 - Low product diversification: The brand's range of products is somewhat constrained, lacking diversification.</t>
  </si>
  <si>
    <t>Double R S.r.l.</t>
  </si>
  <si>
    <t xml:space="preserve">Morgan Stanley </t>
  </si>
  <si>
    <t>Capital Research and Management
Company</t>
  </si>
  <si>
    <t>BlackRock Inc.</t>
  </si>
  <si>
    <t>Treasury shares</t>
  </si>
  <si>
    <t>Other shareholders</t>
  </si>
  <si>
    <t>Opportunities</t>
  </si>
  <si>
    <t>Risks</t>
  </si>
  <si>
    <t xml:space="preserve">1-Fast growing demand in developed and developing countries for luxury goods, speacially in the east (Asia).
2- Omnichannel sales through retail, wholesale and digital channels.
3-Expansion of product categories and launch of new products.
</t>
  </si>
  <si>
    <t xml:space="preserve">1- International conflicts and economic downturns can disrupt supply chains and production sites, potentially harming sales.
2 - High supplier switching costs and third-party manufacturers.
3 - Increasing counterfeit products could damage the brand’s reputation.
</t>
  </si>
  <si>
    <t>STOCK PERFORMANCE (5 years)</t>
  </si>
  <si>
    <t>Moncler</t>
  </si>
  <si>
    <t>Prada SpA</t>
  </si>
  <si>
    <t>Burberry</t>
  </si>
  <si>
    <t>Hugo Boss</t>
  </si>
  <si>
    <t>Canada Goose</t>
  </si>
  <si>
    <t>Kering</t>
  </si>
  <si>
    <t>Invertir</t>
  </si>
  <si>
    <t>NO invertir</t>
  </si>
  <si>
    <t>Mantener sin elevar posición</t>
  </si>
  <si>
    <t>Mantener (y seguir comprando)</t>
  </si>
  <si>
    <t>Liquidar</t>
  </si>
  <si>
    <t>PENDIENTE</t>
  </si>
  <si>
    <t>Products</t>
  </si>
  <si>
    <t>Nominal value</t>
  </si>
  <si>
    <t>YoY Growth</t>
  </si>
  <si>
    <t>Weight</t>
  </si>
  <si>
    <t>Region</t>
  </si>
  <si>
    <t>EMAE</t>
  </si>
  <si>
    <t>Americas</t>
  </si>
  <si>
    <t>Asia</t>
  </si>
  <si>
    <t>TOTAL</t>
  </si>
  <si>
    <t>Category</t>
  </si>
  <si>
    <t>Wholesale</t>
  </si>
  <si>
    <t>DTC</t>
  </si>
  <si>
    <t>Average Wholesale</t>
  </si>
  <si>
    <t>Average DTC</t>
  </si>
  <si>
    <t>Description</t>
  </si>
  <si>
    <t>Graphs</t>
  </si>
  <si>
    <t>Includes stores managed by third parties that sell Moncler products either in single-brand spaces (i.e. shop-in-shop) or inside multi-brand stores (both physical and online).</t>
  </si>
  <si>
    <t>Includes stores that are directly managed by the Brand (free-standing stores, concessions, e-commerce and factory outlet).</t>
  </si>
  <si>
    <t>Industry</t>
  </si>
  <si>
    <t>Graphs (Industry Forecasts)</t>
  </si>
  <si>
    <t>Drivers</t>
  </si>
  <si>
    <t>Brand image, reputation and recognition</t>
  </si>
  <si>
    <t>Influenced by changing consumer tastes, preferences and lifestyles in the various regions in which it operates. If in the future the Group is not able, through its products and initiatives, to maintain the image, reputation and recognition of its brands, sales and economic results may be affected.</t>
  </si>
  <si>
    <t>Liquidity</t>
  </si>
  <si>
    <t>Seasonal nature of the business, particularly for the Moncler brand. Based on evolving financial needs, where necessary, lines of credit are planned with the banking system to meet these needs, according to a corresponding distinction between short-term and long-term lines of credit.</t>
  </si>
  <si>
    <t>Sales forecast</t>
  </si>
  <si>
    <t>Source</t>
  </si>
  <si>
    <t>Market Growth CAGR</t>
  </si>
  <si>
    <t>Period</t>
  </si>
  <si>
    <t>Revenue CAGR (7y) For Moncler SpA (MONC) (finbox.com)</t>
  </si>
  <si>
    <t>2023-2030</t>
  </si>
  <si>
    <t>Trends &amp; Market Context | Moncler Group</t>
  </si>
  <si>
    <t>8 to 14%</t>
  </si>
  <si>
    <t>2023-2027</t>
  </si>
  <si>
    <t>Revenue CAGR (3y) For Moncler SpA (MONC) (finbox.com)</t>
  </si>
  <si>
    <t>2023-2026</t>
  </si>
  <si>
    <t>Moncler (BIT:MONC) Stock Forecast &amp; Analyst Predictions - Simply Wall St</t>
  </si>
  <si>
    <t>Average</t>
  </si>
  <si>
    <t>Company's Strategy / Extra Notes</t>
  </si>
  <si>
    <t>-Negotiate advance pricing agreements with the tax authorities of the main countries in which the Group operates</t>
  </si>
  <si>
    <t>-Adoption of innovative technologies that enable tracking of products throughout the value chain to prevent and mitigate the effects of counterfeiting of its brands and products and to protect its intellectual property rights in the territories where it operates;. The Group integrates sustainability assessments, including those related to compliance with local values (religious, cultural and social) into its communication and marketing strategies, out of a belief that the continuous creation of value for all its stakeholders is a fundamental priority in strengthening its reputation</t>
  </si>
  <si>
    <t>-Investments in preventing and monitoring the existence of any risks related to human rights violations along the supply chain</t>
  </si>
  <si>
    <t xml:space="preserve">-Focus on product quality, innovation, communication and the development of its distribution model according to criteria of selectivity, quality and sustainability   </t>
  </si>
  <si>
    <t xml:space="preserve">-Sustainability assessments, including those related to compliance with local values (religious, cultural and social) into its communication and marketing strategies,  </t>
  </si>
  <si>
    <t>out of a belief that the continuous creation of value for all its stakeholders is a fundamental priority in strengthening its reputation.</t>
  </si>
  <si>
    <t>Peer Logo</t>
  </si>
  <si>
    <t>Peer Name</t>
  </si>
  <si>
    <t>Established in 1913 in Milan, Italy, Prada has since become a global icon of sophistication and style. With a focus on innovative design and impeccable craftsmanship, Prada consistently delivers luxury products that appeal to discerning consumers worldwide, being renowned for its high-end clothing, accessories, footwear, eyewear, fragrances and lifestyle products.</t>
  </si>
  <si>
    <t>Founded in 1856 by Thomas Burberry in Basingstoke, Hampshire, England, Burberry Group plc has evolved into an internationally renowned luxury fashion brand known for its distinctive British heritage, innovation, and timeless style. The company is particularly well-known for its iconic trench coats and classic check patterns.</t>
  </si>
  <si>
    <t>Hugo Boss, a German luxury fashion house, was established in 1924 in Metzingen, Germany. It has since grown into a globally recognized brand synonymous with refined elegance, superior quality, and contemporary design. Hugo Boss is particularly renowned for its men's and women's tailored suits, as well as its premium fragrances.</t>
  </si>
  <si>
    <t>Founded in 1957, under the name "Metro Sportswear Ltd.", Canada Goose Holdings became a household name for their winter clothing manufactoring, with Headquarters in Toronto, Canada. Their products are knows for their high quality and they include jackets, parkas and acessories.</t>
  </si>
  <si>
    <t>A french-based multinational, specialized in luxury goods, was founded in 1962. Kesing SA is known for their strong portfolio, with household names such as Gucci, Balenciaga, Bottega veneta, Yves Saint Laurent, Creed and Alexander McQueen.</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</si>
  <si>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</si>
  <si>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</si>
  <si>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</si>
  <si>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</si>
  <si>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</si>
  <si>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</si>
  <si>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</si>
  <si>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</si>
  <si>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</si>
  <si>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</si>
  <si>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</si>
  <si>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</si>
  <si>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</si>
  <si>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</si>
  <si>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</si>
  <si>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</si>
  <si>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</si>
  <si>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</si>
  <si>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&lt;0</t>
  </si>
  <si>
    <t>Interest Coverage Ratio</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</si>
  <si>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</si>
  <si>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</si>
  <si>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</si>
  <si>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</si>
  <si>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</si>
  <si>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</si>
  <si>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</si>
  <si>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</si>
  <si>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</si>
  <si>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</si>
  <si>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</si>
  <si>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</si>
  <si>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</si>
  <si>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</si>
  <si>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</si>
  <si>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</si>
  <si>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</si>
  <si>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</si>
  <si>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</si>
  <si>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</si>
  <si>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</si>
  <si>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</si>
  <si>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</si>
  <si>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</si>
  <si>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</si>
  <si>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</si>
  <si>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</si>
  <si>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</si>
  <si>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</si>
  <si>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</si>
  <si>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</si>
  <si>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</si>
  <si>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</si>
  <si>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</si>
  <si>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</si>
  <si>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</si>
  <si>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</si>
  <si>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</si>
  <si>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</si>
  <si>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</si>
  <si>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</si>
  <si>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</si>
  <si>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</si>
  <si>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</si>
  <si>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Company GICS Sector:</t>
  </si>
  <si>
    <t>Yes</t>
  </si>
  <si>
    <t>Consumer Discretionary</t>
  </si>
  <si>
    <t>&lt;- Select Industry</t>
  </si>
  <si>
    <t>Non-financial statement 2022</t>
  </si>
  <si>
    <t>No</t>
  </si>
  <si>
    <t>ESG Analysis</t>
  </si>
  <si>
    <t>Relative ESG Analysis</t>
  </si>
  <si>
    <t>Parameters</t>
  </si>
  <si>
    <t>Impact</t>
  </si>
  <si>
    <t>Do they report?</t>
  </si>
  <si>
    <t>Ranking</t>
  </si>
  <si>
    <t>Mitigation Plan</t>
  </si>
  <si>
    <t>Traffic Lights</t>
  </si>
  <si>
    <t>Improvement over time?</t>
  </si>
  <si>
    <t>Targets / Goals?</t>
  </si>
  <si>
    <t>Comments</t>
  </si>
  <si>
    <t>Giorgio Armani</t>
  </si>
  <si>
    <t>Ralph Lauren Corp</t>
  </si>
  <si>
    <t>Canada Goose Holdings</t>
  </si>
  <si>
    <t>Environmental</t>
  </si>
  <si>
    <t>Ratios</t>
  </si>
  <si>
    <t>CO2 Direct Emissions</t>
  </si>
  <si>
    <t>CO2 Emissions/$M Sales</t>
  </si>
  <si>
    <t>Total Water Consumption</t>
  </si>
  <si>
    <t>Water Consumption/$M Sales</t>
  </si>
  <si>
    <t>Total Energy Consumption</t>
  </si>
  <si>
    <t>Medium</t>
  </si>
  <si>
    <r>
      <rPr>
        <b/>
        <sz val="10"/>
        <color rgb="FF000000"/>
        <rFont val="Arial"/>
        <family val="2"/>
      </rPr>
      <t>Increased.</t>
    </r>
    <r>
      <rPr>
        <sz val="10"/>
        <color rgb="FF000000"/>
        <rFont val="Arial"/>
        <family val="2"/>
      </rPr>
      <t xml:space="preserve">  From 44,046,515 KWh in 2021 to 48,506,186 KWh in 2022 due to increase in total indirect energy consumption driven by growth in business acticity that exceeded in 2021 in term of number of stores.  However, they have commited to use 100% renewable energy in their sites at global level by 2023. In 2022 they used electricity from renewable sources for a total of approx. 90% of the total corporate sites sonsumption. </t>
    </r>
  </si>
  <si>
    <t>Energy Consumption/$M Sales</t>
  </si>
  <si>
    <t>Waste Management</t>
  </si>
  <si>
    <r>
      <rPr>
        <b/>
        <sz val="10"/>
        <color rgb="FF000000"/>
        <rFont val="Arial"/>
        <family val="2"/>
      </rPr>
      <t>Increased.</t>
    </r>
    <r>
      <rPr>
        <sz val="10"/>
        <color rgb="FF000000"/>
        <rFont val="Arial"/>
        <family val="2"/>
      </rPr>
      <t xml:space="preserve">  From 71 tonnes of CO2e in 2021 to 75 tonnes of CO2e in 2002. </t>
    </r>
    <r>
      <rPr>
        <b/>
        <sz val="10"/>
        <color rgb="FF000000"/>
        <rFont val="Arial"/>
        <family val="2"/>
      </rPr>
      <t>Mitigation plan</t>
    </r>
    <r>
      <rPr>
        <sz val="10"/>
        <color rgb="FF000000"/>
        <rFont val="Arial"/>
        <family val="2"/>
      </rPr>
      <t xml:space="preserve"> e.g. they have committed to reduce the consumption of packaging materials and to research and apply lower impact alternatives. They have launched a series of programmes for improving packaging design focusing mainly on recyclability, re.usability and durability as well as on reducing the materials used.</t>
    </r>
  </si>
  <si>
    <t>Waste Production/$M Sales</t>
  </si>
  <si>
    <t>Land Degradation/Deforestation/Biodiversity loss/Animal sufering/…</t>
  </si>
  <si>
    <t>n/d</t>
  </si>
  <si>
    <t>Inputs</t>
  </si>
  <si>
    <t>Social</t>
  </si>
  <si>
    <t>Net Sales ($M)</t>
  </si>
  <si>
    <t>Employee Turnover %</t>
  </si>
  <si>
    <r>
      <rPr>
        <b/>
        <sz val="10"/>
        <color rgb="FF000000"/>
        <rFont val="Arial"/>
        <family val="2"/>
      </rPr>
      <t>Negative turnover.</t>
    </r>
    <r>
      <rPr>
        <sz val="10"/>
        <color rgb="FF000000"/>
        <rFont val="Arial"/>
        <family val="2"/>
      </rPr>
      <t xml:space="preserve"> in 2022, their negative turnover was 20% compared  with number of 2021. About 2100 people left.  Mitigation plan: e.g. in 2022 morhe than 1,708,000 euros were invested in training and 170,843 hours of training were delivered (+44% hours compared to 2021) to the benefit of more than 5400 employees. </t>
    </r>
  </si>
  <si>
    <t>CO2 Emissions Total (Tonnes)</t>
  </si>
  <si>
    <t>Salaries &amp; Compensation</t>
  </si>
  <si>
    <r>
      <rPr>
        <b/>
        <sz val="10"/>
        <color rgb="FF000000"/>
        <rFont val="Arial"/>
        <family val="2"/>
      </rPr>
      <t xml:space="preserve">On average compared to its peers. </t>
    </r>
    <r>
      <rPr>
        <sz val="10"/>
        <color rgb="FF000000"/>
        <rFont val="Arial"/>
        <family val="2"/>
      </rPr>
      <t>Moncler's</t>
    </r>
    <r>
      <rPr>
        <b/>
        <sz val="10"/>
        <color rgb="FF000000"/>
        <rFont val="Arial"/>
        <family val="2"/>
      </rPr>
      <t xml:space="preserve"> </t>
    </r>
    <r>
      <rPr>
        <sz val="10"/>
        <color rgb="FF000000"/>
        <rFont val="Arial"/>
        <family val="2"/>
      </rPr>
      <t>average estimated annual salary is $112,668/ $54 per hour according to</t>
    </r>
    <r>
      <rPr>
        <i/>
        <sz val="10"/>
        <color rgb="FF000000"/>
        <rFont val="Arial"/>
        <family val="2"/>
      </rPr>
      <t xml:space="preserve"> Comparably</t>
    </r>
    <r>
      <rPr>
        <sz val="10"/>
        <color rgb="FF000000"/>
        <rFont val="Arial"/>
        <family val="2"/>
      </rPr>
      <t xml:space="preserve">. Moncler's compensation scores in the top 15% of similar sized companies on comparably. Compared to its peers such as Prada and Ralp Lauren, Moncler's average annual salary is below them, however compared Giorgio and Ralp Lauren, Moncler's average estimated annual salary is similar to its peers.  </t>
    </r>
  </si>
  <si>
    <t>Water Consumption Total (Cubic Meters)</t>
  </si>
  <si>
    <t>Reputation</t>
  </si>
  <si>
    <t>Energy Consumption Total (Gigajoules)</t>
  </si>
  <si>
    <t>Discrimination Events</t>
  </si>
  <si>
    <t>Waste Production Total (Tonnes)</t>
  </si>
  <si>
    <t>Work Safety</t>
  </si>
  <si>
    <t xml:space="preserve">They adopt a preventive approach, in which before opening a new workplace, a through health and safety risk assessment is carried out through a specific inspections conducted with the support of specialised experts. </t>
  </si>
  <si>
    <r>
      <rPr>
        <b/>
        <sz val="10"/>
        <color rgb="FF000000"/>
        <rFont val="Arial"/>
        <family val="2"/>
      </rPr>
      <t>Increase in workplace accident rate</t>
    </r>
    <r>
      <rPr>
        <sz val="10"/>
        <color rgb="FF000000"/>
        <rFont val="Arial"/>
        <family val="2"/>
      </rPr>
      <t xml:space="preserve">. Although the Moncler Group report no high-risk activites, it is an increase in total incidence rate, from 2.84 in 2021 to total incidence rate 3.80 in 2022. Their accident rate trend in the period of 2020-2022 is due to the effect of the Covid-19 pandemic. </t>
    </r>
    <r>
      <rPr>
        <b/>
        <sz val="10"/>
        <color rgb="FF000000"/>
        <rFont val="Arial"/>
        <family val="2"/>
      </rPr>
      <t>Mitigation plan:</t>
    </r>
    <r>
      <rPr>
        <sz val="10"/>
        <color rgb="FF000000"/>
        <rFont val="Arial"/>
        <family val="2"/>
      </rPr>
      <t xml:space="preserve"> If necessary, an improvement plan is formulated with actions prioritised to address risks identified and integration of the action plans qith quantified objectives. </t>
    </r>
  </si>
  <si>
    <t>ESG Scores</t>
  </si>
  <si>
    <t>Damage to consumer health</t>
  </si>
  <si>
    <t>Medium High</t>
  </si>
  <si>
    <t xml:space="preserve">They are commited to the well-being of its employees included carious priogrammes that promote work flexibility and the best work-life balance. </t>
  </si>
  <si>
    <r>
      <rPr>
        <b/>
        <sz val="10"/>
        <color rgb="FF000000"/>
        <rFont val="Arial"/>
        <family val="2"/>
      </rPr>
      <t>Workplace noise, air quality, temperature and humidity.</t>
    </r>
    <r>
      <rPr>
        <sz val="10"/>
        <color rgb="FF000000"/>
        <rFont val="Arial"/>
        <family val="2"/>
      </rPr>
      <t xml:space="preserve"> They regularly monitor workplace noise, which can lead to a range of health issues for workers. Air quality, temperature and humidity can also create uncomfortable situations in the workplace. At all the Group's offices and at the production site in Romania, annual humidity measurements are carried out to ensure that the permitted limit values are complied with in each area. In addition, we continuously ensure good ventilation at our workplaces in Padova, Romania and Modena through effective upgrade projects that include the installation of the latest generation of ventilation systems, which are checked at regular intervals.</t>
    </r>
  </si>
  <si>
    <t>Refinitiv</t>
  </si>
  <si>
    <t>62/100</t>
  </si>
  <si>
    <t>47/100</t>
  </si>
  <si>
    <t>71/100</t>
  </si>
  <si>
    <t>82/100</t>
  </si>
  <si>
    <t>42/100</t>
  </si>
  <si>
    <t>PXP?</t>
  </si>
  <si>
    <t xml:space="preserve">Their remuneration package offered to employees include a wide range of benefits such as pension schemes. Main benefits include supplementary pension plans with 48% for eligible employees. </t>
  </si>
  <si>
    <t>Sustainalytics</t>
  </si>
  <si>
    <t>10.1 (Low risk)</t>
  </si>
  <si>
    <t>15.0 (Low risk)</t>
  </si>
  <si>
    <t>15.3 (Low risk)</t>
  </si>
  <si>
    <t>16.0 (Low risk)</t>
  </si>
  <si>
    <t>Supply chain</t>
  </si>
  <si>
    <t xml:space="preserve">The moncler group has defined specific action pland to deal quickly and effectively with any emergency situations relating it its supply chain in order to guarantee business continuity. </t>
  </si>
  <si>
    <t xml:space="preserve">In 2022, 239 suppliers audited (more than 86%) were in line with the Moncler group's social and environmental standard, and collaboration with 17 suppliers (7% of them) was ended while the remaning 7% turned out to have non-complicance at the end of 2022.  Regarding the social aspects, 76 of 239 sites were found to have non-compliances and the relative improvement plant was issued. For the least critical non-complicanxes, it was agrreed with suppliers to implement a resolution plan promply, while in the most critical cases collaboration with the suppliers was always ended. </t>
  </si>
  <si>
    <t>ISS</t>
  </si>
  <si>
    <t>C</t>
  </si>
  <si>
    <t>C-</t>
  </si>
  <si>
    <t>C+</t>
  </si>
  <si>
    <t>Community involvement</t>
  </si>
  <si>
    <t>CDP</t>
  </si>
  <si>
    <t>A-</t>
  </si>
  <si>
    <t>B/C</t>
  </si>
  <si>
    <t>B</t>
  </si>
  <si>
    <t>F/F</t>
  </si>
  <si>
    <t>Public Sector</t>
  </si>
  <si>
    <t>The company report that in 2022, the Moncler Group did not make contributions to political parties, lobbying acticitites or any other activites beyon dthose with associative purposes. The political commitments and contributiions mande by the Group's employees are understood to be personal and entirely voluntary.</t>
  </si>
  <si>
    <t>Litigation</t>
  </si>
  <si>
    <t>Corporate Governance</t>
  </si>
  <si>
    <t>PARAMETERS</t>
  </si>
  <si>
    <t>Diversity (Gender, Age, Industry, Region)</t>
  </si>
  <si>
    <t xml:space="preserve">Total 12 memeber in which 7 are men and 5 women. The average age of the board is under 45 year sold for 17% of the memebers, between 45-55 years old for 8% of the memebers, between 56-65 years old for 42% of the memeber, and over 65 years old for 33% of the memebers. 9 italian, 1 german, 1 american and 1 Russian/American. Their qualitites are a range from international experience to industry- and management experience, accounting, financial experience, governance, marketing, entrepreneurial experience, ESG &amp; CSR and IT &amp; Digital.   </t>
  </si>
  <si>
    <t>IMPACT</t>
  </si>
  <si>
    <t>RANKING</t>
  </si>
  <si>
    <t>MITIGATION PLAN</t>
  </si>
  <si>
    <t>% Independence</t>
  </si>
  <si>
    <t>At 31 December 2022, the Moncler board of directors was composed of 12 memebers, in which 3 were executive directors and 9 were non-executive directors (7 of whom are independent).</t>
  </si>
  <si>
    <t>Low</t>
  </si>
  <si>
    <t>"Best in class"</t>
  </si>
  <si>
    <t>Is there evidence of a plan/program ?</t>
  </si>
  <si>
    <t>average time as independent directors</t>
  </si>
  <si>
    <t xml:space="preserve">Average time as independent directors is 5,57 years. However, two independent directors have a duration of 10 years. </t>
  </si>
  <si>
    <t>Recent departures of directors / C-level executives?</t>
  </si>
  <si>
    <t xml:space="preserve">Monica Scottana resigned as general manager in 2015 "a decision based strictly on personal reasons". Also Pietro Ruffini, the CEO's son left the board of directors due to too many professional obligations. No further information about this.  </t>
  </si>
  <si>
    <t>High</t>
  </si>
  <si>
    <t>CEO/Chairman duality</t>
  </si>
  <si>
    <t>"Villain"</t>
  </si>
  <si>
    <t>Remp Ruffini is both chairman of the board of directors and CEO with Marco De Benedetti as deputy chairman of the boatd of directors (non-executive director).</t>
  </si>
  <si>
    <t>Very high</t>
  </si>
  <si>
    <t>Transparency (ESG, segments, acquisitions, other)</t>
  </si>
  <si>
    <t>The information of the board about their profile were availble in their report on corporate governance for 2022. I did not have difficulties finding any information.</t>
  </si>
  <si>
    <t>Time taken to report after the end of the quarter / year</t>
  </si>
  <si>
    <t xml:space="preserve">Has not yet published the non-financial report for 2023. </t>
  </si>
  <si>
    <t>Additional participation of the CEO in other boards or excessive participation of Ch.</t>
  </si>
  <si>
    <t xml:space="preserve">CEO/Chairman is not member in the board of directors of other companies. However 7/12 of the memeber of the Board of Directors are in the board of directors of other companies. </t>
  </si>
  <si>
    <t>Audit / Consulting</t>
  </si>
  <si>
    <t xml:space="preserve">The auditing firm is Deloitte (nine-year period 2022-2030). No further information about if the company has paid auditors for extra service than auditing services. </t>
  </si>
  <si>
    <t>ESG-compensation related</t>
  </si>
  <si>
    <t>As a long-term incentive system, the company use performance share plans for key positions within the management memebers. These system allow the incentive process for managers and key resources of the Gorup to be linked to actual comapny's results, steer people towards strategies aimed at pursuing sustainable medium-/long-term results. From the 2020 performance share plan, an ESG performance indicator focused on carbnon neutraility was introduced for all corporate sites.</t>
  </si>
  <si>
    <t>Management compensation schemes</t>
  </si>
  <si>
    <t>Remuneration package of the Chairman and CEO, executive directors and MSRs in which more than 70% of the compensation package is largely paid in shares.</t>
  </si>
  <si>
    <t>VALUATION MODEL</t>
  </si>
  <si>
    <t>Short Term</t>
  </si>
  <si>
    <t>Long Term</t>
  </si>
  <si>
    <t>Section</t>
  </si>
  <si>
    <t>Line #</t>
  </si>
  <si>
    <t>ITEM</t>
  </si>
  <si>
    <t>2021 (Real)</t>
  </si>
  <si>
    <t>2022 (Real)</t>
  </si>
  <si>
    <t>2023 (Real)</t>
  </si>
  <si>
    <t>INCOME STATEMENT</t>
  </si>
  <si>
    <t>Growth</t>
  </si>
  <si>
    <t>X</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</si>
  <si>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</si>
  <si>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</si>
  <si>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</si>
  <si>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</si>
  <si>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</si>
  <si>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</si>
  <si>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</si>
  <si>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</si>
  <si>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</si>
  <si>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</si>
  <si>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</si>
  <si>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</si>
  <si>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</si>
  <si>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</si>
  <si>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</si>
  <si>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</si>
  <si>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</si>
  <si>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</si>
  <si>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</si>
  <si>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</si>
  <si>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</si>
  <si>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</si>
  <si>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</si>
  <si>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</si>
  <si>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</si>
  <si>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</si>
  <si>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</si>
  <si>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</si>
  <si>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</si>
  <si>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</si>
  <si>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</si>
  <si>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</si>
  <si>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</si>
  <si>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</si>
  <si>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</si>
  <si>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</si>
  <si>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</si>
  <si>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</si>
  <si>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</si>
  <si>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</si>
  <si>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</si>
  <si>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</si>
  <si>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</si>
  <si>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</si>
  <si>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</si>
  <si>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</si>
  <si>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</si>
  <si>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</si>
  <si>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</si>
  <si>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</si>
  <si>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</si>
  <si>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</si>
  <si>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</si>
  <si>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Amortization factor</t>
  </si>
  <si>
    <t>Stock-based comp</t>
  </si>
  <si>
    <t>Tax Rate</t>
  </si>
  <si>
    <t>Interest Rate on debt</t>
  </si>
  <si>
    <t>Interest Rate on cash</t>
  </si>
  <si>
    <t>Working capital flows</t>
  </si>
  <si>
    <t>Capex</t>
  </si>
  <si>
    <t>Acquisition factor</t>
  </si>
  <si>
    <t>Repurchases</t>
  </si>
  <si>
    <t>Interest Rate on Leases</t>
  </si>
  <si>
    <t>% Leases</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</si>
  <si>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</si>
  <si>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</si>
  <si>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</si>
  <si>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</si>
  <si>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</si>
  <si>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</si>
  <si>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</si>
  <si>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</si>
  <si>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</si>
  <si>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</si>
  <si>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</si>
  <si>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</si>
  <si>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Variables</t>
  </si>
  <si>
    <t>Rankings</t>
  </si>
  <si>
    <t>Difference</t>
  </si>
  <si>
    <t>Results</t>
  </si>
  <si>
    <t>Additional Information</t>
  </si>
  <si>
    <t>Selected Peers</t>
  </si>
  <si>
    <t>Price Multiples (TTM)</t>
  </si>
  <si>
    <t>Enterprise Value Multiples (TTM)</t>
  </si>
  <si>
    <t>Ticker</t>
  </si>
  <si>
    <t>Company Name</t>
  </si>
  <si>
    <t>TRBC Industry</t>
  </si>
  <si>
    <t>Country</t>
  </si>
  <si>
    <t>ROE</t>
  </si>
  <si>
    <t>DEBT/EBIT</t>
  </si>
  <si>
    <t>EPS Growth (2019-2023) (Refinitiv Smart Estimate)</t>
  </si>
  <si>
    <t>EBIT Margin</t>
  </si>
  <si>
    <t>EPS Growth</t>
  </si>
  <si>
    <t>SARD Result</t>
  </si>
  <si>
    <t>SARD Peers</t>
  </si>
  <si>
    <t>SARD Peers adjusted Rank</t>
  </si>
  <si>
    <t>Suitability</t>
  </si>
  <si>
    <t>Relevant Information Missing</t>
  </si>
  <si>
    <t>Author's Override</t>
  </si>
  <si>
    <t>Observations</t>
  </si>
  <si>
    <t>P / E</t>
  </si>
  <si>
    <t>P / B</t>
  </si>
  <si>
    <t>Price / Sales</t>
  </si>
  <si>
    <t>EV / Sales</t>
  </si>
  <si>
    <t>EV / EBITDA</t>
  </si>
  <si>
    <t>Benchmark</t>
  </si>
  <si>
    <t>MONC.MI</t>
  </si>
  <si>
    <t>Moncler SpA</t>
  </si>
  <si>
    <t>Italy</t>
  </si>
  <si>
    <t>99,30%</t>
  </si>
  <si>
    <t>Comparison</t>
  </si>
  <si>
    <t>RATI.MI</t>
  </si>
  <si>
    <t>Ratti SpA Sb</t>
  </si>
  <si>
    <t>ZUCI.MI</t>
  </si>
  <si>
    <t>Vincenzo Zucchi SpA</t>
  </si>
  <si>
    <t>AAHG.F</t>
  </si>
  <si>
    <t>Ahlers AG</t>
  </si>
  <si>
    <t>Germany</t>
  </si>
  <si>
    <t>BOSSn.DE</t>
  </si>
  <si>
    <t>Hugo Boss AG</t>
  </si>
  <si>
    <t>0116.HK</t>
  </si>
  <si>
    <t>Chow Sang Sang Holdings International Ltd</t>
  </si>
  <si>
    <t>Hong Kong</t>
  </si>
  <si>
    <t>0513.HK</t>
  </si>
  <si>
    <t>Continental Holdings Ltd</t>
  </si>
  <si>
    <t>Median</t>
  </si>
  <si>
    <t>0122.HK</t>
  </si>
  <si>
    <t>Crocodile Garments Ltd</t>
  </si>
  <si>
    <t>Benchmark Data</t>
  </si>
  <si>
    <t>Price / Share</t>
  </si>
  <si>
    <t>MRHB.KL</t>
  </si>
  <si>
    <t>Marco Holdings Bhd</t>
  </si>
  <si>
    <t>Malaysia</t>
  </si>
  <si>
    <t>Multiplier</t>
  </si>
  <si>
    <t># Shares</t>
  </si>
  <si>
    <t>-Debt + Cash</t>
  </si>
  <si>
    <t>NC.BK</t>
  </si>
  <si>
    <t>Newcity (Bangkok) PCL</t>
  </si>
  <si>
    <t>Thailand</t>
  </si>
  <si>
    <t>0518.HK</t>
  </si>
  <si>
    <t>Tungtex Holdings Co Ltd</t>
  </si>
  <si>
    <t>By Consolidated Average</t>
  </si>
  <si>
    <t>0294.HK</t>
  </si>
  <si>
    <t>Yangtzekiang Garment Ltd</t>
  </si>
  <si>
    <t>GIII.OQ</t>
  </si>
  <si>
    <t>G-III Apparel Group Ltd</t>
  </si>
  <si>
    <t>United States of America</t>
  </si>
  <si>
    <t>KABO.CA</t>
  </si>
  <si>
    <t>El Nasr Clothing and Textiles Company SAE</t>
  </si>
  <si>
    <t>Egypt</t>
  </si>
  <si>
    <t>LIWA.SCT</t>
  </si>
  <si>
    <t>Liwe Espanola SA</t>
  </si>
  <si>
    <t>Spain</t>
  </si>
  <si>
    <t>FINM.PA</t>
  </si>
  <si>
    <t>Financiere Marjos SA</t>
  </si>
  <si>
    <t>France</t>
  </si>
  <si>
    <t>ALDEV.PA</t>
  </si>
  <si>
    <t>Devernois SA</t>
  </si>
  <si>
    <t>007980.KS</t>
  </si>
  <si>
    <t>TP Inc</t>
  </si>
  <si>
    <t>Korea; Republic (S. Korea)</t>
  </si>
  <si>
    <t>UNI.TO</t>
  </si>
  <si>
    <t>Unisync Corp</t>
  </si>
  <si>
    <t>Canada</t>
  </si>
  <si>
    <t>NICH.PK</t>
  </si>
  <si>
    <t>Nitches Inc</t>
  </si>
  <si>
    <t>0213.HK</t>
  </si>
  <si>
    <t>National Electronics Holdings Ltd</t>
  </si>
  <si>
    <t>JLMCQ.PK</t>
  </si>
  <si>
    <t>JLM Couture Inc</t>
  </si>
  <si>
    <t>MTC.L</t>
  </si>
  <si>
    <t>Mothercare PLC</t>
  </si>
  <si>
    <t>United Kingdom</t>
  </si>
  <si>
    <t>LAKE.OQ</t>
  </si>
  <si>
    <t>Lakeland Industries Inc</t>
  </si>
  <si>
    <t>0458.HK</t>
  </si>
  <si>
    <t>Tristate Holdings Ltd</t>
  </si>
  <si>
    <t>WINO.BO</t>
  </si>
  <si>
    <t>Winsome Diamonds and Jewellery Ltd</t>
  </si>
  <si>
    <t>India</t>
  </si>
  <si>
    <t>CALN.S</t>
  </si>
  <si>
    <t>Calida Holding AG</t>
  </si>
  <si>
    <t>Switzerland</t>
  </si>
  <si>
    <t>CFR.S</t>
  </si>
  <si>
    <t>Compagnie Financiere Richemont SA</t>
  </si>
  <si>
    <t>3529.T</t>
  </si>
  <si>
    <t>Atsugi Co Ltd</t>
  </si>
  <si>
    <t>Japan</t>
  </si>
  <si>
    <t>7762.T</t>
  </si>
  <si>
    <t>Citizen Watch Co Ltd</t>
  </si>
  <si>
    <t>3205.T</t>
  </si>
  <si>
    <t>Daidoh Ltd</t>
  </si>
  <si>
    <t>TECE.KL</t>
  </si>
  <si>
    <t>Techbase Industries Bhd</t>
  </si>
  <si>
    <t>8114.T</t>
  </si>
  <si>
    <t>Descente Ltd</t>
  </si>
  <si>
    <t>8111.T</t>
  </si>
  <si>
    <t>Goldwin Inc</t>
  </si>
  <si>
    <t>3002.T</t>
  </si>
  <si>
    <t>Gunze Ltd</t>
  </si>
  <si>
    <t>8050.T</t>
  </si>
  <si>
    <t>Seiko Group Corp</t>
  </si>
  <si>
    <t>8016.T</t>
  </si>
  <si>
    <t>Onward Holdings Co Ltd</t>
  </si>
  <si>
    <t>8107.T</t>
  </si>
  <si>
    <t>Kimuratan Corp</t>
  </si>
  <si>
    <t>8118.T</t>
  </si>
  <si>
    <t>King Co Ltd</t>
  </si>
  <si>
    <t>8143.T</t>
  </si>
  <si>
    <t>Lapine Co Ltd</t>
  </si>
  <si>
    <t>8105.T</t>
  </si>
  <si>
    <t>Marushohotta Co Ltd</t>
  </si>
  <si>
    <t>8115.T</t>
  </si>
  <si>
    <t>Moonbat Co Ltd</t>
  </si>
  <si>
    <t>8139.T</t>
  </si>
  <si>
    <t>Nagahori Corp</t>
  </si>
  <si>
    <t>8013.T</t>
  </si>
  <si>
    <t>Naigai Co Ltd</t>
  </si>
  <si>
    <t>OXM.N</t>
  </si>
  <si>
    <t>Oxford Industries Inc</t>
  </si>
  <si>
    <t>DGIX.PK</t>
  </si>
  <si>
    <t>Dyna Group International Inc</t>
  </si>
  <si>
    <t>ATP.AX</t>
  </si>
  <si>
    <t>Atlas Pearls Ltd</t>
  </si>
  <si>
    <t>Australia</t>
  </si>
  <si>
    <t>TRUA.PK</t>
  </si>
  <si>
    <t>Triumph Apparel Corp</t>
  </si>
  <si>
    <t>PVH.N</t>
  </si>
  <si>
    <t>PVH Corp</t>
  </si>
  <si>
    <t>CTSA3.SA</t>
  </si>
  <si>
    <t>Companhia Tecidos Santanense</t>
  </si>
  <si>
    <t>Brazil</t>
  </si>
  <si>
    <t>9837.T</t>
  </si>
  <si>
    <t>Morito Co Ltd</t>
  </si>
  <si>
    <t>SAFA.NS</t>
  </si>
  <si>
    <t>Safari Industries (India) Ltd</t>
  </si>
  <si>
    <t>BANB.NS</t>
  </si>
  <si>
    <t>Banaras Beads Ltd</t>
  </si>
  <si>
    <t>BHEX.NS</t>
  </si>
  <si>
    <t>Bhandari Hosiery Exports Ltd</t>
  </si>
  <si>
    <t>HARI.BO</t>
  </si>
  <si>
    <t>Haria Exports Ltd</t>
  </si>
  <si>
    <t>VIPI.NS</t>
  </si>
  <si>
    <t>V I P Industries Ltd</t>
  </si>
  <si>
    <t>SGC.OQ</t>
  </si>
  <si>
    <t>Superior Group of Companies Inc</t>
  </si>
  <si>
    <t>3598.T</t>
  </si>
  <si>
    <t>Yamaki Co Ltd</t>
  </si>
  <si>
    <t>CRTL.PK</t>
  </si>
  <si>
    <t>Cartel Blue Inc</t>
  </si>
  <si>
    <t>ACKT.BO</t>
  </si>
  <si>
    <t>Acknit Industries Ltd</t>
  </si>
  <si>
    <t>KAKL.PSX</t>
  </si>
  <si>
    <t>Kaiser Arts and Krafts Ltd</t>
  </si>
  <si>
    <t>Pakistan</t>
  </si>
  <si>
    <t>0933.HK</t>
  </si>
  <si>
    <t>Viva Goods Co Ltd</t>
  </si>
  <si>
    <t>DELG.TA</t>
  </si>
  <si>
    <t>Delta Galil Industries Ltd</t>
  </si>
  <si>
    <t>Israel</t>
  </si>
  <si>
    <t>7937.T</t>
  </si>
  <si>
    <t>Tsutsumi Jewelry Co Ltd</t>
  </si>
  <si>
    <t>VFC.N</t>
  </si>
  <si>
    <t>VF Corp</t>
  </si>
  <si>
    <t>7872.T</t>
  </si>
  <si>
    <t>Estelle Holdings Co Ltd</t>
  </si>
  <si>
    <t>MENE.V</t>
  </si>
  <si>
    <t>Mene Inc</t>
  </si>
  <si>
    <t>KITE.NS</t>
  </si>
  <si>
    <t>Kitex Garments Ltd</t>
  </si>
  <si>
    <t>ATEKS.IS</t>
  </si>
  <si>
    <t>Akin Tekstil AS</t>
  </si>
  <si>
    <t>Turkey</t>
  </si>
  <si>
    <t>OLYM.BO</t>
  </si>
  <si>
    <t>Olympia Industries Ltd</t>
  </si>
  <si>
    <t>DKGR.PK</t>
  </si>
  <si>
    <t>Universal Apparel &amp; Textile Co</t>
  </si>
  <si>
    <t>PBRX.JK</t>
  </si>
  <si>
    <t>Pan Brothers Tbk PT</t>
  </si>
  <si>
    <t>Indonesia</t>
  </si>
  <si>
    <t>2911.TW</t>
  </si>
  <si>
    <t>Les Enphants Co Ltd</t>
  </si>
  <si>
    <t>Taiwan</t>
  </si>
  <si>
    <t>SAMT.BO</t>
  </si>
  <si>
    <t>Samtex Fashions Ltd</t>
  </si>
  <si>
    <t>ADDI.BO</t>
  </si>
  <si>
    <t>Addi Industries Ltd</t>
  </si>
  <si>
    <t>MUL.L</t>
  </si>
  <si>
    <t>Mulberry Group PLC</t>
  </si>
  <si>
    <t>SPIA.BO</t>
  </si>
  <si>
    <t>Spice Islands Industries Ltd</t>
  </si>
  <si>
    <t>SPRT.BO</t>
  </si>
  <si>
    <t>Supra Trends Ltd</t>
  </si>
  <si>
    <t>ZCCL.NS</t>
  </si>
  <si>
    <t>Zodiac Clothing Company Ltd</t>
  </si>
  <si>
    <t>WACOAL.BK</t>
  </si>
  <si>
    <t>Thai Wacoal PCL</t>
  </si>
  <si>
    <t>8916.TWO</t>
  </si>
  <si>
    <t>Kwong Lung Enterprise Co Ltd</t>
  </si>
  <si>
    <t>KDDL.NS</t>
  </si>
  <si>
    <t>KDDL Ltd</t>
  </si>
  <si>
    <t>ELZA.AM</t>
  </si>
  <si>
    <t>Elzay Ready Wear Manufacturing Company PSC</t>
  </si>
  <si>
    <t>Jordan</t>
  </si>
  <si>
    <t>LVMH.PA</t>
  </si>
  <si>
    <t>LVMH Moet Hennessy Louis Vuitton SE</t>
  </si>
  <si>
    <t>DIOR.PA</t>
  </si>
  <si>
    <t>Christian Dior SE</t>
  </si>
  <si>
    <t>MATE.KL</t>
  </si>
  <si>
    <t>Magni-Tech Industries Bhd</t>
  </si>
  <si>
    <t>600612.SS</t>
  </si>
  <si>
    <t>Lao Feng Xiang Co Ltd</t>
  </si>
  <si>
    <t>China</t>
  </si>
  <si>
    <t>1473.TW</t>
  </si>
  <si>
    <t>Tainan Enterprises Co Ltd</t>
  </si>
  <si>
    <t>0256.HK</t>
  </si>
  <si>
    <t>Citychamp Watch &amp; Jewellery Group Ltd</t>
  </si>
  <si>
    <t>5321.TWO</t>
  </si>
  <si>
    <t>United Recommend International Co Ltd</t>
  </si>
  <si>
    <t>VAIB.NS</t>
  </si>
  <si>
    <t>Vaibhav Global Ltd</t>
  </si>
  <si>
    <t>1467.TW</t>
  </si>
  <si>
    <t>Tex-Ray Industrial Co Ltd</t>
  </si>
  <si>
    <t>CSP.MI</t>
  </si>
  <si>
    <t>CSP International Fashion Group SpA</t>
  </si>
  <si>
    <t>005320.KS</t>
  </si>
  <si>
    <t>Kukdong Corp</t>
  </si>
  <si>
    <t>0918.HK</t>
  </si>
  <si>
    <t>State Energy Group International Assets Holdings Ltd</t>
  </si>
  <si>
    <t>NPKm.BK</t>
  </si>
  <si>
    <t>New Plus Knitting PCL</t>
  </si>
  <si>
    <t>ASAN.BO</t>
  </si>
  <si>
    <t>Asian Star Co Ltd</t>
  </si>
  <si>
    <t>PG.BK</t>
  </si>
  <si>
    <t>Peoples Garment PCL</t>
  </si>
  <si>
    <t>PDJ.BK</t>
  </si>
  <si>
    <t>Pranda Jewelry PCL</t>
  </si>
  <si>
    <t>SAWANG.BK</t>
  </si>
  <si>
    <t>Sawang Export PCL</t>
  </si>
  <si>
    <t>005390.KS</t>
  </si>
  <si>
    <t>Shinsung Tongsang Co Ltd</t>
  </si>
  <si>
    <t>009270.KS</t>
  </si>
  <si>
    <t>Shinwon Corp</t>
  </si>
  <si>
    <t>TNL.BK</t>
  </si>
  <si>
    <t>Thanulux PCL</t>
  </si>
  <si>
    <t>600400.SS</t>
  </si>
  <si>
    <t>Jiangsu Hongdou Industrial Co Ltd</t>
  </si>
  <si>
    <t>3591.T</t>
  </si>
  <si>
    <t>Wacoal Holdings Corp</t>
  </si>
  <si>
    <t>8008.T</t>
  </si>
  <si>
    <t>Yondoshi Holdings Inc</t>
  </si>
  <si>
    <t>FORD.OQ</t>
  </si>
  <si>
    <t>Forward Industries Inc</t>
  </si>
  <si>
    <t>8018.T</t>
  </si>
  <si>
    <t>Sankyo Seiko Co Ltd</t>
  </si>
  <si>
    <t>8127.T</t>
  </si>
  <si>
    <t>Yamato International Inc</t>
  </si>
  <si>
    <t>033340.KQ</t>
  </si>
  <si>
    <t>Good People Co Ltd</t>
  </si>
  <si>
    <t>8011.T</t>
  </si>
  <si>
    <t>Sanyo Shokai Ltd</t>
  </si>
  <si>
    <t>8040.T</t>
  </si>
  <si>
    <t>Tokyo Soir Co Ltd</t>
  </si>
  <si>
    <t>8025.T</t>
  </si>
  <si>
    <t>Tsukamoto Corporation Co Ltd</t>
  </si>
  <si>
    <t>600107.SS</t>
  </si>
  <si>
    <t>Hubei Mailyard Share Co Ltd</t>
  </si>
  <si>
    <t>1417.TW</t>
  </si>
  <si>
    <t>Carnival Industrial Corp</t>
  </si>
  <si>
    <t>CPH.BK</t>
  </si>
  <si>
    <t>Castle Peak Holdings PCL</t>
  </si>
  <si>
    <t>2906.TW</t>
  </si>
  <si>
    <t>Collins Co Ltd</t>
  </si>
  <si>
    <t>ICC.BK</t>
  </si>
  <si>
    <t>ICC International PCL</t>
  </si>
  <si>
    <t>9885.T</t>
  </si>
  <si>
    <t>Charle Co Ltd</t>
  </si>
  <si>
    <t>ADZ.MC</t>
  </si>
  <si>
    <t>Adolfo Dominguez SA</t>
  </si>
  <si>
    <t>WLFD.VI</t>
  </si>
  <si>
    <t>Wolford AG</t>
  </si>
  <si>
    <t>Austria</t>
  </si>
  <si>
    <t>FOSL.OQ</t>
  </si>
  <si>
    <t>Fossil Group Inc</t>
  </si>
  <si>
    <t>0333.HK</t>
  </si>
  <si>
    <t>Top Form International Ltd</t>
  </si>
  <si>
    <t>TIMX.BO</t>
  </si>
  <si>
    <t>Timex Group India Ltd</t>
  </si>
  <si>
    <t>0533.HK</t>
  </si>
  <si>
    <t>Goldlion Holdings Ltd</t>
  </si>
  <si>
    <t>0608.HK</t>
  </si>
  <si>
    <t>High Fashion International Ltd</t>
  </si>
  <si>
    <t>1451.TW</t>
  </si>
  <si>
    <t>Nien Hsing Textile Co Ltd</t>
  </si>
  <si>
    <t>EVKG.PK</t>
  </si>
  <si>
    <t>Ever-Glory International Group Inc</t>
  </si>
  <si>
    <t>600710.SS</t>
  </si>
  <si>
    <t>Sumec Corp Ltd</t>
  </si>
  <si>
    <t>8029.T</t>
  </si>
  <si>
    <t>Look Holdings Inc</t>
  </si>
  <si>
    <t>7501.T</t>
  </si>
  <si>
    <t>Tiemco Ltd</t>
  </si>
  <si>
    <t>600630.SS</t>
  </si>
  <si>
    <t>Shanghai Dragon Corp</t>
  </si>
  <si>
    <t>600137.SS</t>
  </si>
  <si>
    <t>Sichuan Langsha Holding Ltd</t>
  </si>
  <si>
    <t>AVEW.PK</t>
  </si>
  <si>
    <t>AVEW Holdings Inc</t>
  </si>
  <si>
    <t>7638.T</t>
  </si>
  <si>
    <t>New Art Holdings Co Ltd</t>
  </si>
  <si>
    <t>0907.HK</t>
  </si>
  <si>
    <t>Elegance Optical International Holdings Ltd</t>
  </si>
  <si>
    <t>1315.TW</t>
  </si>
  <si>
    <t>Tah Hsin Industrial Corp</t>
  </si>
  <si>
    <t>000680.KS</t>
  </si>
  <si>
    <t>LS Networks Corp Ltd</t>
  </si>
  <si>
    <t>008600.KS</t>
  </si>
  <si>
    <t>Willbes &amp; Co Ltd</t>
  </si>
  <si>
    <t>HRMS.PA</t>
  </si>
  <si>
    <t>Hermes International SCA</t>
  </si>
  <si>
    <t>000026.SZ</t>
  </si>
  <si>
    <t>FIYTA Precision Technology Co Ltd</t>
  </si>
  <si>
    <t>ALDLT.PA</t>
  </si>
  <si>
    <t>Delta Plus Group SA</t>
  </si>
  <si>
    <t>8026.HK</t>
  </si>
  <si>
    <t>China Brilliant Global Ltd</t>
  </si>
  <si>
    <t>009970.KS</t>
  </si>
  <si>
    <t>Youngone Holdings Co Ltd</t>
  </si>
  <si>
    <t>SFG1T.TL</t>
  </si>
  <si>
    <t>Silvano Fashion Group AS</t>
  </si>
  <si>
    <t>Estonia</t>
  </si>
  <si>
    <t>4414.TW</t>
  </si>
  <si>
    <t>Roo Hsing Co Ltd</t>
  </si>
  <si>
    <t>EDOARDOB.MX</t>
  </si>
  <si>
    <t>Edoardos Martin SAB de CV</t>
  </si>
  <si>
    <t>Mexico</t>
  </si>
  <si>
    <t>000017.SZ</t>
  </si>
  <si>
    <t>Shenzhen China Bicycle Company Holdings Ltd</t>
  </si>
  <si>
    <t>FTSP.PSX</t>
  </si>
  <si>
    <t>Fateh Sports Wear Ltd</t>
  </si>
  <si>
    <t>001460.KS</t>
  </si>
  <si>
    <t>BYC Co Ltd</t>
  </si>
  <si>
    <t>016090.KS</t>
  </si>
  <si>
    <t>Daehyun Co Ltd</t>
  </si>
  <si>
    <t>MRV.AT</t>
  </si>
  <si>
    <t>Minerva Knitwear SA</t>
  </si>
  <si>
    <t>Greece</t>
  </si>
  <si>
    <t>005800.KS</t>
  </si>
  <si>
    <t>Shinyoung Wacoal Inc</t>
  </si>
  <si>
    <t>BLUE.CM</t>
  </si>
  <si>
    <t>Blue Diamonds Jewellery Worldwide PLC</t>
  </si>
  <si>
    <t>Sri Lanka</t>
  </si>
  <si>
    <t>UHR.S</t>
  </si>
  <si>
    <t>Swatch Group AG</t>
  </si>
  <si>
    <t>002070.KS</t>
  </si>
  <si>
    <t>Vivien Corp</t>
  </si>
  <si>
    <t>014990.KS</t>
  </si>
  <si>
    <t>In The F Co Ltd</t>
  </si>
  <si>
    <t>LETA.PSX</t>
  </si>
  <si>
    <t>Leather Up Ltd</t>
  </si>
  <si>
    <t>600278.SS</t>
  </si>
  <si>
    <t>Orient International Enterprise Ltd</t>
  </si>
  <si>
    <t>000025.SZ</t>
  </si>
  <si>
    <t>Shenzhen Tellus Holding Co Ltd</t>
  </si>
  <si>
    <t>BANI.PK</t>
  </si>
  <si>
    <t>Banneker Inc</t>
  </si>
  <si>
    <t>MOV.N</t>
  </si>
  <si>
    <t>Movado Group Inc</t>
  </si>
  <si>
    <t>RL.N</t>
  </si>
  <si>
    <t>007700.KS</t>
  </si>
  <si>
    <t>F&amp;F Holdings Co Ltd</t>
  </si>
  <si>
    <t>SCHT.PSX</t>
  </si>
  <si>
    <t>Schone Textile Ltd</t>
  </si>
  <si>
    <t>008290.KQ</t>
  </si>
  <si>
    <t>Wonpung Mulsan Co Ltd</t>
  </si>
  <si>
    <t>020000.KS</t>
  </si>
  <si>
    <t>Handsome Corp</t>
  </si>
  <si>
    <t>VRGP.WA</t>
  </si>
  <si>
    <t>VRG SA</t>
  </si>
  <si>
    <t>Poland</t>
  </si>
  <si>
    <t>LANr.AT</t>
  </si>
  <si>
    <t>Lanakam SA</t>
  </si>
  <si>
    <t>RGEM.CM</t>
  </si>
  <si>
    <t>Radiant Gems International PLC</t>
  </si>
  <si>
    <t>PCCS.KL</t>
  </si>
  <si>
    <t>PCCS Group Bhd</t>
  </si>
  <si>
    <t>004060.KS</t>
  </si>
  <si>
    <t>SG Corp</t>
  </si>
  <si>
    <t>3597.T</t>
  </si>
  <si>
    <t>Jichodo Co Ltd</t>
  </si>
  <si>
    <t>DLA.A</t>
  </si>
  <si>
    <t>Delta Apparel Inc</t>
  </si>
  <si>
    <t>ASIA.KL</t>
  </si>
  <si>
    <t>Asia Brands Bhd</t>
  </si>
  <si>
    <t>0986.HK</t>
  </si>
  <si>
    <t>China Environmental Energy Investment Ltd</t>
  </si>
  <si>
    <t>0330.HK</t>
  </si>
  <si>
    <t>Esprit Holdings Ltd</t>
  </si>
  <si>
    <t>SAFA.PSX</t>
  </si>
  <si>
    <t>Safa Textiles Ltd</t>
  </si>
  <si>
    <t>INTK.PSX</t>
  </si>
  <si>
    <t>International Knitwear Ltd</t>
  </si>
  <si>
    <t>MDMD.BO</t>
  </si>
  <si>
    <t>Mini Diamonds (India) Ltd</t>
  </si>
  <si>
    <t>TITN.NS</t>
  </si>
  <si>
    <t>Titan Company Ltd</t>
  </si>
  <si>
    <t>026040.KQ</t>
  </si>
  <si>
    <t>J.Estina Co Ltd</t>
  </si>
  <si>
    <t>8123.T</t>
  </si>
  <si>
    <t>T.Kawabe &amp; Co Ltd</t>
  </si>
  <si>
    <t>9980.T</t>
  </si>
  <si>
    <t>MRK Holdings Inc</t>
  </si>
  <si>
    <t>9982.T</t>
  </si>
  <si>
    <t>Takihyo Co Ltd</t>
  </si>
  <si>
    <t>0417.HK</t>
  </si>
  <si>
    <t>Tse Sui Luen Jewellery (International) Ltd</t>
  </si>
  <si>
    <t>ZODC.BO</t>
  </si>
  <si>
    <t>Zodiac-JRD-MKJ Ltd</t>
  </si>
  <si>
    <t>BHAI.NS</t>
  </si>
  <si>
    <t>Bhartiya International Ltd</t>
  </si>
  <si>
    <t>CTMN.BO</t>
  </si>
  <si>
    <t>Cityman Ltd</t>
  </si>
  <si>
    <t>GOLI.NS</t>
  </si>
  <si>
    <t>Goldiam International Ltd</t>
  </si>
  <si>
    <t>GDJ.BO</t>
  </si>
  <si>
    <t>Golkunda Diamonds and Jewellery Ltd</t>
  </si>
  <si>
    <t>RJNI.BO</t>
  </si>
  <si>
    <t>Rajnish Retail Ltd</t>
  </si>
  <si>
    <t>SHUK.BO</t>
  </si>
  <si>
    <t>Shukra Jewellery Ltd</t>
  </si>
  <si>
    <t>SPIL.BO</t>
  </si>
  <si>
    <t>Spenta International Ltd</t>
  </si>
  <si>
    <t>NARB.BO</t>
  </si>
  <si>
    <t>Narbada Gems and Jewellery Ltd</t>
  </si>
  <si>
    <t>VIRI.BO</t>
  </si>
  <si>
    <t>Virat Industries Ltd</t>
  </si>
  <si>
    <t>FBAP.PA</t>
  </si>
  <si>
    <t>Fashion B Air SA</t>
  </si>
  <si>
    <t>ELBr.AT</t>
  </si>
  <si>
    <t>Elve SA</t>
  </si>
  <si>
    <t>VART.ZA</t>
  </si>
  <si>
    <t>Varteks dd</t>
  </si>
  <si>
    <t>Croatia</t>
  </si>
  <si>
    <t>CTHR.OQ</t>
  </si>
  <si>
    <t>Charles &amp; Colvard Ltd</t>
  </si>
  <si>
    <t>7878.T</t>
  </si>
  <si>
    <t>Kohsai Co Ltd</t>
  </si>
  <si>
    <t>016450.KS</t>
  </si>
  <si>
    <t>Hansae Yes24 Holdings Co Ltd</t>
  </si>
  <si>
    <t>TALN.PK</t>
  </si>
  <si>
    <t>Talon International Inc</t>
  </si>
  <si>
    <t>600177.SS</t>
  </si>
  <si>
    <t>Youngor Fashion Co Ltd</t>
  </si>
  <si>
    <t>TFRLF.TA</t>
  </si>
  <si>
    <t>Tefron Ltd</t>
  </si>
  <si>
    <t>STTL.NS</t>
  </si>
  <si>
    <t>Sterling Tools Ltd</t>
  </si>
  <si>
    <t>MEKKO.HE</t>
  </si>
  <si>
    <t>Marimekko Oyj</t>
  </si>
  <si>
    <t>Finland</t>
  </si>
  <si>
    <t>7771.T</t>
  </si>
  <si>
    <t>Nihon Seimitsu Co Ltd</t>
  </si>
  <si>
    <t>NEWAb.ST</t>
  </si>
  <si>
    <t>New Wave Group AB</t>
  </si>
  <si>
    <t>Sweden</t>
  </si>
  <si>
    <t>5450.TWO</t>
  </si>
  <si>
    <t>Nam Liong Global Corp</t>
  </si>
  <si>
    <t>BBUI.PA</t>
  </si>
  <si>
    <t>Barbara Bui SA</t>
  </si>
  <si>
    <t>SSTU.PK</t>
  </si>
  <si>
    <t>Sandy Steele Unlimited Inc</t>
  </si>
  <si>
    <t>KGJI.PK</t>
  </si>
  <si>
    <t>Kingold Jewelry Inc</t>
  </si>
  <si>
    <t>VELD.BR</t>
  </si>
  <si>
    <t>Van de Velde NV</t>
  </si>
  <si>
    <t>Belgium</t>
  </si>
  <si>
    <t>RICY.JK</t>
  </si>
  <si>
    <t>Ricky Putra Globalindo Tbk PT</t>
  </si>
  <si>
    <t>GIL.TO</t>
  </si>
  <si>
    <t>Gildan Activewear Inc</t>
  </si>
  <si>
    <t>COLM.OQ</t>
  </si>
  <si>
    <t>Columbia Sportswear Co</t>
  </si>
  <si>
    <t>JAJP.PA</t>
  </si>
  <si>
    <t>Groupe JAJ SA</t>
  </si>
  <si>
    <t>VAKKO.IS</t>
  </si>
  <si>
    <t>Vakko Tekstil ve Hazir Giyim Sanayi Isletmeleri AS</t>
  </si>
  <si>
    <t>ASPA.SI</t>
  </si>
  <si>
    <t>Aspial Corporation Ltd</t>
  </si>
  <si>
    <t>Singapore</t>
  </si>
  <si>
    <t>7603.T</t>
  </si>
  <si>
    <t>Mac House Co Ltd</t>
  </si>
  <si>
    <t>0643.HK</t>
  </si>
  <si>
    <t>Carry Wealth Holdings Ltd</t>
  </si>
  <si>
    <t>036620.KQ</t>
  </si>
  <si>
    <t>Gamsung Corporation Co Ltd</t>
  </si>
  <si>
    <t>1100.HK</t>
  </si>
  <si>
    <t>Mainland Headwear Holdings Ltd</t>
  </si>
  <si>
    <t>8932.TWO</t>
  </si>
  <si>
    <t>Wiselink Co Ltd</t>
  </si>
  <si>
    <t>8048.HK</t>
  </si>
  <si>
    <t>Yu Tak International Holdings Ltd</t>
  </si>
  <si>
    <t>4413.TWO</t>
  </si>
  <si>
    <t>EST Global Apparel Co Ltd</t>
  </si>
  <si>
    <t>REXP.NS</t>
  </si>
  <si>
    <t>Rajesh Exports Ltd</t>
  </si>
  <si>
    <t>1476.TW</t>
  </si>
  <si>
    <t>Eclat Textile Co Ltd</t>
  </si>
  <si>
    <t>KTMG.SI</t>
  </si>
  <si>
    <t>KTMG Ltd</t>
  </si>
  <si>
    <t>600287.SS</t>
  </si>
  <si>
    <t>Jiangsu Sainty Corp Ltd</t>
  </si>
  <si>
    <t>600398.SS</t>
  </si>
  <si>
    <t>HLA GROUP CORP LTD</t>
  </si>
  <si>
    <t>GLB.AX</t>
  </si>
  <si>
    <t>Globe International Ltd</t>
  </si>
  <si>
    <t>BE0034169251.BR</t>
  </si>
  <si>
    <t>Old England SA</t>
  </si>
  <si>
    <t>EPN.BX</t>
  </si>
  <si>
    <t>Ema SA</t>
  </si>
  <si>
    <t>Romania</t>
  </si>
  <si>
    <t>047770.KQ</t>
  </si>
  <si>
    <t>Codes Combine Co Ltd</t>
  </si>
  <si>
    <t>GIL.HM</t>
  </si>
  <si>
    <t>BinhThanh Import Export Production and Trade JSC</t>
  </si>
  <si>
    <t>Vietnam</t>
  </si>
  <si>
    <t>013990.KQ</t>
  </si>
  <si>
    <t>Agabang &amp; Company</t>
  </si>
  <si>
    <t>0130.HK</t>
  </si>
  <si>
    <t>Moiselle International Holdings Ltd</t>
  </si>
  <si>
    <t>MIZA.BB</t>
  </si>
  <si>
    <t>Mizia 96 AD</t>
  </si>
  <si>
    <t>Bulgaria</t>
  </si>
  <si>
    <t>RDSL.BB</t>
  </si>
  <si>
    <t>Rodopska Slava AD</t>
  </si>
  <si>
    <t>9950.TWO</t>
  </si>
  <si>
    <t>Eminent Luggage Corp</t>
  </si>
  <si>
    <t>065060.KQ</t>
  </si>
  <si>
    <t>GNCO Co Ltd</t>
  </si>
  <si>
    <t>NICH.KL</t>
  </si>
  <si>
    <t>Niche Capital Emas Holdings Bhd</t>
  </si>
  <si>
    <t>ALDAR.PA</t>
  </si>
  <si>
    <t>Damartex SA</t>
  </si>
  <si>
    <t>1477.TW</t>
  </si>
  <si>
    <t>Makalot Industrial Co Ltd</t>
  </si>
  <si>
    <t>BRCR.BX</t>
  </si>
  <si>
    <t>Braiconf SA</t>
  </si>
  <si>
    <t>COVB.BX</t>
  </si>
  <si>
    <t>Confectii Vaslui SA</t>
  </si>
  <si>
    <t>064800.KQ</t>
  </si>
  <si>
    <t>GemVaxLink Co Ltd</t>
  </si>
  <si>
    <t>064090.KQ</t>
  </si>
  <si>
    <t>WestRise Co Ltd</t>
  </si>
  <si>
    <t>2776.T</t>
  </si>
  <si>
    <t>Shinto Holdings Inc</t>
  </si>
  <si>
    <t>CLAS.KL</t>
  </si>
  <si>
    <t>Classita Holdings Bhd</t>
  </si>
  <si>
    <t>2368.HK</t>
  </si>
  <si>
    <t>Eagle Nice (International) Holdings Ltd</t>
  </si>
  <si>
    <t>BLHI.PK</t>
  </si>
  <si>
    <t>Blue Holdings Inc</t>
  </si>
  <si>
    <t>MEYE.BO</t>
  </si>
  <si>
    <t>Meyer Apparel Ltd</t>
  </si>
  <si>
    <t>RDNP.WA</t>
  </si>
  <si>
    <t>Redan SA</t>
  </si>
  <si>
    <t>GLOA.KL</t>
  </si>
  <si>
    <t>G3 Global Bhd</t>
  </si>
  <si>
    <t>POHK.KL</t>
  </si>
  <si>
    <t>Poh Kong Holdings Bhd</t>
  </si>
  <si>
    <t>3320.T</t>
  </si>
  <si>
    <t>Cross Plus Inc</t>
  </si>
  <si>
    <t>DESA.IS</t>
  </si>
  <si>
    <t>Desa Deri Sanayi ve Ticaret AS</t>
  </si>
  <si>
    <t>2916.TWO</t>
  </si>
  <si>
    <t>Mun Sin Garment Corp</t>
  </si>
  <si>
    <t>002003.SZ</t>
  </si>
  <si>
    <t>Zhejiang Weixing Industrial Development Co Ltd</t>
  </si>
  <si>
    <t>011080.KQ</t>
  </si>
  <si>
    <t>Hyungji Innovation and Creative Co Ltd</t>
  </si>
  <si>
    <t>2331.HK</t>
  </si>
  <si>
    <t>Li Ning Co Ltd</t>
  </si>
  <si>
    <t>0311.HK</t>
  </si>
  <si>
    <t>Luen Thai Holdings Ltd</t>
  </si>
  <si>
    <t>002029.SZ</t>
  </si>
  <si>
    <t>Fujian Septwolves Industry Co Ltd</t>
  </si>
  <si>
    <t>ZAAG.PK</t>
  </si>
  <si>
    <t>ZA Group Inc</t>
  </si>
  <si>
    <t>MLONE.EUA</t>
  </si>
  <si>
    <t>Body One Lingerie SA</t>
  </si>
  <si>
    <t>APPM.PK</t>
  </si>
  <si>
    <t>Apparel Manufacturing Associates Inc</t>
  </si>
  <si>
    <t>BORG.ST</t>
  </si>
  <si>
    <t>Bjorn Borg AB</t>
  </si>
  <si>
    <t>CETH.KL</t>
  </si>
  <si>
    <t>Cheetah Holdings Bhd</t>
  </si>
  <si>
    <t>VIPC.NS</t>
  </si>
  <si>
    <t>VIP Clothing Ltd</t>
  </si>
  <si>
    <t>GOKL.NS</t>
  </si>
  <si>
    <t>Gokaldas Exports Ltd</t>
  </si>
  <si>
    <t>SUFF.PK</t>
  </si>
  <si>
    <t>Ophir Resources Co</t>
  </si>
  <si>
    <t>OROS.BO</t>
  </si>
  <si>
    <t>Orosil Smiths India Ltd</t>
  </si>
  <si>
    <t>SPND.NS</t>
  </si>
  <si>
    <t>SPL Industries Ltd</t>
  </si>
  <si>
    <t>CAQ.AX</t>
  </si>
  <si>
    <t>CAQ Holdings Ltd</t>
  </si>
  <si>
    <t>SWAM.BO</t>
  </si>
  <si>
    <t>Swarnsarita Jewels India Ltd</t>
  </si>
  <si>
    <t>SCOB.BO</t>
  </si>
  <si>
    <t>Scoobee Day Garments (India) Ltd</t>
  </si>
  <si>
    <t>ROYA.BO</t>
  </si>
  <si>
    <t>Royal India Corporation Ltd</t>
  </si>
  <si>
    <t>NEOG.BO</t>
  </si>
  <si>
    <t>Neogem India Ltd</t>
  </si>
  <si>
    <t>ANSH.BO</t>
  </si>
  <si>
    <t>Anshuni Commercials Ltd</t>
  </si>
  <si>
    <t>SOVN.BO</t>
  </si>
  <si>
    <t>Sovereign Diamonds Ltd</t>
  </si>
  <si>
    <t>BRFL.NS</t>
  </si>
  <si>
    <t>Bombay Rayon Fashions Ltd</t>
  </si>
  <si>
    <t>UAA.N</t>
  </si>
  <si>
    <t>Under Armour Inc</t>
  </si>
  <si>
    <t>SJCO.BO</t>
  </si>
  <si>
    <t>Sj Corporation Ltd</t>
  </si>
  <si>
    <t>KANN.NS</t>
  </si>
  <si>
    <t>Kanani Industries Ltd</t>
  </si>
  <si>
    <t>MINL.BO</t>
  </si>
  <si>
    <t>Minal Industries Ltd</t>
  </si>
  <si>
    <t>ESCM.KL</t>
  </si>
  <si>
    <t>ES Ceramics Technology Bhd</t>
  </si>
  <si>
    <t>3389.HK</t>
  </si>
  <si>
    <t>Hengdeli Holdings Ltd</t>
  </si>
  <si>
    <t>0444.HK</t>
  </si>
  <si>
    <t>Sincere Watch (Hong Kong) Ltd</t>
  </si>
  <si>
    <t>CELF.NS</t>
  </si>
  <si>
    <t>Celebrity Fashions Ltd</t>
  </si>
  <si>
    <t>CLFF.MI</t>
  </si>
  <si>
    <t>Caleffi SpA</t>
  </si>
  <si>
    <t>7829.T</t>
  </si>
  <si>
    <t>Samantha Thavasa Japan Ltd</t>
  </si>
  <si>
    <t>GLE.AX</t>
  </si>
  <si>
    <t>GLG Corp Ltd</t>
  </si>
  <si>
    <t>BGI.A</t>
  </si>
  <si>
    <t>Birks Group Inc</t>
  </si>
  <si>
    <t>2313.HK</t>
  </si>
  <si>
    <t>Shenzhou International Group Holdings Ltd</t>
  </si>
  <si>
    <t>SFLG.MI</t>
  </si>
  <si>
    <t>Safilo Group SpA</t>
  </si>
  <si>
    <t>3398.HK</t>
  </si>
  <si>
    <t>China Ting Group Holdings Ltd</t>
  </si>
  <si>
    <t>084870.KS</t>
  </si>
  <si>
    <t>TBH Global Co Ltd</t>
  </si>
  <si>
    <t>FIFA.BO</t>
  </si>
  <si>
    <t>Filatex Fashions Ltd</t>
  </si>
  <si>
    <t>GTGM.NS</t>
  </si>
  <si>
    <t>Gitanjali Gems Ltd</t>
  </si>
  <si>
    <t>SUUB.PK</t>
  </si>
  <si>
    <t>Sub-Urban Brands Inc</t>
  </si>
  <si>
    <t>KKCL.NS</t>
  </si>
  <si>
    <t>Kewal Kiran Clothing Ltd</t>
  </si>
  <si>
    <t>TCM.HM</t>
  </si>
  <si>
    <t>Thanh Cong Textile Garment Investment Trading JSC</t>
  </si>
  <si>
    <t>TIGH.BX</t>
  </si>
  <si>
    <t>Tarnava SA</t>
  </si>
  <si>
    <t>LGM.HNO</t>
  </si>
  <si>
    <t>Leather Footwear and Garment Making Exporting Corp</t>
  </si>
  <si>
    <t>088790.KS</t>
  </si>
  <si>
    <t>Jindo Co Ltd</t>
  </si>
  <si>
    <t>CNTE.BX</t>
  </si>
  <si>
    <t>Conted SA</t>
  </si>
  <si>
    <t>RENA.NS</t>
  </si>
  <si>
    <t>Renaissance Global Ltd</t>
  </si>
  <si>
    <t>NAPS.BEL</t>
  </si>
  <si>
    <t>Napredak ad Svilajnac</t>
  </si>
  <si>
    <t>Republic of Serbia</t>
  </si>
  <si>
    <t>3045.T</t>
  </si>
  <si>
    <t>Kawasaki &amp; Co Ltd</t>
  </si>
  <si>
    <t>PNGB.PK</t>
  </si>
  <si>
    <t>Panglobal Brands Inc</t>
  </si>
  <si>
    <t>2499.T</t>
  </si>
  <si>
    <t>Nihonwasou Holdings Inc</t>
  </si>
  <si>
    <t>HBI.N</t>
  </si>
  <si>
    <t>HanesBrands Inc</t>
  </si>
  <si>
    <t>3322.HK</t>
  </si>
  <si>
    <t>Win Hanverky Holdings Ltd</t>
  </si>
  <si>
    <t>ESYL.PK</t>
  </si>
  <si>
    <t>Easylink Solutions Corp</t>
  </si>
  <si>
    <t>LADI.BO</t>
  </si>
  <si>
    <t>Turner Industries Ltd</t>
  </si>
  <si>
    <t>MNB.HNO</t>
  </si>
  <si>
    <t>Nha Be Garment Corp JSC</t>
  </si>
  <si>
    <t>093050.KS</t>
  </si>
  <si>
    <t>LF Corp</t>
  </si>
  <si>
    <t>EAND.BO</t>
  </si>
  <si>
    <t>E-Land Apparel Ltd</t>
  </si>
  <si>
    <t>PGIL.NS</t>
  </si>
  <si>
    <t>Pearl Global Industries Ltd</t>
  </si>
  <si>
    <t>002098.SZ</t>
  </si>
  <si>
    <t>Fujian SBS Zipper Science and Technology Co Ltd</t>
  </si>
  <si>
    <t>GMC.HM</t>
  </si>
  <si>
    <t>Garmex Saigon Corp</t>
  </si>
  <si>
    <t>CFGH.CA</t>
  </si>
  <si>
    <t>Concrete Fashion Group for Commercial and Industrial investments SAE</t>
  </si>
  <si>
    <t>1388.HK</t>
  </si>
  <si>
    <t>Embry Holdings Ltd</t>
  </si>
  <si>
    <t>VIPO.NS</t>
  </si>
  <si>
    <t>Visagar Polytex Ltd</t>
  </si>
  <si>
    <t>PAGE.NS</t>
  </si>
  <si>
    <t>Page Industries Ltd</t>
  </si>
  <si>
    <t>JADA.PK</t>
  </si>
  <si>
    <t>Jadeart Group Inc</t>
  </si>
  <si>
    <t>DSIL.PSX</t>
  </si>
  <si>
    <t>D S Industries Ltd</t>
  </si>
  <si>
    <t>ATYM.PK</t>
  </si>
  <si>
    <t>Asia Time Corp</t>
  </si>
  <si>
    <t>TARL.BO</t>
  </si>
  <si>
    <t>Tavernier Resources Ltd</t>
  </si>
  <si>
    <t>DEIM.BO</t>
  </si>
  <si>
    <t>Devine Impex Ltd</t>
  </si>
  <si>
    <t>ZHCO.KL</t>
  </si>
  <si>
    <t>Zhulian Corp Bhd</t>
  </si>
  <si>
    <t>LULU.OQ</t>
  </si>
  <si>
    <t>Lululemon Athletica Inc</t>
  </si>
  <si>
    <t>BLCN.BEL</t>
  </si>
  <si>
    <t>Blacanka ad Prokuplje</t>
  </si>
  <si>
    <t>PRLI.BEL</t>
  </si>
  <si>
    <t>Proleter ad Ivanjica</t>
  </si>
  <si>
    <t>NOVT.BEL</t>
  </si>
  <si>
    <t>Novitet ad Novi Sad</t>
  </si>
  <si>
    <t>2020.HK</t>
  </si>
  <si>
    <t>ANTA Sports Products Ltd</t>
  </si>
  <si>
    <t>AEF.MI</t>
  </si>
  <si>
    <t>Aeffe SpA</t>
  </si>
  <si>
    <t>BANO.NS</t>
  </si>
  <si>
    <t>Bang Overseas Ltd</t>
  </si>
  <si>
    <t>002154.SZ</t>
  </si>
  <si>
    <t>Baoxiniao Holding Co Ltd</t>
  </si>
  <si>
    <t>FXCG.SI</t>
  </si>
  <si>
    <t>Fuxing China Group Ltd</t>
  </si>
  <si>
    <t>OTEK.MKE</t>
  </si>
  <si>
    <t>Oteks AD Ohrid</t>
  </si>
  <si>
    <t>Macedonia</t>
  </si>
  <si>
    <t>SABINA.BK</t>
  </si>
  <si>
    <t>Sabina PCL</t>
  </si>
  <si>
    <t>VGG.HNO</t>
  </si>
  <si>
    <t>Viet Tien Garment Corp</t>
  </si>
  <si>
    <t>3818.HK</t>
  </si>
  <si>
    <t>China Dongxiang (Group) Co Ltd</t>
  </si>
  <si>
    <t>3998.HK</t>
  </si>
  <si>
    <t>Bosideng International Holdings Ltd</t>
  </si>
  <si>
    <t>PQ.MI</t>
  </si>
  <si>
    <t>Piquadro SpA</t>
  </si>
  <si>
    <t>002193.SZ</t>
  </si>
  <si>
    <t>Shandong Ruyi Woolen Garment Group Co Ltd</t>
  </si>
  <si>
    <t>TNG.HN</t>
  </si>
  <si>
    <t>TNG Investment and Trading JSC</t>
  </si>
  <si>
    <t>JDTC.ZA</t>
  </si>
  <si>
    <t>Jadran dd</t>
  </si>
  <si>
    <t>EDSFF.PK</t>
  </si>
  <si>
    <t>Exceed Company Ltd</t>
  </si>
  <si>
    <t>STLC.DH</t>
  </si>
  <si>
    <t>Stylecraft Ltd</t>
  </si>
  <si>
    <t>Bangladesh</t>
  </si>
  <si>
    <t>DHGS.DH</t>
  </si>
  <si>
    <t>Desh Garments Ltd</t>
  </si>
  <si>
    <t>APES.DH</t>
  </si>
  <si>
    <t>Apex Spinning &amp; Knitting Mills Ltd</t>
  </si>
  <si>
    <t>HRTL.DH</t>
  </si>
  <si>
    <t>H.R. Textile Mills Ltd</t>
  </si>
  <si>
    <t>HAMI.DH</t>
  </si>
  <si>
    <t>Hami Industries PLC</t>
  </si>
  <si>
    <t>X20.HN</t>
  </si>
  <si>
    <t>X20 JSC</t>
  </si>
  <si>
    <t>102280.KS</t>
  </si>
  <si>
    <t>SBW</t>
  </si>
  <si>
    <t>DSCW.CA</t>
  </si>
  <si>
    <t>Dice Sports and Casual Wear SAE</t>
  </si>
  <si>
    <t>BRGO.PK</t>
  </si>
  <si>
    <t>Bergio International Inc</t>
  </si>
  <si>
    <t>MLSML.EUA</t>
  </si>
  <si>
    <t>Smalto SA</t>
  </si>
  <si>
    <t>002269.SZ</t>
  </si>
  <si>
    <t>Shanghai Metersbonwe Fashion&amp;Accessories Co Ltd</t>
  </si>
  <si>
    <t>HIST.BO</t>
  </si>
  <si>
    <t>High Street Filatex Ltd</t>
  </si>
  <si>
    <t>GNGR.PK</t>
  </si>
  <si>
    <t>Gunther Grant Inc</t>
  </si>
  <si>
    <t>HRT.WA</t>
  </si>
  <si>
    <t>Hurtimex SA</t>
  </si>
  <si>
    <t>098660.KQ</t>
  </si>
  <si>
    <t>STO Co Ltd</t>
  </si>
  <si>
    <t>GEMZ.PK</t>
  </si>
  <si>
    <t>GEMXX Corp</t>
  </si>
  <si>
    <t>OMVE.PK</t>
  </si>
  <si>
    <t>Omni Ventures Inc</t>
  </si>
  <si>
    <t>PNJ.HM</t>
  </si>
  <si>
    <t>Phu Nhuan Jewelry JSC</t>
  </si>
  <si>
    <t>105630.KS</t>
  </si>
  <si>
    <t>Hansae Co Ltd</t>
  </si>
  <si>
    <t>GLOB.SJ</t>
  </si>
  <si>
    <t>Globus Konfekcija dd Kiseljak</t>
  </si>
  <si>
    <t>Bosnia and Herzegovina</t>
  </si>
  <si>
    <t>UNEV.SJ</t>
  </si>
  <si>
    <t>Unevit dd Konjic</t>
  </si>
  <si>
    <t>MLDP.BEL</t>
  </si>
  <si>
    <t>Mladost ad Pozega</t>
  </si>
  <si>
    <t>AGNY.PK</t>
  </si>
  <si>
    <t>Agavenny Corp</t>
  </si>
  <si>
    <t>DECB.BJ</t>
  </si>
  <si>
    <t>22 Decembar ad Banja Luka</t>
  </si>
  <si>
    <t>INKS.BJ</t>
  </si>
  <si>
    <t>Inkos ad Berkovici</t>
  </si>
  <si>
    <t>JASN.BJ</t>
  </si>
  <si>
    <t>Jasna ad Rogatica u stecaju</t>
  </si>
  <si>
    <t>KPPR.BJ</t>
  </si>
  <si>
    <t>Konfekcija Pionir ad Prnjavor u stecaju</t>
  </si>
  <si>
    <t>KURJ.BJ</t>
  </si>
  <si>
    <t>Kurjak ad Bijeljina</t>
  </si>
  <si>
    <t>NSDM.BJ</t>
  </si>
  <si>
    <t>Nas Dom ad Banja Luka</t>
  </si>
  <si>
    <t>NOVT.BJ</t>
  </si>
  <si>
    <t>Novotex ad Trebinje u stecaju</t>
  </si>
  <si>
    <t>RIBN.BJ</t>
  </si>
  <si>
    <t>Ribnicanka ad Ribnik</t>
  </si>
  <si>
    <t>SLIN.BJ</t>
  </si>
  <si>
    <t>Sana Linea ad Kostajnica</t>
  </si>
  <si>
    <t>LKMS.BJ</t>
  </si>
  <si>
    <t>Lukom ad Samac</t>
  </si>
  <si>
    <t>SNEL.BJ</t>
  </si>
  <si>
    <t>Sana Elvis ad Novi Grad</t>
  </si>
  <si>
    <t>TENA.BJ</t>
  </si>
  <si>
    <t>Tena ad Teslic</t>
  </si>
  <si>
    <t>111770.KS</t>
  </si>
  <si>
    <t>Youngone Corp</t>
  </si>
  <si>
    <t>1234.HK</t>
  </si>
  <si>
    <t>China Lilang Ltd</t>
  </si>
  <si>
    <t>093240.KS</t>
  </si>
  <si>
    <t>Hyungji Elite Inc</t>
  </si>
  <si>
    <t>300005.SZ</t>
  </si>
  <si>
    <t>Toread Holdings Group Co Ltd</t>
  </si>
  <si>
    <t>CRIL.NS</t>
  </si>
  <si>
    <t>Cantabil Retail India Ltd</t>
  </si>
  <si>
    <t>GOEN.NS</t>
  </si>
  <si>
    <t>Goenka Diamond And Jewels Ltd</t>
  </si>
  <si>
    <t>MLFTI.EUA</t>
  </si>
  <si>
    <t>France Tourisme Immobilier SA</t>
  </si>
  <si>
    <t>TMW.HNO</t>
  </si>
  <si>
    <t>Tan Mai General Wood JSC</t>
  </si>
  <si>
    <t>PTG.HNO</t>
  </si>
  <si>
    <t>Phan Thiet Garment Import Export JSC</t>
  </si>
  <si>
    <t>002345.SZ</t>
  </si>
  <si>
    <t>Guangdong CHJ Industry Co Ltd</t>
  </si>
  <si>
    <t>TTG.HNO</t>
  </si>
  <si>
    <t>Thanh Tri Garment JSC</t>
  </si>
  <si>
    <t>TARA.MOT</t>
  </si>
  <si>
    <t>Castello Montenegro ad Pljevlja</t>
  </si>
  <si>
    <t>Republic of Montenegro</t>
  </si>
  <si>
    <t>TET.HN</t>
  </si>
  <si>
    <t>Northern Textiles And Garments JSC</t>
  </si>
  <si>
    <t>002404.SZ</t>
  </si>
  <si>
    <t>Zhejiang Jiaxin Silk Corp Ltd</t>
  </si>
  <si>
    <t>SKBL.BO</t>
  </si>
  <si>
    <t>Shukra Bullions Ltd</t>
  </si>
  <si>
    <t>4012.SE</t>
  </si>
  <si>
    <t>Thob Al Aseel Co SJSC</t>
  </si>
  <si>
    <t>Saudi Arabia</t>
  </si>
  <si>
    <t>1913.HK</t>
  </si>
  <si>
    <t>VRA.OQ</t>
  </si>
  <si>
    <t>Vera Bradley Inc</t>
  </si>
  <si>
    <t>VDN.HNO</t>
  </si>
  <si>
    <t>Vinatex DaNang JSC</t>
  </si>
  <si>
    <t>8404.TW</t>
  </si>
  <si>
    <t>Paiho Shih Holdings Corp</t>
  </si>
  <si>
    <t>PNDORA.CO</t>
  </si>
  <si>
    <t>Pandora A/S</t>
  </si>
  <si>
    <t>Denmark</t>
  </si>
  <si>
    <t>1682.HK</t>
  </si>
  <si>
    <t>Hang Pin Living Technology Co Ltd</t>
  </si>
  <si>
    <t>002569.SZ</t>
  </si>
  <si>
    <t>Zhejiang Busen Garments Co Ltd</t>
  </si>
  <si>
    <t>8269.HK</t>
  </si>
  <si>
    <t>Wealth Glory Holdings Ltd</t>
  </si>
  <si>
    <t>002494.SZ</t>
  </si>
  <si>
    <t>Huasi Holding Co Ltd</t>
  </si>
  <si>
    <t>5906.TW</t>
  </si>
  <si>
    <t>Tainan Enterprise (Cayman) Co Ltd</t>
  </si>
  <si>
    <t>LOVA.NS</t>
  </si>
  <si>
    <t>Lovable Lingerie Ltd</t>
  </si>
  <si>
    <t>DRCR.PK</t>
  </si>
  <si>
    <t>Dear Cashmere Group Holding Co</t>
  </si>
  <si>
    <t>2011.HK</t>
  </si>
  <si>
    <t>China Apex Group Ltd</t>
  </si>
  <si>
    <t>RYUh.V</t>
  </si>
  <si>
    <t>RYU Apparel Inc</t>
  </si>
  <si>
    <t>002563.SZ</t>
  </si>
  <si>
    <t>Zhejiang Semir Garment Co Ltd</t>
  </si>
  <si>
    <t>002574.SZ</t>
  </si>
  <si>
    <t>Zhejiang Ming Jewelry Co Ltd</t>
  </si>
  <si>
    <t>ITFL.NS</t>
  </si>
  <si>
    <t>Indian Terrain Fashions Ltd</t>
  </si>
  <si>
    <t>ZTTO.PK</t>
  </si>
  <si>
    <t>Zitto Inc</t>
  </si>
  <si>
    <t>601566.SS</t>
  </si>
  <si>
    <t>Joeone Co Ltd</t>
  </si>
  <si>
    <t>1929.HK</t>
  </si>
  <si>
    <t>Chow Tai Fook Jewellery Group Ltd</t>
  </si>
  <si>
    <t>IWAL.PK</t>
  </si>
  <si>
    <t>iwallet Corp</t>
  </si>
  <si>
    <t>SFER.MI</t>
  </si>
  <si>
    <t>Salvatore Ferragamo SpA</t>
  </si>
  <si>
    <t>069640.KS</t>
  </si>
  <si>
    <t>HansaeMK Co Ltd</t>
  </si>
  <si>
    <t>3608.T</t>
  </si>
  <si>
    <t>TSI Holdings Co Ltd</t>
  </si>
  <si>
    <t>1146.HK</t>
  </si>
  <si>
    <t>China Outfitters Holdings Ltd</t>
  </si>
  <si>
    <t>DAGI.IS</t>
  </si>
  <si>
    <t>Dagi Giyim Sanayi ve Ticaret AS</t>
  </si>
  <si>
    <t>1910.HK</t>
  </si>
  <si>
    <t>Samsonite International SA</t>
  </si>
  <si>
    <t>Luxembourg</t>
  </si>
  <si>
    <t>4011.SE</t>
  </si>
  <si>
    <t>L'azurde Company for Jewelry SJSC</t>
  </si>
  <si>
    <t>EAHP.WA</t>
  </si>
  <si>
    <t>Esotiq &amp; Henderson SA</t>
  </si>
  <si>
    <t>603518.SS</t>
  </si>
  <si>
    <t>Jinhong Fashion Group Co Ltd</t>
  </si>
  <si>
    <t>002612.SZ</t>
  </si>
  <si>
    <t>Lancy Co Ltd</t>
  </si>
  <si>
    <t>4432.TWO</t>
  </si>
  <si>
    <t>Hakers Enterprise Co Ltd</t>
  </si>
  <si>
    <t>2924.TWO</t>
  </si>
  <si>
    <t>Cayman Island Grand Galactica Corp Ltd</t>
  </si>
  <si>
    <t>RUCL.NS</t>
  </si>
  <si>
    <t>Rupa &amp; Company Ltd</t>
  </si>
  <si>
    <t>LEVI.N</t>
  </si>
  <si>
    <t>Levi Strauss &amp; Co</t>
  </si>
  <si>
    <t>002634.SZ</t>
  </si>
  <si>
    <t>Zhejiang Bangjie Holding Group Co Ltd</t>
  </si>
  <si>
    <t>VAKN.BO</t>
  </si>
  <si>
    <t>Vandana Knitwear Ltd</t>
  </si>
  <si>
    <t>PCJE.NS</t>
  </si>
  <si>
    <t>PC Jeweller Ltd</t>
  </si>
  <si>
    <t>002656.SZ</t>
  </si>
  <si>
    <t>Modern Avenue Group Co Ltd</t>
  </si>
  <si>
    <t>0844.HK</t>
  </si>
  <si>
    <t>Greatime International Holdings Ltd</t>
  </si>
  <si>
    <t>1023.HK</t>
  </si>
  <si>
    <t>Sitoy Group Holdings Ltd</t>
  </si>
  <si>
    <t>ZHIN.DH</t>
  </si>
  <si>
    <t>Zahintex Industries Ltd</t>
  </si>
  <si>
    <t>ATLJ.BO</t>
  </si>
  <si>
    <t>Atlas Jewellery India Ltd</t>
  </si>
  <si>
    <t>BCU.MI</t>
  </si>
  <si>
    <t>Brunello Cucinelli SpA</t>
  </si>
  <si>
    <t>MITR.BO</t>
  </si>
  <si>
    <t>Midas Infra Trade Ltd</t>
  </si>
  <si>
    <t>002731.SZ</t>
  </si>
  <si>
    <t>Shenyang Cuihua Gold and Silver Jewelry Co Ltd</t>
  </si>
  <si>
    <t>EDIN.MKE</t>
  </si>
  <si>
    <t>Edinstvo AD Strumica</t>
  </si>
  <si>
    <t>GECK.MKE</t>
  </si>
  <si>
    <t>Geras Cunev AD Strumica</t>
  </si>
  <si>
    <t>MODA.MKE</t>
  </si>
  <si>
    <t>Moda AD Sveti Nikole</t>
  </si>
  <si>
    <t>BIKF.MKE</t>
  </si>
  <si>
    <t>Tekstil Elma AD Prilep</t>
  </si>
  <si>
    <t>ZLRB.MKE</t>
  </si>
  <si>
    <t>Zlatara Rubin AD Skopje</t>
  </si>
  <si>
    <t>FROT.MKE</t>
  </si>
  <si>
    <t>Frotirka Company AD Delcevo</t>
  </si>
  <si>
    <t>EDST.MKE</t>
  </si>
  <si>
    <t>Konfekcija Edinstvo AD Struga</t>
  </si>
  <si>
    <t>002687.SZ</t>
  </si>
  <si>
    <t>Zhejiang Giuseppe Garment Co Ltd</t>
  </si>
  <si>
    <t>SURI.BO</t>
  </si>
  <si>
    <t>Equilateral Enterprises Ltd</t>
  </si>
  <si>
    <t>002721.SZ</t>
  </si>
  <si>
    <t>Beijing Kingee Culture Development Co Ltd</t>
  </si>
  <si>
    <t>TRIS.JK</t>
  </si>
  <si>
    <t>Trisula International Tbk PT</t>
  </si>
  <si>
    <t>IFA.TO</t>
  </si>
  <si>
    <t>iFabric Corp</t>
  </si>
  <si>
    <t>DISR.BO</t>
  </si>
  <si>
    <t>Disha Resources Ltd</t>
  </si>
  <si>
    <t>YORK.BO</t>
  </si>
  <si>
    <t>York Exports Ltd</t>
  </si>
  <si>
    <t>IMOS.ISX</t>
  </si>
  <si>
    <t>Modern Sewing Co</t>
  </si>
  <si>
    <t>Iraq</t>
  </si>
  <si>
    <t>IRMC.ISX</t>
  </si>
  <si>
    <t>Ready Made Clothes Co SA</t>
  </si>
  <si>
    <t>LYPS.NS</t>
  </si>
  <si>
    <t>Lypsa Gems &amp; Jewellery Ltd</t>
  </si>
  <si>
    <t>SFK.WA</t>
  </si>
  <si>
    <t>Skoczkowska Fabryka Kapeluszy Polkap SA</t>
  </si>
  <si>
    <t>MOCF.NS</t>
  </si>
  <si>
    <t>Monte Carlo Fashions Ltd</t>
  </si>
  <si>
    <t>PSDTC.IS</t>
  </si>
  <si>
    <t>Pergamon Status Dis Ticaret AS</t>
  </si>
  <si>
    <t>2033.HK</t>
  </si>
  <si>
    <t>Time Watch Investments Ltd</t>
  </si>
  <si>
    <t>0540.HK</t>
  </si>
  <si>
    <t>Speedy Global Holdings Ltd</t>
  </si>
  <si>
    <t>JXJT.OQ</t>
  </si>
  <si>
    <t>JX Luxventure Ltd</t>
  </si>
  <si>
    <t>ASHP.NS</t>
  </si>
  <si>
    <t>Ashapura Intimates Fashion Ltd</t>
  </si>
  <si>
    <t>ARGO.DH</t>
  </si>
  <si>
    <t>Argon Denims Ltd</t>
  </si>
  <si>
    <t>MC.BK</t>
  </si>
  <si>
    <t>MC Group PCL</t>
  </si>
  <si>
    <t>MDNL.PK</t>
  </si>
  <si>
    <t>Maiden Lane Jewelry Ltd</t>
  </si>
  <si>
    <t>NBL.TN</t>
  </si>
  <si>
    <t>Ste New Body Line SA</t>
  </si>
  <si>
    <t>Tunisia</t>
  </si>
  <si>
    <t>IINT.MI</t>
  </si>
  <si>
    <t>IIG SpA in Liquidazione</t>
  </si>
  <si>
    <t>FAML.DH</t>
  </si>
  <si>
    <t>Familytex (BD) Ltd</t>
  </si>
  <si>
    <t>6116.HK</t>
  </si>
  <si>
    <t>Xinjiang La Chapelle Fashion Co Ltd</t>
  </si>
  <si>
    <t>2030.HK</t>
  </si>
  <si>
    <t>Cabbeen Fashion Ltd</t>
  </si>
  <si>
    <t>1520.HK</t>
  </si>
  <si>
    <t>Virtual Mind Holding Co Ltd</t>
  </si>
  <si>
    <t>2929.TW</t>
  </si>
  <si>
    <t>TOPBI International Holdings Ltd</t>
  </si>
  <si>
    <t>1247.HK</t>
  </si>
  <si>
    <t>Miko International Holdings Ltd</t>
  </si>
  <si>
    <t>GOV.MNE</t>
  </si>
  <si>
    <t>Gobi Corp</t>
  </si>
  <si>
    <t>Mongolia</t>
  </si>
  <si>
    <t>002763.SZ</t>
  </si>
  <si>
    <t>Shenzhen Huijie Group Co Ltd</t>
  </si>
  <si>
    <t>603558.SS</t>
  </si>
  <si>
    <t>Zhejiang Jasan Holding Group Co Ltd</t>
  </si>
  <si>
    <t>FARE.DH</t>
  </si>
  <si>
    <t>Far East Knitting &amp; Dyeing Ltd</t>
  </si>
  <si>
    <t>002832.SZ</t>
  </si>
  <si>
    <t>BIEM.L.FDLKK Garment Co Ltd</t>
  </si>
  <si>
    <t>002762.SZ</t>
  </si>
  <si>
    <t>Jinfa Labi Maternity &amp; Baby Articles Co Ltd</t>
  </si>
  <si>
    <t>1400.HK</t>
  </si>
  <si>
    <t>Moody Technology Holdings Ltd</t>
  </si>
  <si>
    <t>2298.HK</t>
  </si>
  <si>
    <t>Cosmo Lady (China) Holdings Co Ltd</t>
  </si>
  <si>
    <t>1856.HK</t>
  </si>
  <si>
    <t>Ernest Borel Holdings Ltd</t>
  </si>
  <si>
    <t>CRML.BO</t>
  </si>
  <si>
    <t>Creative Merchants Ltd</t>
  </si>
  <si>
    <t>YAAN.BO</t>
  </si>
  <si>
    <t>Yaan Enterprises Ltd</t>
  </si>
  <si>
    <t>003016.SZ</t>
  </si>
  <si>
    <t>Xin Hee Co Ltd</t>
  </si>
  <si>
    <t>SSOK.PK</t>
  </si>
  <si>
    <t>Sunstock Inc</t>
  </si>
  <si>
    <t>OVS.MI</t>
  </si>
  <si>
    <t>OVS SpA</t>
  </si>
  <si>
    <t>1466.HK</t>
  </si>
  <si>
    <t>Affluent Partners Holdings Ltd</t>
  </si>
  <si>
    <t>PDSL.NS</t>
  </si>
  <si>
    <t>PDS Limited</t>
  </si>
  <si>
    <t>CDLP.WA</t>
  </si>
  <si>
    <t>CDRL SA</t>
  </si>
  <si>
    <t>002867.SZ</t>
  </si>
  <si>
    <t>Chow Tai Seng Jewellery Co Ltd</t>
  </si>
  <si>
    <t>603839.SS</t>
  </si>
  <si>
    <t>Anzheng Fashion Group Co Ltd</t>
  </si>
  <si>
    <t>SYMB.BO</t>
  </si>
  <si>
    <t>Symbiox Investment &amp; Trading Co Ltd</t>
  </si>
  <si>
    <t>603665.SS</t>
  </si>
  <si>
    <t>ZheJiang KangLongDa Special Protection Technology Co Ltd</t>
  </si>
  <si>
    <t>1327.HK</t>
  </si>
  <si>
    <t>Luxxu Group Ltd</t>
  </si>
  <si>
    <t>1027.HK</t>
  </si>
  <si>
    <t>China Jicheng Holdings Ltd</t>
  </si>
  <si>
    <t>0442.HK</t>
  </si>
  <si>
    <t>Domaine Power Holdings Ltd</t>
  </si>
  <si>
    <t>BRKO.PK</t>
  </si>
  <si>
    <t>Broke Out Inc</t>
  </si>
  <si>
    <t>SUPM.NS</t>
  </si>
  <si>
    <t>Supreme (India) Impex Ltd</t>
  </si>
  <si>
    <t>GARA.BO</t>
  </si>
  <si>
    <t>Garment Mantra Lifestyle Ltd</t>
  </si>
  <si>
    <t>300577.SZ</t>
  </si>
  <si>
    <t>Anhui Korrun Co Ltd</t>
  </si>
  <si>
    <t>PNTH.BO</t>
  </si>
  <si>
    <t>Panth Infinity Ltd</t>
  </si>
  <si>
    <t>ELBG.DE</t>
  </si>
  <si>
    <t>elumeo SE</t>
  </si>
  <si>
    <t>111110.KS</t>
  </si>
  <si>
    <t>Hojeon Ltd</t>
  </si>
  <si>
    <t>TOSR.DH</t>
  </si>
  <si>
    <t>Tosrifa Industries Ltd</t>
  </si>
  <si>
    <t>4438.TW</t>
  </si>
  <si>
    <t>Quang Viet Enterprise Co Ltd</t>
  </si>
  <si>
    <t>MONNA.MI</t>
  </si>
  <si>
    <t>Monnalisa SpA</t>
  </si>
  <si>
    <t>SENC.NS</t>
  </si>
  <si>
    <t>Senco Gold Ltd</t>
  </si>
  <si>
    <t>225590.KQ</t>
  </si>
  <si>
    <t>Fashion Platform Co Ltd</t>
  </si>
  <si>
    <t>PAJL.BO</t>
  </si>
  <si>
    <t>Patdiam Jewellery Ltd</t>
  </si>
  <si>
    <t>2199.HK</t>
  </si>
  <si>
    <t>Regina Miracle International (Holdings) Ltd</t>
  </si>
  <si>
    <t>1532.HK</t>
  </si>
  <si>
    <t>China Partytime Culture Holdings Ltd</t>
  </si>
  <si>
    <t>DLTH.OQ</t>
  </si>
  <si>
    <t>Duluth Holdings Inc</t>
  </si>
  <si>
    <t>WTN.WA</t>
  </si>
  <si>
    <t>Wittchen SA</t>
  </si>
  <si>
    <t>603196.SS</t>
  </si>
  <si>
    <t>Ribo Fashion Group Co Ltd</t>
  </si>
  <si>
    <t>SPAP.NS</t>
  </si>
  <si>
    <t>S.P.Apparels Ltd</t>
  </si>
  <si>
    <t>603587.SS</t>
  </si>
  <si>
    <t>Dazzle Fashion Co Ltd</t>
  </si>
  <si>
    <t>LUXI.NS</t>
  </si>
  <si>
    <t>Lux Industries Ltd</t>
  </si>
  <si>
    <t>MLCLI.EUA</t>
  </si>
  <si>
    <t>Maison Clio Blue SA</t>
  </si>
  <si>
    <t>DARH.BO</t>
  </si>
  <si>
    <t>Darshan Orna Ltd</t>
  </si>
  <si>
    <t>UDAY.BO</t>
  </si>
  <si>
    <t>Uday Jewellery Industries Ltd</t>
  </si>
  <si>
    <t>194370.KS</t>
  </si>
  <si>
    <t>JS Corp</t>
  </si>
  <si>
    <t>3326.HK</t>
  </si>
  <si>
    <t>Perfect Group International Holdings Ltd</t>
  </si>
  <si>
    <t>DEED.BO</t>
  </si>
  <si>
    <t>Deep Diamond India Ltd</t>
  </si>
  <si>
    <t>MPT.HNO</t>
  </si>
  <si>
    <t>MPT Group JSC</t>
  </si>
  <si>
    <t>ACEM.BO</t>
  </si>
  <si>
    <t>Ace men engg works Ltd</t>
  </si>
  <si>
    <t>1982.HK</t>
  </si>
  <si>
    <t>Nameson Holdings Ltd</t>
  </si>
  <si>
    <t>BDG.HNO</t>
  </si>
  <si>
    <t>Protrade Garment JSC</t>
  </si>
  <si>
    <t>EVIN.DH</t>
  </si>
  <si>
    <t>Evince Textiles Ltd</t>
  </si>
  <si>
    <t>8187.HK</t>
  </si>
  <si>
    <t>Jimu Group Ltd</t>
  </si>
  <si>
    <t>8442.TW</t>
  </si>
  <si>
    <t>WW Holding Inc</t>
  </si>
  <si>
    <t>Cayman Islands</t>
  </si>
  <si>
    <t>230360.KQ</t>
  </si>
  <si>
    <t>Echo Marketing Co Ltd</t>
  </si>
  <si>
    <t>3306.HK</t>
  </si>
  <si>
    <t>JNBY Design Ltd</t>
  </si>
  <si>
    <t>DBI.VI</t>
  </si>
  <si>
    <t>Dr Bock Industries AG</t>
  </si>
  <si>
    <t>3860.HK</t>
  </si>
  <si>
    <t>EPS Creative Health Technology Group Ltd</t>
  </si>
  <si>
    <t>8297.HK</t>
  </si>
  <si>
    <t>Ocean Star Technology Group Ltd</t>
  </si>
  <si>
    <t>1657.HK</t>
  </si>
  <si>
    <t>SG Group Holdings Ltd</t>
  </si>
  <si>
    <t>JETK.NS</t>
  </si>
  <si>
    <t>Jet Knitwears Ltd</t>
  </si>
  <si>
    <t>NANA.NS</t>
  </si>
  <si>
    <t>Nandani Creation Ltd</t>
  </si>
  <si>
    <t>SUPN.BO</t>
  </si>
  <si>
    <t>Super Fine Knitters Ltd</t>
  </si>
  <si>
    <t>3550.T</t>
  </si>
  <si>
    <t>Studio Atao Co Ltd</t>
  </si>
  <si>
    <t>NIRA.NS</t>
  </si>
  <si>
    <t>Niraj Ispat Industries Ltd</t>
  </si>
  <si>
    <t>4807.TW</t>
  </si>
  <si>
    <t>Regal Holding Co Ltd</t>
  </si>
  <si>
    <t>FOPE.MI</t>
  </si>
  <si>
    <t>Fope SpA</t>
  </si>
  <si>
    <t>FRAN.BO</t>
  </si>
  <si>
    <t>Franklin Industries Ltd</t>
  </si>
  <si>
    <t>1749.HK</t>
  </si>
  <si>
    <t>Shanshan Brand Management Co Ltd</t>
  </si>
  <si>
    <t>NEWL.BO</t>
  </si>
  <si>
    <t>New Light Apparels Ltd</t>
  </si>
  <si>
    <t>GOOS.TO</t>
  </si>
  <si>
    <t>Canada Goose Holdings Inc</t>
  </si>
  <si>
    <t>2232.HK</t>
  </si>
  <si>
    <t>Crystal International Group Ltd</t>
  </si>
  <si>
    <t>8471.HK</t>
  </si>
  <si>
    <t>Reach New Holdings Ltd</t>
  </si>
  <si>
    <t>STAP.BO</t>
  </si>
  <si>
    <t>StarlinePS Enterprises Ltd</t>
  </si>
  <si>
    <t>BHAS.BO</t>
  </si>
  <si>
    <t>Bhakti Gems and Jewellery Ltd</t>
  </si>
  <si>
    <t>DLLA.NS</t>
  </si>
  <si>
    <t>Dollar Industries Ltd</t>
  </si>
  <si>
    <t>PARE.BO</t>
  </si>
  <si>
    <t>Parmeshwari Silk Mills Ltd</t>
  </si>
  <si>
    <t>HRTA.JK</t>
  </si>
  <si>
    <t>Hartadinata Abadi Tbk PT</t>
  </si>
  <si>
    <t>GLOX.NS</t>
  </si>
  <si>
    <t>Globe Textiles (India) Ltd</t>
  </si>
  <si>
    <t>HTG.HM</t>
  </si>
  <si>
    <t>Hoa Tho Textile - Garment Joint Stock Corp</t>
  </si>
  <si>
    <t>3566.T</t>
  </si>
  <si>
    <t>Uniform Next Co Ltd</t>
  </si>
  <si>
    <t>7810.T</t>
  </si>
  <si>
    <t>Crossfor Co Ltd</t>
  </si>
  <si>
    <t>YJGJ.PK</t>
  </si>
  <si>
    <t>Yijia Group Corp</t>
  </si>
  <si>
    <t>PENA.NS</t>
  </si>
  <si>
    <t>Penta Gold Ltd</t>
  </si>
  <si>
    <t>2683.HK</t>
  </si>
  <si>
    <t>Wah Sun Handbags International Holdings Ltd</t>
  </si>
  <si>
    <t>8285.HK</t>
  </si>
  <si>
    <t>Sling Group Holdings Ltd</t>
  </si>
  <si>
    <t>8456.HK</t>
  </si>
  <si>
    <t>Mansion International Holdings Ltd</t>
  </si>
  <si>
    <t>QUIZ.L</t>
  </si>
  <si>
    <t>QUIZ PLC</t>
  </si>
  <si>
    <t>1825.HK</t>
  </si>
  <si>
    <t>Sterling Group Holdings Ltd</t>
  </si>
  <si>
    <t>8107.HK</t>
  </si>
  <si>
    <t>Vision International Holdings Ltd</t>
  </si>
  <si>
    <t>SGAR.BO</t>
  </si>
  <si>
    <t>Sagar Diamonds Ltd</t>
  </si>
  <si>
    <t>8507.HK</t>
  </si>
  <si>
    <t>i.century Holding Ltd</t>
  </si>
  <si>
    <t>LORE.NS</t>
  </si>
  <si>
    <t>Lorenzini Apparels Ltd</t>
  </si>
  <si>
    <t>MGG.HNO</t>
  </si>
  <si>
    <t>Duc Giang Corp</t>
  </si>
  <si>
    <t>MOKS.NS</t>
  </si>
  <si>
    <t>Moksh Ornaments Ltd</t>
  </si>
  <si>
    <t>3611.T</t>
  </si>
  <si>
    <t>Matsuoka Corp</t>
  </si>
  <si>
    <t>ENCH.BO</t>
  </si>
  <si>
    <t>Enchante Jewellery Ltd</t>
  </si>
  <si>
    <t>HNI.HNO</t>
  </si>
  <si>
    <t>Huunghi Garment JSC</t>
  </si>
  <si>
    <t>267790.KQ</t>
  </si>
  <si>
    <t>Barrel Co Ltd</t>
  </si>
  <si>
    <t>DOGZ.OQ</t>
  </si>
  <si>
    <t>Dogness International Corp</t>
  </si>
  <si>
    <t>HUG.HNO</t>
  </si>
  <si>
    <t>Hung Yen Garment Corp JSC</t>
  </si>
  <si>
    <t>BRAN.NS</t>
  </si>
  <si>
    <t>Brand Concepts Ltd</t>
  </si>
  <si>
    <t>GATA.BO</t>
  </si>
  <si>
    <t>Gautam Gems Ltd</t>
  </si>
  <si>
    <t>KENV.BO</t>
  </si>
  <si>
    <t>Kenvi Jewels Ltd</t>
  </si>
  <si>
    <t>M10.HNO</t>
  </si>
  <si>
    <t>Garment 10 Corp - JSC</t>
  </si>
  <si>
    <t>AG1.HNO</t>
  </si>
  <si>
    <t>28.1 JSC</t>
  </si>
  <si>
    <t>ACTI.BO</t>
  </si>
  <si>
    <t>Active Clothing Co Ltd</t>
  </si>
  <si>
    <t>CHAR.BO</t>
  </si>
  <si>
    <t>Chandrima Mercantiles Ltd</t>
  </si>
  <si>
    <t>UHZA.BO</t>
  </si>
  <si>
    <t>U H Zaveri Ltd</t>
  </si>
  <si>
    <t>8219.HK</t>
  </si>
  <si>
    <t>Hanvey Group Holdings Ltd</t>
  </si>
  <si>
    <t>SUUM.NS</t>
  </si>
  <si>
    <t>Suumaya Industries Ltd</t>
  </si>
  <si>
    <t>TCNS.NS</t>
  </si>
  <si>
    <t>TCNS Clothing Co Ltd</t>
  </si>
  <si>
    <t>SONT.NS</t>
  </si>
  <si>
    <t>Sonam Ltd</t>
  </si>
  <si>
    <t>1842.HK</t>
  </si>
  <si>
    <t>Grown Up Group Investment Holdings Ltd</t>
  </si>
  <si>
    <t>PALJ.BO</t>
  </si>
  <si>
    <t>Palm Jewels Limited</t>
  </si>
  <si>
    <t>LAXI.NS</t>
  </si>
  <si>
    <t>Laxmi Goldorna House Ltd</t>
  </si>
  <si>
    <t>299670.KN</t>
  </si>
  <si>
    <t>SMVina Co Ltd</t>
  </si>
  <si>
    <t>1731.HK</t>
  </si>
  <si>
    <t>Prosperous Industrial (Holdings) Ltd</t>
  </si>
  <si>
    <t>204020.KQ</t>
  </si>
  <si>
    <t>Gritee Inc</t>
  </si>
  <si>
    <t>TDT.HN</t>
  </si>
  <si>
    <t>TDT Investment and Development JSC</t>
  </si>
  <si>
    <t>9275.T</t>
  </si>
  <si>
    <t>Narumiya International Co Ltd</t>
  </si>
  <si>
    <t>SMGO.BO</t>
  </si>
  <si>
    <t>S M Gold Ltd</t>
  </si>
  <si>
    <t>SILG.NS</t>
  </si>
  <si>
    <t>Silgo Retail Ltd</t>
  </si>
  <si>
    <t>110790.KQ</t>
  </si>
  <si>
    <t>Creas F&amp;C Co Ltd</t>
  </si>
  <si>
    <t>SKYG.NS</t>
  </si>
  <si>
    <t>Sky Gold Ltd</t>
  </si>
  <si>
    <t>IRIC.NS</t>
  </si>
  <si>
    <t>Iris Clothings Ltd</t>
  </si>
  <si>
    <t>8537.HK</t>
  </si>
  <si>
    <t>Chong Fai Jewellery Group Holdings Co Ltd</t>
  </si>
  <si>
    <t>DM7.HNO</t>
  </si>
  <si>
    <t>Det May 7 JSC</t>
  </si>
  <si>
    <t>1025.HK</t>
  </si>
  <si>
    <t>KNT Holdings Ltd</t>
  </si>
  <si>
    <t>NEWL.DH</t>
  </si>
  <si>
    <t>New Line Clothings Ltd</t>
  </si>
  <si>
    <t>DCG.HNO</t>
  </si>
  <si>
    <t>Dapcau Garment Corp JSC</t>
  </si>
  <si>
    <t>BMG.HNO</t>
  </si>
  <si>
    <t>Binh Minh Garment JSC</t>
  </si>
  <si>
    <t>1425.HK</t>
  </si>
  <si>
    <t>Justin Allen Holdings Ltd</t>
  </si>
  <si>
    <t>SKIN.BO</t>
  </si>
  <si>
    <t>SK International Export Ltd</t>
  </si>
  <si>
    <t>ASHD.BO</t>
  </si>
  <si>
    <t>Ashapuri Gold Ornament Ltd</t>
  </si>
  <si>
    <t>1346.HK</t>
  </si>
  <si>
    <t>Lever Style Corp</t>
  </si>
  <si>
    <t>INTR.PSX</t>
  </si>
  <si>
    <t>Interloop Ltd</t>
  </si>
  <si>
    <t>1906.HK</t>
  </si>
  <si>
    <t>Bonny International Holding Ltd</t>
  </si>
  <si>
    <t>PAHV.BO</t>
  </si>
  <si>
    <t>Parshva Enterprises Ltd</t>
  </si>
  <si>
    <t>CETE.KL</t>
  </si>
  <si>
    <t>CE Technology Bhd</t>
  </si>
  <si>
    <t>1957.HK</t>
  </si>
  <si>
    <t>MBV International Ltd</t>
  </si>
  <si>
    <t>308100.KQ</t>
  </si>
  <si>
    <t>Castelbajac Co Ltd</t>
  </si>
  <si>
    <t>KTB.N</t>
  </si>
  <si>
    <t>Kontoor Brands Inc</t>
  </si>
  <si>
    <t>323230.KQ</t>
  </si>
  <si>
    <t>MFM Korea Co Ltd</t>
  </si>
  <si>
    <t>300840.SZ</t>
  </si>
  <si>
    <t>Qingdao Kutesmart Co Ltd</t>
  </si>
  <si>
    <t>POLU.JK</t>
  </si>
  <si>
    <t>Golden Flower Tbk PT</t>
  </si>
  <si>
    <t>300952.SZ</t>
  </si>
  <si>
    <t>Jiangsu Hanvo Safety Product Co Ltd</t>
  </si>
  <si>
    <t>GOIN.KL</t>
  </si>
  <si>
    <t>Go Innovate Asia Bhd</t>
  </si>
  <si>
    <t>PTRN.MI</t>
  </si>
  <si>
    <t>Pattern SpA</t>
  </si>
  <si>
    <t>GOBL.BO</t>
  </si>
  <si>
    <t>Goblin India Ltd</t>
  </si>
  <si>
    <t>GOLA.NS</t>
  </si>
  <si>
    <t>Goldkart Jewels Ltd</t>
  </si>
  <si>
    <t>ALPER.PA</t>
  </si>
  <si>
    <t>La Perla Fashion Holding NV</t>
  </si>
  <si>
    <t>Netherlands</t>
  </si>
  <si>
    <t>306040.KQ</t>
  </si>
  <si>
    <t>SJ Group Co Ltd</t>
  </si>
  <si>
    <t>VIVA3.SA</t>
  </si>
  <si>
    <t>Vivara Participacoes SA</t>
  </si>
  <si>
    <t>4439.TW</t>
  </si>
  <si>
    <t>TST Group Holding Ltd</t>
  </si>
  <si>
    <t>GISM.MI</t>
  </si>
  <si>
    <t>Gismondi 1754 SpA</t>
  </si>
  <si>
    <t>HCB.HNO</t>
  </si>
  <si>
    <t>March 29 Textile Garment JSC</t>
  </si>
  <si>
    <t>ROJW.BO</t>
  </si>
  <si>
    <t>RO Jewels Ltd</t>
  </si>
  <si>
    <t>PNWP.WA</t>
  </si>
  <si>
    <t>Plantwear SA</t>
  </si>
  <si>
    <t>TITG.LJ</t>
  </si>
  <si>
    <t>Trio dd Trzic</t>
  </si>
  <si>
    <t>Slovenia</t>
  </si>
  <si>
    <t>BILW.BO</t>
  </si>
  <si>
    <t>Billwin Industries Ltd</t>
  </si>
  <si>
    <t>600916.SS</t>
  </si>
  <si>
    <t>China National Gold Group Gold Jewellery Co Ltd</t>
  </si>
  <si>
    <t>298540.KQ</t>
  </si>
  <si>
    <t>The Nature Holdings Co Ltd</t>
  </si>
  <si>
    <t>337930.KQ</t>
  </si>
  <si>
    <t>Brand X Co Ltd</t>
  </si>
  <si>
    <t>605599.SS</t>
  </si>
  <si>
    <t>Beijing Caishikou Department Store Co Ltd</t>
  </si>
  <si>
    <t>301177.SZ</t>
  </si>
  <si>
    <t>Dr Corp Ltd</t>
  </si>
  <si>
    <t>301066.SZ</t>
  </si>
  <si>
    <t>Hangzhou Wensli Silk Culture Co Ltd</t>
  </si>
  <si>
    <t>603511.SS</t>
  </si>
  <si>
    <t>Aimer Co Ltd</t>
  </si>
  <si>
    <t>605138.SS</t>
  </si>
  <si>
    <t>Sunrise Manufacture Group Co Ltd</t>
  </si>
  <si>
    <t>001209.SZ</t>
  </si>
  <si>
    <t>Guangdong Hongxing Industrial Co Ltd</t>
  </si>
  <si>
    <t>SKFG.PK</t>
  </si>
  <si>
    <t>Stark Focus Group Inc</t>
  </si>
  <si>
    <t>AAT.HM</t>
  </si>
  <si>
    <t>Tien Son Thanh Hoa Group JSC</t>
  </si>
  <si>
    <t>NANV.BO</t>
  </si>
  <si>
    <t>Nanavati Ventures Ltd</t>
  </si>
  <si>
    <t>383220.KS</t>
  </si>
  <si>
    <t>F&amp;F Co Ltd</t>
  </si>
  <si>
    <t>7792.T</t>
  </si>
  <si>
    <t>Colan Totte Co Ltd</t>
  </si>
  <si>
    <t>4JQ.D</t>
  </si>
  <si>
    <t>heygold SE</t>
  </si>
  <si>
    <t>7126.T</t>
  </si>
  <si>
    <t>Global Style Co Ltd</t>
  </si>
  <si>
    <t>YXPR.KL</t>
  </si>
  <si>
    <t>YX Precious Metals Bhd</t>
  </si>
  <si>
    <t>SGI.HNO</t>
  </si>
  <si>
    <t>Saigon3 Group Investment Development JSC</t>
  </si>
  <si>
    <t>FOCE.NS</t>
  </si>
  <si>
    <t>Foce India Ltd</t>
  </si>
  <si>
    <t>RENT.OQ</t>
  </si>
  <si>
    <t>Rent the Runway Inc</t>
  </si>
  <si>
    <t>001234.SZ</t>
  </si>
  <si>
    <t>Jiangsu Times Textile Technology Co Ltd</t>
  </si>
  <si>
    <t>ZGN.N</t>
  </si>
  <si>
    <t>Ermenegildo Zegna NV</t>
  </si>
  <si>
    <t>HELA.CM</t>
  </si>
  <si>
    <t>Hela Apparel Holdings PLC</t>
  </si>
  <si>
    <t>4441.TWO</t>
  </si>
  <si>
    <t>Great Giant Fibre Garment Co Ltd</t>
  </si>
  <si>
    <t>SUWEN.IS</t>
  </si>
  <si>
    <t>Suwen Tekstil Sanayi Pazarlama AS</t>
  </si>
  <si>
    <t>EIGH.BO</t>
  </si>
  <si>
    <t>Eighty Jewellers Ltd</t>
  </si>
  <si>
    <t>366030.KQ</t>
  </si>
  <si>
    <t>09Women Co Ltd</t>
  </si>
  <si>
    <t>ENSRI.IS</t>
  </si>
  <si>
    <t>Ensari Deri Gida Sanayi ve Ticaret AS</t>
  </si>
  <si>
    <t>SUNTK.IS</t>
  </si>
  <si>
    <t>Sun Tekstil Sanayi Ve Ticaret AS</t>
  </si>
  <si>
    <t>JEWL.OQ</t>
  </si>
  <si>
    <t>Adamas One Corp</t>
  </si>
  <si>
    <t>MTWm.BK</t>
  </si>
  <si>
    <t>Maketowin Holding Public Co Ltd</t>
  </si>
  <si>
    <t>001222.SZ</t>
  </si>
  <si>
    <t>Wenzhou Yuanfei pet toy products Co Ltd</t>
  </si>
  <si>
    <t>301276.SZ</t>
  </si>
  <si>
    <t>Beijing Jiaman Dress Co Ltd</t>
  </si>
  <si>
    <t>7112.T</t>
  </si>
  <si>
    <t>Cube Co Ltd (Minato)</t>
  </si>
  <si>
    <t>JIWA.NS</t>
  </si>
  <si>
    <t>Jiwanram Sheoduttrai Industries Ltd</t>
  </si>
  <si>
    <t>ZATA.JK</t>
  </si>
  <si>
    <t>Bersama Zatta Jaya Tbk PT</t>
  </si>
  <si>
    <t>KMFG.PK</t>
  </si>
  <si>
    <t>Keemo Fashion Group Ltd</t>
  </si>
  <si>
    <t>DEVL.BO</t>
  </si>
  <si>
    <t>Dev Labtech Venture Ltd</t>
  </si>
  <si>
    <t>GMN.MI</t>
  </si>
  <si>
    <t>Gentili Mosconi SpA</t>
  </si>
  <si>
    <t>BIZO.BO</t>
  </si>
  <si>
    <t>Bizotic Commercial Ltd</t>
  </si>
  <si>
    <t>SHOO.BO</t>
  </si>
  <si>
    <t>Shoora Designs Ltd</t>
  </si>
  <si>
    <t>TAN.BK</t>
  </si>
  <si>
    <t>Tanachira Retail Corporation PCL</t>
  </si>
  <si>
    <t>KHAZ.BO</t>
  </si>
  <si>
    <t>Khazanchi Jewellers Ltd</t>
  </si>
  <si>
    <t>VIVT.BO</t>
  </si>
  <si>
    <t>Vivaa Tradecom Ltd</t>
  </si>
  <si>
    <t>MEDSr.AT</t>
  </si>
  <si>
    <t>MED SA</t>
  </si>
  <si>
    <t>CREO.NS</t>
  </si>
  <si>
    <t>Credo Brands Marketing Ltd</t>
  </si>
  <si>
    <t>KOUR.BO</t>
  </si>
  <si>
    <t>Koura Fine Diamond Jewelry Ltd</t>
  </si>
  <si>
    <t>CPSS.NS</t>
  </si>
  <si>
    <t>C P S Shapers Ltd</t>
  </si>
  <si>
    <t>MISD.BO</t>
  </si>
  <si>
    <t>Mish Designs Ltd</t>
  </si>
  <si>
    <t>109670.KQ</t>
  </si>
  <si>
    <t>C Site Co Ltd</t>
  </si>
  <si>
    <t>472850.KQ</t>
  </si>
  <si>
    <t>Pond Group Co Ltd</t>
  </si>
  <si>
    <t>SIGO.NS</t>
  </si>
  <si>
    <t>Signoria Creation Ltd</t>
  </si>
  <si>
    <t>BARS.L</t>
  </si>
  <si>
    <t>Zipa Precious Metals PLC</t>
  </si>
  <si>
    <t>Ireland; Republic of</t>
  </si>
  <si>
    <t>Total Debt to Total Equity, Percent
(FY0)
(Σ=Avg)</t>
  </si>
  <si>
    <t>Total Debt
(FY0, USD)
(Σ=Avg)</t>
  </si>
  <si>
    <t>net income</t>
  </si>
  <si>
    <t>total equity</t>
  </si>
  <si>
    <t>roe= net/total equity</t>
  </si>
  <si>
    <t>total debt</t>
  </si>
  <si>
    <t>operating income</t>
  </si>
  <si>
    <t>debt/ebit</t>
  </si>
  <si>
    <t>market cap</t>
  </si>
  <si>
    <t>eps growth</t>
  </si>
  <si>
    <t>revenue</t>
  </si>
  <si>
    <t>ebit margin= operating income/ revenue</t>
  </si>
  <si>
    <t>79,40%</t>
  </si>
  <si>
    <t>307 635 258,87</t>
  </si>
  <si>
    <t>64 521 647</t>
  </si>
  <si>
    <t>32 272 411,24</t>
  </si>
  <si>
    <t>-1 985 366,34</t>
  </si>
  <si>
    <t>-10,10%</t>
  </si>
  <si>
    <t>101 659 805,99</t>
  </si>
  <si>
    <t>50,00%</t>
  </si>
  <si>
    <t>3 166 212,35</t>
  </si>
  <si>
    <t>54 199 728,52</t>
  </si>
  <si>
    <t>54 369 682,05</t>
  </si>
  <si>
    <t>8 054 031,98</t>
  </si>
  <si>
    <t>8 191 488</t>
  </si>
  <si>
    <t>-130,60%</t>
  </si>
  <si>
    <t>143 835 873,44</t>
  </si>
  <si>
    <t>100,30%</t>
  </si>
  <si>
    <t>-9 523 660,88</t>
  </si>
  <si>
    <t>50 002 080,99</t>
  </si>
  <si>
    <t>55 371 040,91</t>
  </si>
  <si>
    <t>-6 569 692,43</t>
  </si>
  <si>
    <t>153 697</t>
  </si>
  <si>
    <t>-65,00%</t>
  </si>
  <si>
    <t>177 810 379,99</t>
  </si>
  <si>
    <t>110,70%</t>
  </si>
  <si>
    <t>297 738 735,06</t>
  </si>
  <si>
    <t>1 426 575 656,91</t>
  </si>
  <si>
    <t>1 240 573 648,37</t>
  </si>
  <si>
    <t>452 845 618,18</t>
  </si>
  <si>
    <t>3 814 730 293</t>
  </si>
  <si>
    <t>-13,60%</t>
  </si>
  <si>
    <t>4 632 292 275,94</t>
  </si>
  <si>
    <t>87,00%</t>
  </si>
  <si>
    <t>134 065 261,38</t>
  </si>
  <si>
    <t>1 562 901 416,39</t>
  </si>
  <si>
    <t>720 393 796,58</t>
  </si>
  <si>
    <t>188 227 723,28</t>
  </si>
  <si>
    <t>726 331 687</t>
  </si>
  <si>
    <t>23,10%</t>
  </si>
  <si>
    <t>3 203 306 482,60</t>
  </si>
  <si>
    <t>46,10%</t>
  </si>
  <si>
    <t>-14 728 050,03</t>
  </si>
  <si>
    <t>265 407 988,77</t>
  </si>
  <si>
    <t>137 694 359,37</t>
  </si>
  <si>
    <t>-7 911 179,17</t>
  </si>
  <si>
    <t>16 653 978</t>
  </si>
  <si>
    <t>4 412,2%</t>
  </si>
  <si>
    <t>58 142 930,07</t>
  </si>
  <si>
    <t>51,90%</t>
  </si>
  <si>
    <t>-13 951 394,68</t>
  </si>
  <si>
    <t>190 006 668,80</t>
  </si>
  <si>
    <t>98 900 545,05</t>
  </si>
  <si>
    <t>-9 157 806,99</t>
  </si>
  <si>
    <t>21 407 267</t>
  </si>
  <si>
    <t>-405,70%</t>
  </si>
  <si>
    <t>11 141 519,72</t>
  </si>
  <si>
    <t>52,10%</t>
  </si>
  <si>
    <t>3 580 827,89</t>
  </si>
  <si>
    <t>43 585 838,78</t>
  </si>
  <si>
    <t>1 245 533,77</t>
  </si>
  <si>
    <t>4 227 015,25</t>
  </si>
  <si>
    <t>39 743 504</t>
  </si>
  <si>
    <t>85,20%</t>
  </si>
  <si>
    <t>34 118 518,52</t>
  </si>
  <si>
    <t>2,90%</t>
  </si>
  <si>
    <t>604 189,52</t>
  </si>
  <si>
    <t>13 765 395,05</t>
  </si>
  <si>
    <t>4 956 276,56</t>
  </si>
  <si>
    <t>649 894,61</t>
  </si>
  <si>
    <t>14 127 565</t>
  </si>
  <si>
    <t>-58,50%</t>
  </si>
  <si>
    <t>15 290 932,17</t>
  </si>
  <si>
    <t>36,00%</t>
  </si>
  <si>
    <t>2 395 057,01</t>
  </si>
  <si>
    <t>53 114 848,08</t>
  </si>
  <si>
    <t>8 098 987,20</t>
  </si>
  <si>
    <t>3 421 237,02</t>
  </si>
  <si>
    <t>12 954 266</t>
  </si>
  <si>
    <t>-55,80%</t>
  </si>
  <si>
    <t>95 956 939,93</t>
  </si>
  <si>
    <t>15,20%</t>
  </si>
  <si>
    <t>-2 961 844,70</t>
  </si>
  <si>
    <t>141 179 055,99</t>
  </si>
  <si>
    <t>9 427,35</t>
  </si>
  <si>
    <t>2 387 158,42</t>
  </si>
  <si>
    <t>31 139 482</t>
  </si>
  <si>
    <t>-278,10%</t>
  </si>
  <si>
    <t>46 596 725,91</t>
  </si>
  <si>
    <t>0,00%</t>
  </si>
  <si>
    <t>174 740 000,00</t>
  </si>
  <si>
    <t>1 550 260 000,00</t>
  </si>
  <si>
    <t>417 833 000,00</t>
  </si>
  <si>
    <t>283 343 000,00</t>
  </si>
  <si>
    <t>1 314 831 443</t>
  </si>
  <si>
    <t>-334,80%</t>
  </si>
  <si>
    <t>3 098 242 000,00</t>
  </si>
  <si>
    <t>27,00%</t>
  </si>
  <si>
    <t>3 577 622,37</t>
  </si>
  <si>
    <t>12 570 353,65</t>
  </si>
  <si>
    <t>7 965 160,78</t>
  </si>
  <si>
    <t>3 854 007,13</t>
  </si>
  <si>
    <t>23 369 890</t>
  </si>
  <si>
    <t>111,10%</t>
  </si>
  <si>
    <t>18 560 295,95</t>
  </si>
  <si>
    <t>63,40%</t>
  </si>
  <si>
    <t>-3 247 326,54</t>
  </si>
  <si>
    <t>25 995 629,77</t>
  </si>
  <si>
    <t>162 238 652,29</t>
  </si>
  <si>
    <t>7 413 627,18</t>
  </si>
  <si>
    <t>19 886 626</t>
  </si>
  <si>
    <t>312,50%</t>
  </si>
  <si>
    <t>141 327 524,75</t>
  </si>
  <si>
    <t>624,10%</t>
  </si>
  <si>
    <t>45 751,28</t>
  </si>
  <si>
    <t>-856 753,00</t>
  </si>
  <si>
    <t>234 888,70</t>
  </si>
  <si>
    <t>1 595 514</t>
  </si>
  <si>
    <t>-839,40%</t>
  </si>
  <si>
    <t>4 964 822,35</t>
  </si>
  <si>
    <t>13 434 300,09</t>
  </si>
  <si>
    <t>6 642 101,88</t>
  </si>
  <si>
    <t>-2 360 841,18</t>
  </si>
  <si>
    <t>3 249 903</t>
  </si>
  <si>
    <t>-188,10%</t>
  </si>
  <si>
    <t>21 527 236,73</t>
  </si>
  <si>
    <t>49,40%</t>
  </si>
  <si>
    <t>4 644 922,95</t>
  </si>
  <si>
    <t>160 134 549,10</t>
  </si>
  <si>
    <t>273 365 146,45</t>
  </si>
  <si>
    <t>32 656 031,62</t>
  </si>
  <si>
    <t>61 981 895</t>
  </si>
  <si>
    <t>-100,70%</t>
  </si>
  <si>
    <t>710 889 232,46</t>
  </si>
  <si>
    <t>170,70%</t>
  </si>
  <si>
    <t>-6 764 506,15</t>
  </si>
  <si>
    <t>14 087 228,40</t>
  </si>
  <si>
    <t>-6 598 468,00</t>
  </si>
  <si>
    <t>18 876 208</t>
  </si>
  <si>
    <t>-177,00%</t>
  </si>
  <si>
    <t>76 305 376,74</t>
  </si>
  <si>
    <t>309,80%</t>
  </si>
  <si>
    <t>43 637 615,08</t>
  </si>
  <si>
    <t>-827 020,00</t>
  </si>
  <si>
    <t>-356 590,00</t>
  </si>
  <si>
    <t>140 650,00</t>
  </si>
  <si>
    <t>-443 200,00</t>
  </si>
  <si>
    <t>335 828</t>
  </si>
  <si>
    <t>-260,20%</t>
  </si>
  <si>
    <t>4 220,00</t>
  </si>
  <si>
    <t>6 222 550,48</t>
  </si>
  <si>
    <t>324 197 598,57</t>
  </si>
  <si>
    <t>626 091 509,01</t>
  </si>
  <si>
    <t>27 573 735,91</t>
  </si>
  <si>
    <t>72 477 202</t>
  </si>
  <si>
    <t>63 865 618,19</t>
  </si>
  <si>
    <t>193,10%</t>
  </si>
  <si>
    <t>-1 396 030,00</t>
  </si>
  <si>
    <t>7 630 000,00</t>
  </si>
  <si>
    <t>457 490,00</t>
  </si>
  <si>
    <t>-3 942 940,00</t>
  </si>
  <si>
    <t>71 932</t>
  </si>
  <si>
    <t>-2,40%</t>
  </si>
  <si>
    <t>12 919 920,00</t>
  </si>
  <si>
    <t>6,00%</t>
  </si>
  <si>
    <t>-122 300,22</t>
  </si>
  <si>
    <t>-2 201 404,01</t>
  </si>
  <si>
    <t>24 460 044,52</t>
  </si>
  <si>
    <t>7 338 013,36</t>
  </si>
  <si>
    <t>41 777 023</t>
  </si>
  <si>
    <t>89 401 462,71</t>
  </si>
  <si>
    <t>5 426 000,00</t>
  </si>
  <si>
    <t>123 450 000,00</t>
  </si>
  <si>
    <t>1 029 000,00</t>
  </si>
  <si>
    <t>5 993 000,00</t>
  </si>
  <si>
    <t>120 232 916</t>
  </si>
  <si>
    <t>319,70%</t>
  </si>
  <si>
    <t>124 688 000,00</t>
  </si>
  <si>
    <t>0,80%</t>
  </si>
  <si>
    <t>23 073 662,37</t>
  </si>
  <si>
    <t>151 141 177,68</t>
  </si>
  <si>
    <t>35 800 399,56</t>
  </si>
  <si>
    <t>39 469 559,20</t>
  </si>
  <si>
    <t>92 217 154</t>
  </si>
  <si>
    <t>-649,40%</t>
  </si>
  <si>
    <t>539 874 881,54</t>
  </si>
  <si>
    <t>23,70%</t>
  </si>
  <si>
    <t>-128 914 942,79</t>
  </si>
  <si>
    <t>-87 335 039,78</t>
  </si>
  <si>
    <t>960 095 461,99</t>
  </si>
  <si>
    <t>-28 035 847,96</t>
  </si>
  <si>
    <t>541 943</t>
  </si>
  <si>
    <t>93,90%</t>
  </si>
  <si>
    <t>-53 228 758,17</t>
  </si>
  <si>
    <t>136 153 297,68</t>
  </si>
  <si>
    <t>63 806 298,28</t>
  </si>
  <si>
    <t>-47 740 938,80</t>
  </si>
  <si>
    <t>261 062 876</t>
  </si>
  <si>
    <t>361 768 270,94</t>
  </si>
  <si>
    <t>46,90%</t>
  </si>
  <si>
    <t>4 239 152 819,78</t>
  </si>
  <si>
    <t>20 549 756 663,31</t>
  </si>
  <si>
    <t>16 985 876 716,63</t>
  </si>
  <si>
    <t>5 453 126 524,24</t>
  </si>
  <si>
    <t>76 262 604 971</t>
  </si>
  <si>
    <t>-681,90%</t>
  </si>
  <si>
    <t>21 627 158 326,02</t>
  </si>
  <si>
    <t>82,70%</t>
  </si>
  <si>
    <t>-9 142 254,69</t>
  </si>
  <si>
    <t>232 939 227,35</t>
  </si>
  <si>
    <t>10 384 818,13</t>
  </si>
  <si>
    <t>-16 959 108,37</t>
  </si>
  <si>
    <t>74 728 533</t>
  </si>
  <si>
    <t>2,00%</t>
  </si>
  <si>
    <t>154 401 686,87</t>
  </si>
  <si>
    <t>4,50%</t>
  </si>
  <si>
    <t>158 370 359,21</t>
  </si>
  <si>
    <t>1 688 222 004,67</t>
  </si>
  <si>
    <t>534 362 527,30</t>
  </si>
  <si>
    <t>149 039 837,34</t>
  </si>
  <si>
    <t>1 649 321 793</t>
  </si>
  <si>
    <t>222,00%</t>
  </si>
  <si>
    <t>2 269 493 184,73</t>
  </si>
  <si>
    <t>31,70%</t>
  </si>
  <si>
    <t>50 741 772,72</t>
  </si>
  <si>
    <t>104 412 982,91</t>
  </si>
  <si>
    <t>89 110 625,80</t>
  </si>
  <si>
    <t>-5 655 546,35</t>
  </si>
  <si>
    <t>117 378 653</t>
  </si>
  <si>
    <t>24,20%</t>
  </si>
  <si>
    <t>212 500 941,34</t>
  </si>
  <si>
    <t>85,30%</t>
  </si>
  <si>
    <t>4 419 347,68</t>
  </si>
  <si>
    <t>67 012 868,87</t>
  </si>
  <si>
    <t>13 923 896,16</t>
  </si>
  <si>
    <t>6 229 864,65</t>
  </si>
  <si>
    <t>11 557 171</t>
  </si>
  <si>
    <t>-484,40%</t>
  </si>
  <si>
    <t>49 528 954,96</t>
  </si>
  <si>
    <t>20,80%</t>
  </si>
  <si>
    <t>77 242 262,22</t>
  </si>
  <si>
    <t>750 342 646,28</t>
  </si>
  <si>
    <t>42 209 503,73</t>
  </si>
  <si>
    <t>67 911 740,34</t>
  </si>
  <si>
    <t>1 724 111 166</t>
  </si>
  <si>
    <t>-137,70%</t>
  </si>
  <si>
    <t>908 306 348,37</t>
  </si>
  <si>
    <t>5,60%</t>
  </si>
  <si>
    <t>158 377 889,90</t>
  </si>
  <si>
    <t>601 814 895,70</t>
  </si>
  <si>
    <t>30 130 280,89</t>
  </si>
  <si>
    <t>164 101 212,44</t>
  </si>
  <si>
    <t>2 877 782 813</t>
  </si>
  <si>
    <t>-47,00%</t>
  </si>
  <si>
    <t>866 420 664,21</t>
  </si>
  <si>
    <t>5,00%</t>
  </si>
  <si>
    <t>34 106 483,92</t>
  </si>
  <si>
    <t>872 678 665,56</t>
  </si>
  <si>
    <t>118 254 386,63</t>
  </si>
  <si>
    <t>37 834 174,26</t>
  </si>
  <si>
    <t>589 780 161</t>
  </si>
  <si>
    <t>-1,80%</t>
  </si>
  <si>
    <t>1 024 399 427,67</t>
  </si>
  <si>
    <t>13,60%</t>
  </si>
  <si>
    <t>39 882 521,27</t>
  </si>
  <si>
    <t>977 422 998,72</t>
  </si>
  <si>
    <t>1 053 618 495,37</t>
  </si>
  <si>
    <t>75 517 734,77</t>
  </si>
  <si>
    <t>1 077 762 381</t>
  </si>
  <si>
    <t>-19,10%</t>
  </si>
  <si>
    <t>1 961 774 229,99</t>
  </si>
  <si>
    <t>107,80%</t>
  </si>
  <si>
    <t>45 852 780,37</t>
  </si>
  <si>
    <t>532 557 674,36</t>
  </si>
  <si>
    <t>279 670 622,75</t>
  </si>
  <si>
    <t>45 672 756,37</t>
  </si>
  <si>
    <t>641 601 407</t>
  </si>
  <si>
    <t>55,40%</t>
  </si>
  <si>
    <t>1 264 361 914,92</t>
  </si>
  <si>
    <t>52,50%</t>
  </si>
  <si>
    <t>-8 544 769,94</t>
  </si>
  <si>
    <t>1 268 137,66</t>
  </si>
  <si>
    <t>50 404 179,53</t>
  </si>
  <si>
    <t>-6 211 009,87</t>
  </si>
  <si>
    <t>27 878 306</t>
  </si>
  <si>
    <t>155,80%</t>
  </si>
  <si>
    <t>26 718 864,37</t>
  </si>
  <si>
    <t>3 974,7%</t>
  </si>
  <si>
    <t>5 693 199,79</t>
  </si>
  <si>
    <t>158 777 016,34</t>
  </si>
  <si>
    <t>3 614 730,02</t>
  </si>
  <si>
    <t>7 997 590,18</t>
  </si>
  <si>
    <t>114 401 667</t>
  </si>
  <si>
    <t>98,20%</t>
  </si>
  <si>
    <t>63 423 450,56</t>
  </si>
  <si>
    <t>2,30%</t>
  </si>
  <si>
    <t>-2 144 385,92</t>
  </si>
  <si>
    <t>6 125 850,11</t>
  </si>
  <si>
    <t>10 895 852,78</t>
  </si>
  <si>
    <t>-2 245 506,07</t>
  </si>
  <si>
    <t>4 725 573</t>
  </si>
  <si>
    <t>-55,10%</t>
  </si>
  <si>
    <t>15 615 462,06</t>
  </si>
  <si>
    <t>177,90%</t>
  </si>
  <si>
    <t>-588 093,98</t>
  </si>
  <si>
    <t>22 793 711,88</t>
  </si>
  <si>
    <t>-919 752,99</t>
  </si>
  <si>
    <t>18 490 742</t>
  </si>
  <si>
    <t>18,70%</t>
  </si>
  <si>
    <t>29 122 554,41</t>
  </si>
  <si>
    <t>1 058 498,38</t>
  </si>
  <si>
    <t>34 307 711,42</t>
  </si>
  <si>
    <t>23 490 639,36</t>
  </si>
  <si>
    <t>921 266,66</t>
  </si>
  <si>
    <t>27 293 801</t>
  </si>
  <si>
    <t>-277,40%</t>
  </si>
  <si>
    <t>72 149 032,31</t>
  </si>
  <si>
    <t>68,50%</t>
  </si>
  <si>
    <t>457 692,60</t>
  </si>
  <si>
    <t>91 334 618,57</t>
  </si>
  <si>
    <t>71 037 585,66</t>
  </si>
  <si>
    <t>1 312 749,45</t>
  </si>
  <si>
    <t>147 452 298</t>
  </si>
  <si>
    <t>2 534,1%</t>
  </si>
  <si>
    <t>133 094 080,88</t>
  </si>
  <si>
    <t>77,80%</t>
  </si>
  <si>
    <t>769 335,51</t>
  </si>
  <si>
    <t>39 453 976,03</t>
  </si>
  <si>
    <t>11 587 690,63</t>
  </si>
  <si>
    <t>-40 849,67</t>
  </si>
  <si>
    <t>13 640 623</t>
  </si>
  <si>
    <t>320,10%</t>
  </si>
  <si>
    <t>88 650 599,13</t>
  </si>
  <si>
    <t>29,40%</t>
  </si>
  <si>
    <t>60 703 000,00</t>
  </si>
  <si>
    <t>560 914 000,00</t>
  </si>
  <si>
    <t>29 304 000,00</t>
  </si>
  <si>
    <t>80 982 000,00</t>
  </si>
  <si>
    <t>1 684 361 255</t>
  </si>
  <si>
    <t>144,10%</t>
  </si>
  <si>
    <t>1 571 475 000,00</t>
  </si>
  <si>
    <t>5,20%</t>
  </si>
  <si>
    <t>1 419 000,00</t>
  </si>
  <si>
    <t>1 895 000,00</t>
  </si>
  <si>
    <t>4 933 010</t>
  </si>
  <si>
    <t>-292,80%</t>
  </si>
  <si>
    <t>17 982 000,00</t>
  </si>
  <si>
    <t>6 057 887,54</t>
  </si>
  <si>
    <t>22 720 427,96</t>
  </si>
  <si>
    <t>148 738,46</t>
  </si>
  <si>
    <t>6 475 279,14</t>
  </si>
  <si>
    <t>30 932 453</t>
  </si>
  <si>
    <t>18 131 626,84</t>
  </si>
  <si>
    <t>0,70%</t>
  </si>
  <si>
    <t>-10 018 000,00</t>
  </si>
  <si>
    <t>-16 739 000,00</t>
  </si>
  <si>
    <t>38 247 000,00</t>
  </si>
  <si>
    <t>-9 978 000,00</t>
  </si>
  <si>
    <t>450,00%</t>
  </si>
  <si>
    <t>81 758 000,00</t>
  </si>
  <si>
    <t>663 600 000,00</t>
  </si>
  <si>
    <t>5 118 900 000,00</t>
  </si>
  <si>
    <t>2 178 900 000,00</t>
  </si>
  <si>
    <t>928 800 000,00</t>
  </si>
  <si>
    <t>6 498 078 597</t>
  </si>
  <si>
    <t>9 217 700 000,00</t>
  </si>
  <si>
    <t>42,60%</t>
  </si>
  <si>
    <t>1 170 071,89</t>
  </si>
  <si>
    <t>58 900 870,22</t>
  </si>
  <si>
    <t>30 446 651,53</t>
  </si>
  <si>
    <t>4 620 317,82</t>
  </si>
  <si>
    <t>9 623 957</t>
  </si>
  <si>
    <t>102,60%</t>
  </si>
  <si>
    <t>77 548 240,64</t>
  </si>
  <si>
    <t>51,70%</t>
  </si>
  <si>
    <t>14 967 197,52</t>
  </si>
  <si>
    <t>259 512 929,35</t>
  </si>
  <si>
    <t>12 735 238,55</t>
  </si>
  <si>
    <t>17 200 978,47</t>
  </si>
  <si>
    <t>294 535 590</t>
  </si>
  <si>
    <t>-136,60%</t>
  </si>
  <si>
    <t>327 481 894,86</t>
  </si>
  <si>
    <t>4,90%</t>
  </si>
  <si>
    <t>15 225 158,23</t>
  </si>
  <si>
    <t>51 816 358,33</t>
  </si>
  <si>
    <t>16 969 522,88</t>
  </si>
  <si>
    <t>19 788 230,28</t>
  </si>
  <si>
    <t>1 221 315 671</t>
  </si>
  <si>
    <t>9,70%</t>
  </si>
  <si>
    <t>147 082 205,45</t>
  </si>
  <si>
    <t>32,70%</t>
  </si>
  <si>
    <t>309 566,70</t>
  </si>
  <si>
    <t>6 431 183,06</t>
  </si>
  <si>
    <t>35 370,01</t>
  </si>
  <si>
    <t>292 843,23</t>
  </si>
  <si>
    <t>7 395 694</t>
  </si>
  <si>
    <t>3 282 546,25</t>
  </si>
  <si>
    <t>0,50%</t>
  </si>
  <si>
    <t>791 906,04</t>
  </si>
  <si>
    <t>10 604 053,07</t>
  </si>
  <si>
    <t>12 697 115,38</t>
  </si>
  <si>
    <t>2 219 279,45</t>
  </si>
  <si>
    <t>15 783 066</t>
  </si>
  <si>
    <t>65,90%</t>
  </si>
  <si>
    <t>34 472 492,70</t>
  </si>
  <si>
    <t>119,70%</t>
  </si>
  <si>
    <t>706 634</t>
  </si>
  <si>
    <t>-5,00%</t>
  </si>
  <si>
    <t>18 541 869,52</t>
  </si>
  <si>
    <t>78 102 482,96</t>
  </si>
  <si>
    <t>42 874 878,29</t>
  </si>
  <si>
    <t>27 676 484,91</t>
  </si>
  <si>
    <t>919 077 460</t>
  </si>
  <si>
    <t>253 446 932,81</t>
  </si>
  <si>
    <t>54,90%</t>
  </si>
  <si>
    <t>8 772 000,00</t>
  </si>
  <si>
    <t>197 638 000,00</t>
  </si>
  <si>
    <t>93 477 000,00</t>
  </si>
  <si>
    <t>19 487 000,00</t>
  </si>
  <si>
    <t>280 219 841</t>
  </si>
  <si>
    <t>-83,90%</t>
  </si>
  <si>
    <t>543 302 000,00</t>
  </si>
  <si>
    <t>47,30%</t>
  </si>
  <si>
    <t>3 518 337,22</t>
  </si>
  <si>
    <t>29 280 126,52</t>
  </si>
  <si>
    <t>41 595 376,16</t>
  </si>
  <si>
    <t>1 517 034,42</t>
  </si>
  <si>
    <t>16 222 791</t>
  </si>
  <si>
    <t>58,20%</t>
  </si>
  <si>
    <t>85 830 740,27</t>
  </si>
  <si>
    <t>142,10%</t>
  </si>
  <si>
    <t>4 840 196</t>
  </si>
  <si>
    <t>91,00%</t>
  </si>
  <si>
    <t>1 097 870,01</t>
  </si>
  <si>
    <t>8 567 952,78</t>
  </si>
  <si>
    <t>5 232 436,71</t>
  </si>
  <si>
    <t>1 818 098,83</t>
  </si>
  <si>
    <t>9 478 119</t>
  </si>
  <si>
    <t>29 024 914,80</t>
  </si>
  <si>
    <t>61,10%</t>
  </si>
  <si>
    <t>-13,20%</t>
  </si>
  <si>
    <t>-57 205 645,06</t>
  </si>
  <si>
    <t>988 541 736,03</t>
  </si>
  <si>
    <t>273 399 200,88</t>
  </si>
  <si>
    <t>-122 090 131,39</t>
  </si>
  <si>
    <t>856 260 252</t>
  </si>
  <si>
    <t>1 436 802 499,81</t>
  </si>
  <si>
    <t>27,70%</t>
  </si>
  <si>
    <t>85 341 000,00</t>
  </si>
  <si>
    <t>737 886 000,00</t>
  </si>
  <si>
    <t>549 139 000,00</t>
  </si>
  <si>
    <t>144 933 000,00</t>
  </si>
  <si>
    <t>1 155 280 748</t>
  </si>
  <si>
    <t>1 857 682 000,00</t>
  </si>
  <si>
    <t>74,40%</t>
  </si>
  <si>
    <t>6 852 925,67</t>
  </si>
  <si>
    <t>501 046 765,57</t>
  </si>
  <si>
    <t>10 558 023,95</t>
  </si>
  <si>
    <t>216 045 731</t>
  </si>
  <si>
    <t>-5,30%</t>
  </si>
  <si>
    <t>136 448 527,75</t>
  </si>
  <si>
    <t>23 707 000,00</t>
  </si>
  <si>
    <t>2 910 713 000,00</t>
  </si>
  <si>
    <t>6 646 810 000,00</t>
  </si>
  <si>
    <t>233 993 000,00</t>
  </si>
  <si>
    <t>5 035 166 630</t>
  </si>
  <si>
    <t>22,90%</t>
  </si>
  <si>
    <t>11 612 475 000,00</t>
  </si>
  <si>
    <t>228,40%</t>
  </si>
  <si>
    <t>677 761,88</t>
  </si>
  <si>
    <t>103 644 852,78</t>
  </si>
  <si>
    <t>80 676 255,74</t>
  </si>
  <si>
    <t>-1 694 404,70</t>
  </si>
  <si>
    <t>47 444 529</t>
  </si>
  <si>
    <t>-112,60%</t>
  </si>
  <si>
    <t>223 111 680,10</t>
  </si>
  <si>
    <t>-1 080 131,38</t>
  </si>
  <si>
    <t>12 893 298,40</t>
  </si>
  <si>
    <t>9 117 772,53</t>
  </si>
  <si>
    <t>-769 244,96</t>
  </si>
  <si>
    <t>24 008 999</t>
  </si>
  <si>
    <t>-623,40%</t>
  </si>
  <si>
    <t>19 862 476,94</t>
  </si>
  <si>
    <t>70,70%</t>
  </si>
  <si>
    <t>6 928 237,59</t>
  </si>
  <si>
    <t>104 470 411,39</t>
  </si>
  <si>
    <t>3 042 843,23</t>
  </si>
  <si>
    <t>6 808 568,65</t>
  </si>
  <si>
    <t>158 990 523</t>
  </si>
  <si>
    <t>-161,50%</t>
  </si>
  <si>
    <t>67 793 999,51</t>
  </si>
  <si>
    <t>10 422 203,20</t>
  </si>
  <si>
    <t>69 638 413,34</t>
  </si>
  <si>
    <t>18 763 905,22</t>
  </si>
  <si>
    <t>13 797 252,29</t>
  </si>
  <si>
    <t>130 210 715</t>
  </si>
  <si>
    <t>451,60%</t>
  </si>
  <si>
    <t>53 143 137,69</t>
  </si>
  <si>
    <t>26,90%</t>
  </si>
  <si>
    <t>119 875,85</t>
  </si>
  <si>
    <t>6 228 712,27</t>
  </si>
  <si>
    <t>5 099 561,83</t>
  </si>
  <si>
    <t>502 081,30</t>
  </si>
  <si>
    <t>4 327 634</t>
  </si>
  <si>
    <t>166,00%</t>
  </si>
  <si>
    <t>46 002 056,96</t>
  </si>
  <si>
    <t>81,90%</t>
  </si>
  <si>
    <t>13,90%</t>
  </si>
  <si>
    <t>-4 336 270,00</t>
  </si>
  <si>
    <t>343 485 810,00</t>
  </si>
  <si>
    <t>326 677 730,00</t>
  </si>
  <si>
    <t>24 872 670,00</t>
  </si>
  <si>
    <t>25 148 400</t>
  </si>
  <si>
    <t>581 615 180,00</t>
  </si>
  <si>
    <t>95,10%</t>
  </si>
  <si>
    <t>-17 055 830,78</t>
  </si>
  <si>
    <t>27 652 402,06</t>
  </si>
  <si>
    <t>69 661 495,34</t>
  </si>
  <si>
    <t>-18 206 896,55</t>
  </si>
  <si>
    <t>29 287 807</t>
  </si>
  <si>
    <t>82,30%</t>
  </si>
  <si>
    <t>100 158 366,47</t>
  </si>
  <si>
    <t>251,90%</t>
  </si>
  <si>
    <t>-679 077,41</t>
  </si>
  <si>
    <t>-28 562 609,54</t>
  </si>
  <si>
    <t>71 705 428,43</t>
  </si>
  <si>
    <t>-682 181,11</t>
  </si>
  <si>
    <t>1 930 422</t>
  </si>
  <si>
    <t>-42,60%</t>
  </si>
  <si>
    <t>2 074 062,80</t>
  </si>
  <si>
    <t>9 016 224,44</t>
  </si>
  <si>
    <t>13 364,17</t>
  </si>
  <si>
    <t>2 103 407,98</t>
  </si>
  <si>
    <t>7 693 336</t>
  </si>
  <si>
    <t>58,30%</t>
  </si>
  <si>
    <t>0,10%</t>
  </si>
  <si>
    <t>14 055 967,34</t>
  </si>
  <si>
    <t>65 620 413,65</t>
  </si>
  <si>
    <t>103 794 876,85</t>
  </si>
  <si>
    <t>20 934 104,56</t>
  </si>
  <si>
    <t>79 754 090</t>
  </si>
  <si>
    <t>55,10%</t>
  </si>
  <si>
    <t>196 254 455,31</t>
  </si>
  <si>
    <t>158,20%</t>
  </si>
  <si>
    <t>2 687 500</t>
  </si>
  <si>
    <t>-351,50%</t>
  </si>
  <si>
    <t>245 202</t>
  </si>
  <si>
    <t>1 945 094,94</t>
  </si>
  <si>
    <t>33 980 111,98</t>
  </si>
  <si>
    <t>7 812 305,26</t>
  </si>
  <si>
    <t>2 306 949,85</t>
  </si>
  <si>
    <t>37 138 336</t>
  </si>
  <si>
    <t>21 276 618,79</t>
  </si>
  <si>
    <t>23,00%</t>
  </si>
  <si>
    <t>2 285 634,35</t>
  </si>
  <si>
    <t>157 917 403,49</t>
  </si>
  <si>
    <t>1 745 439,88</t>
  </si>
  <si>
    <t>2 160 281,51</t>
  </si>
  <si>
    <t>106 101 512</t>
  </si>
  <si>
    <t>63,30%</t>
  </si>
  <si>
    <t>105 063 035,52</t>
  </si>
  <si>
    <t>1,10%</t>
  </si>
  <si>
    <t>18 810 670,75</t>
  </si>
  <si>
    <t>182 488 592,66</t>
  </si>
  <si>
    <t>35 295 384,92</t>
  </si>
  <si>
    <t>19 390 065,84</t>
  </si>
  <si>
    <t>276 758 746</t>
  </si>
  <si>
    <t>-17 090,7%</t>
  </si>
  <si>
    <t>251 230 167,52</t>
  </si>
  <si>
    <t>19,30%</t>
  </si>
  <si>
    <t>9 369 535,05</t>
  </si>
  <si>
    <t>55 536 441,09</t>
  </si>
  <si>
    <t>29 996 774,59</t>
  </si>
  <si>
    <t>13 617 003,41</t>
  </si>
  <si>
    <t>396 356 983</t>
  </si>
  <si>
    <t>-86,70%</t>
  </si>
  <si>
    <t>136 251 837,88</t>
  </si>
  <si>
    <t>54,00%</t>
  </si>
  <si>
    <t>-2 855 316,74</t>
  </si>
  <si>
    <t>4 098 840,50</t>
  </si>
  <si>
    <t>34 644 358,03</t>
  </si>
  <si>
    <t>-1 940 964,37</t>
  </si>
  <si>
    <t>3 010 563</t>
  </si>
  <si>
    <t>20 472 087,10</t>
  </si>
  <si>
    <t>845,20%</t>
  </si>
  <si>
    <t>17 604 537 980,20</t>
  </si>
  <si>
    <t>67 338 019 930,92</t>
  </si>
  <si>
    <t>42 471 830 752,76</t>
  </si>
  <si>
    <t>24 897 089 821,55</t>
  </si>
  <si>
    <t>427 142 314 376</t>
  </si>
  <si>
    <t>82,00%</t>
  </si>
  <si>
    <t>95 077 968 944,85</t>
  </si>
  <si>
    <t>63,10%</t>
  </si>
  <si>
    <t>17 570 326 553,59</t>
  </si>
  <si>
    <t>23 757 076 799,13</t>
  </si>
  <si>
    <t>42 489 488 263,27</t>
  </si>
  <si>
    <t>24 890 468 255,11</t>
  </si>
  <si>
    <t>143 754 454 150</t>
  </si>
  <si>
    <t>-11,00%</t>
  </si>
  <si>
    <t>178,80%</t>
  </si>
  <si>
    <t>21 393 261,55</t>
  </si>
  <si>
    <t>182 179 228,35</t>
  </si>
  <si>
    <t>28 261 819,20</t>
  </si>
  <si>
    <t>196 300 157</t>
  </si>
  <si>
    <t>-10,50%</t>
  </si>
  <si>
    <t>271 957 135,49</t>
  </si>
  <si>
    <t>328 807 488,55</t>
  </si>
  <si>
    <t>1 468 431 227,16</t>
  </si>
  <si>
    <t>1 320 240 426,55</t>
  </si>
  <si>
    <t>437 384 721,34</t>
  </si>
  <si>
    <t>4 250 319 786</t>
  </si>
  <si>
    <t>91,90%</t>
  </si>
  <si>
    <t>9 135 612 161,46</t>
  </si>
  <si>
    <t>89,90%</t>
  </si>
  <si>
    <t>10 151 522,07</t>
  </si>
  <si>
    <t>120 555 015,97</t>
  </si>
  <si>
    <t>21 392 282,12</t>
  </si>
  <si>
    <t>9 333 061,73</t>
  </si>
  <si>
    <t>150 446 884</t>
  </si>
  <si>
    <t>48,50%</t>
  </si>
  <si>
    <t>212 121 113,36</t>
  </si>
  <si>
    <t>17,70%</t>
  </si>
  <si>
    <t>8 101 196,12</t>
  </si>
  <si>
    <t>533 603 975,10</t>
  </si>
  <si>
    <t>93 522 526,45</t>
  </si>
  <si>
    <t>18 978 177,91</t>
  </si>
  <si>
    <t>555 477 466</t>
  </si>
  <si>
    <t>26,40%</t>
  </si>
  <si>
    <t>208 623 696,95</t>
  </si>
  <si>
    <t>17,50%</t>
  </si>
  <si>
    <t>3 917 867,15</t>
  </si>
  <si>
    <t>24 531 973,14</t>
  </si>
  <si>
    <t>82 725 409,03</t>
  </si>
  <si>
    <t>5 046 281,21</t>
  </si>
  <si>
    <t>110 358 032</t>
  </si>
  <si>
    <t>142,70%</t>
  </si>
  <si>
    <t>106 412 847,92</t>
  </si>
  <si>
    <t>337,20%</t>
  </si>
  <si>
    <t>12 796 701,56</t>
  </si>
  <si>
    <t>146 213 972,74</t>
  </si>
  <si>
    <t>23 530 379,75</t>
  </si>
  <si>
    <t>14 833 775,56</t>
  </si>
  <si>
    <t>752 811 269</t>
  </si>
  <si>
    <t>-146,20%</t>
  </si>
  <si>
    <t>327 521 226,87</t>
  </si>
  <si>
    <t>16,10%</t>
  </si>
  <si>
    <t>-5 385 926,60</t>
  </si>
  <si>
    <t>90 102 111,99</t>
  </si>
  <si>
    <t>137 656 704,26</t>
  </si>
  <si>
    <t>-6 057 721,14</t>
  </si>
  <si>
    <t>84 350 106</t>
  </si>
  <si>
    <t>21,00%</t>
  </si>
  <si>
    <t>148 469 819,44</t>
  </si>
  <si>
    <t>152,80%</t>
  </si>
  <si>
    <t>582 191,78</t>
  </si>
  <si>
    <t>56 032 748,29</t>
  </si>
  <si>
    <t>15 689 212,33</t>
  </si>
  <si>
    <t>2 239 940,07</t>
  </si>
  <si>
    <t>12 045 165</t>
  </si>
  <si>
    <t>95,20%</t>
  </si>
  <si>
    <t>100 812 285,96</t>
  </si>
  <si>
    <t>28,00%</t>
  </si>
  <si>
    <t>-6 571 164,35</t>
  </si>
  <si>
    <t>85 593 761,91</t>
  </si>
  <si>
    <t>28 912 737,25</t>
  </si>
  <si>
    <t>-5 318 139,62</t>
  </si>
  <si>
    <t>30 044 012</t>
  </si>
  <si>
    <t>13,10%</t>
  </si>
  <si>
    <t>173 392 063,07</t>
  </si>
  <si>
    <t>33,80%</t>
  </si>
  <si>
    <t>-3 140 582,20</t>
  </si>
  <si>
    <t>35 187 591,57</t>
  </si>
  <si>
    <t>5 230 906,43</t>
  </si>
  <si>
    <t>-2 658 895,47</t>
  </si>
  <si>
    <t>68 967 202</t>
  </si>
  <si>
    <t>-159,40%</t>
  </si>
  <si>
    <t>27 219 695,52</t>
  </si>
  <si>
    <t>14,90%</t>
  </si>
  <si>
    <t>-247 596,22</t>
  </si>
  <si>
    <t>12 595 278,89</t>
  </si>
  <si>
    <t>316 285,59</t>
  </si>
  <si>
    <t>-83 057,06</t>
  </si>
  <si>
    <t>3 914 687</t>
  </si>
  <si>
    <t>-939,80%</t>
  </si>
  <si>
    <t>6 960 078,31</t>
  </si>
  <si>
    <t>2,50%</t>
  </si>
  <si>
    <t>10 101 338,85</t>
  </si>
  <si>
    <t>174 705 306,72</t>
  </si>
  <si>
    <t>76 462 074,00</t>
  </si>
  <si>
    <t>16 435 893,38</t>
  </si>
  <si>
    <t>151 599 911</t>
  </si>
  <si>
    <t>-497,50%</t>
  </si>
  <si>
    <t>545 064 690,85</t>
  </si>
  <si>
    <t>43,80%</t>
  </si>
  <si>
    <t>756 495,20</t>
  </si>
  <si>
    <t>43 515 367,69</t>
  </si>
  <si>
    <t>307 144,40</t>
  </si>
  <si>
    <t>780 299,56</t>
  </si>
  <si>
    <t>23 974 082</t>
  </si>
  <si>
    <t>35,50%</t>
  </si>
  <si>
    <t>20 480 919,65</t>
  </si>
  <si>
    <t>2 392 876,56</t>
  </si>
  <si>
    <t>69 326 521,69</t>
  </si>
  <si>
    <t>8 255 314,12</t>
  </si>
  <si>
    <t>3 056 222,42</t>
  </si>
  <si>
    <t>34 896 996</t>
  </si>
  <si>
    <t>58,70%</t>
  </si>
  <si>
    <t>99 315 527,51</t>
  </si>
  <si>
    <t>11,90%</t>
  </si>
  <si>
    <t>-395 186,90</t>
  </si>
  <si>
    <t>8 976 518,49</t>
  </si>
  <si>
    <t>-386 521,40</t>
  </si>
  <si>
    <t>9 071 274</t>
  </si>
  <si>
    <t>1 865,0%</t>
  </si>
  <si>
    <t>3 484 992,72</t>
  </si>
  <si>
    <t>63 272 997,23</t>
  </si>
  <si>
    <t>321 591 965,28</t>
  </si>
  <si>
    <t>332 440 644,88</t>
  </si>
  <si>
    <t>107 388 685,85</t>
  </si>
  <si>
    <t>188 185 197</t>
  </si>
  <si>
    <t>1 172 964 306,39</t>
  </si>
  <si>
    <t>103,40%</t>
  </si>
  <si>
    <t>4 585 148,41</t>
  </si>
  <si>
    <t>169 374 426,00</t>
  </si>
  <si>
    <t>164 153 295,30</t>
  </si>
  <si>
    <t>17 147 494,30</t>
  </si>
  <si>
    <t>95 783 627</t>
  </si>
  <si>
    <t>-1,70%</t>
  </si>
  <si>
    <t>644 683 360,21</t>
  </si>
  <si>
    <t>96,90%</t>
  </si>
  <si>
    <t>14 945 608,44</t>
  </si>
  <si>
    <t>304 716 974,67</t>
  </si>
  <si>
    <t>63 168 775,84</t>
  </si>
  <si>
    <t>26 817 723,14</t>
  </si>
  <si>
    <t>279 621 234</t>
  </si>
  <si>
    <t>19,20%</t>
  </si>
  <si>
    <t>47 141 174,67</t>
  </si>
  <si>
    <t>20,70%</t>
  </si>
  <si>
    <t>2 354 900,54</t>
  </si>
  <si>
    <t>433 139 157,92</t>
  </si>
  <si>
    <t>123 929 583,02</t>
  </si>
  <si>
    <t>2 895 902,69</t>
  </si>
  <si>
    <t>784 043 573</t>
  </si>
  <si>
    <t>-69,70%</t>
  </si>
  <si>
    <t>339 468 807,63</t>
  </si>
  <si>
    <t>28,60%</t>
  </si>
  <si>
    <t>-13 058 212,21</t>
  </si>
  <si>
    <t>1 582 927 931,32</t>
  </si>
  <si>
    <t>153 738 986,37</t>
  </si>
  <si>
    <t>-27 441 825,44</t>
  </si>
  <si>
    <t>1 363 260 561</t>
  </si>
  <si>
    <t>1 420 227 426,76</t>
  </si>
  <si>
    <t>8 674 489,93</t>
  </si>
  <si>
    <t>257 340 978,80</t>
  </si>
  <si>
    <t>160 021,34</t>
  </si>
  <si>
    <t>9 681 290,84</t>
  </si>
  <si>
    <t>293 573 007</t>
  </si>
  <si>
    <t>108,00%</t>
  </si>
  <si>
    <t>263 081 744,23</t>
  </si>
  <si>
    <t>158 660,00</t>
  </si>
  <si>
    <t>2 616 260,00</t>
  </si>
  <si>
    <t>1 100 000,00</t>
  </si>
  <si>
    <t>159 660,00</t>
  </si>
  <si>
    <t>5 030 593</t>
  </si>
  <si>
    <t>-7,60%</t>
  </si>
  <si>
    <t>36 688 310,00</t>
  </si>
  <si>
    <t>42,00%</t>
  </si>
  <si>
    <t>16 755 779,80</t>
  </si>
  <si>
    <t>299 954 815,87</t>
  </si>
  <si>
    <t>29 550 417,95</t>
  </si>
  <si>
    <t>16 710 595,68</t>
  </si>
  <si>
    <t>272 006 201</t>
  </si>
  <si>
    <t>-317,30%</t>
  </si>
  <si>
    <t>146 592 363,88</t>
  </si>
  <si>
    <t>9,90%</t>
  </si>
  <si>
    <t>3 872 108,84</t>
  </si>
  <si>
    <t>115 432 763,00</t>
  </si>
  <si>
    <t>6 682 546,55</t>
  </si>
  <si>
    <t>2 065 312,99</t>
  </si>
  <si>
    <t>47 608 938</t>
  </si>
  <si>
    <t>-72,00%</t>
  </si>
  <si>
    <t>142 939 263,38</t>
  </si>
  <si>
    <t>5,80%</t>
  </si>
  <si>
    <t>2 147 584,28</t>
  </si>
  <si>
    <t>43 499 100,49</t>
  </si>
  <si>
    <t>9 472 282,06</t>
  </si>
  <si>
    <t>-693 725,50</t>
  </si>
  <si>
    <t>40 427 497</t>
  </si>
  <si>
    <t>-288,70%</t>
  </si>
  <si>
    <t>63 788 675,55</t>
  </si>
  <si>
    <t>21,80%</t>
  </si>
  <si>
    <t>18 602 480,33</t>
  </si>
  <si>
    <t>274 983 331,11</t>
  </si>
  <si>
    <t>47 719 695,96</t>
  </si>
  <si>
    <t>19 095 879,45</t>
  </si>
  <si>
    <t>239 462 325</t>
  </si>
  <si>
    <t>-112,40%</t>
  </si>
  <si>
    <t>409 074 543,27</t>
  </si>
  <si>
    <t>17,40%</t>
  </si>
  <si>
    <t>5 661 300,16</t>
  </si>
  <si>
    <t>66 385 927,97</t>
  </si>
  <si>
    <t>6 615 886,86</t>
  </si>
  <si>
    <t>2 547 965,40</t>
  </si>
  <si>
    <t>22 389 097</t>
  </si>
  <si>
    <t>106 528 980,58</t>
  </si>
  <si>
    <t>10,00%</t>
  </si>
  <si>
    <t>489 773,33</t>
  </si>
  <si>
    <t>89 620 528,65</t>
  </si>
  <si>
    <t>60 890 481,21</t>
  </si>
  <si>
    <t>-274 169,74</t>
  </si>
  <si>
    <t>31 991 229</t>
  </si>
  <si>
    <t>7,30%</t>
  </si>
  <si>
    <t>96 993 485,96</t>
  </si>
  <si>
    <t>67,90%</t>
  </si>
  <si>
    <t>-17 309 973,61</t>
  </si>
  <si>
    <t>91 238 156,06</t>
  </si>
  <si>
    <t>38 843 746,74</t>
  </si>
  <si>
    <t>-17 578 386,88</t>
  </si>
  <si>
    <t>210 689 046</t>
  </si>
  <si>
    <t>-301,30%</t>
  </si>
  <si>
    <t>62 579 900,54</t>
  </si>
  <si>
    <t>-2 157 519,07</t>
  </si>
  <si>
    <t>84 380 972,56</t>
  </si>
  <si>
    <t>18 395 150,25</t>
  </si>
  <si>
    <t>-3 502 477,02</t>
  </si>
  <si>
    <t>65 952 028</t>
  </si>
  <si>
    <t>120,60%</t>
  </si>
  <si>
    <t>48 764 031,03</t>
  </si>
  <si>
    <t>2 280 394,47</t>
  </si>
  <si>
    <t>31 808 068,41</t>
  </si>
  <si>
    <t>8 121 328,38</t>
  </si>
  <si>
    <t>3 466 410,77</t>
  </si>
  <si>
    <t>13 390 929</t>
  </si>
  <si>
    <t>-292,50%</t>
  </si>
  <si>
    <t>36 713 831,73</t>
  </si>
  <si>
    <t>25,50%</t>
  </si>
  <si>
    <t>11 344 599,44</t>
  </si>
  <si>
    <t>106 814 092,95</t>
  </si>
  <si>
    <t>107 068 704,78</t>
  </si>
  <si>
    <t>14 834 984,68</t>
  </si>
  <si>
    <t>124 654 474</t>
  </si>
  <si>
    <t>-73,30%</t>
  </si>
  <si>
    <t>260 773 906,52</t>
  </si>
  <si>
    <t>100,20%</t>
  </si>
  <si>
    <t>26 184 847,45</t>
  </si>
  <si>
    <t>849 500 898,69</t>
  </si>
  <si>
    <t>17 563 050,36</t>
  </si>
  <si>
    <t>27 705 409,32</t>
  </si>
  <si>
    <t>406 055 495</t>
  </si>
  <si>
    <t>222,50%</t>
  </si>
  <si>
    <t>257 428 731,00</t>
  </si>
  <si>
    <t>2,10%</t>
  </si>
  <si>
    <t>-5 572 708,79</t>
  </si>
  <si>
    <t>134 091 422,55</t>
  </si>
  <si>
    <t>451 841,25</t>
  </si>
  <si>
    <t>-5 504 932,60</t>
  </si>
  <si>
    <t>50 912 431</t>
  </si>
  <si>
    <t>-99,60%</t>
  </si>
  <si>
    <t>99 819 263,50</t>
  </si>
  <si>
    <t>0,30%</t>
  </si>
  <si>
    <t>167 798,30</t>
  </si>
  <si>
    <t>18 202 318,25</t>
  </si>
  <si>
    <t>53 647 629,93</t>
  </si>
  <si>
    <t>3 130 803,56</t>
  </si>
  <si>
    <t>45 263 288</t>
  </si>
  <si>
    <t>37,50%</t>
  </si>
  <si>
    <t>120 756 001,86</t>
  </si>
  <si>
    <t>294,70%</t>
  </si>
  <si>
    <t>40 523 161</t>
  </si>
  <si>
    <t>16,50%</t>
  </si>
  <si>
    <t>140 046 130,25</t>
  </si>
  <si>
    <t>-156 659 000,00</t>
  </si>
  <si>
    <t>254 232 000,00</t>
  </si>
  <si>
    <t>207 463 000,00</t>
  </si>
  <si>
    <t>-143 024 000,00</t>
  </si>
  <si>
    <t>43 909 315</t>
  </si>
  <si>
    <t>1 412 384 000,00</t>
  </si>
  <si>
    <t>81,60%</t>
  </si>
  <si>
    <t>-10 020 929,05</t>
  </si>
  <si>
    <t>47 600 689,13</t>
  </si>
  <si>
    <t>19 519 652,88</t>
  </si>
  <si>
    <t>-8 510 719,75</t>
  </si>
  <si>
    <t>12 296 491</t>
  </si>
  <si>
    <t>-196,10%</t>
  </si>
  <si>
    <t>128 511 485,45</t>
  </si>
  <si>
    <t>41,00%</t>
  </si>
  <si>
    <t>5 662 122,69</t>
  </si>
  <si>
    <t>7 366 114,90</t>
  </si>
  <si>
    <t>4 379 259,98</t>
  </si>
  <si>
    <t>4 326 923,08</t>
  </si>
  <si>
    <t>165 121 551</t>
  </si>
  <si>
    <t>45,60%</t>
  </si>
  <si>
    <t>46 671 129,50</t>
  </si>
  <si>
    <t>59,50%</t>
  </si>
  <si>
    <t>14 876 418,31</t>
  </si>
  <si>
    <t>564 091 386,42</t>
  </si>
  <si>
    <t>5 668 237,58</t>
  </si>
  <si>
    <t>13 033 578,36</t>
  </si>
  <si>
    <t>125 545 022</t>
  </si>
  <si>
    <t>82,10%</t>
  </si>
  <si>
    <t>170 511 487,33</t>
  </si>
  <si>
    <t>1,00%</t>
  </si>
  <si>
    <t>14 449 453,17</t>
  </si>
  <si>
    <t>400 052 506,21</t>
  </si>
  <si>
    <t>211 505 263,43</t>
  </si>
  <si>
    <t>28 551 981,15</t>
  </si>
  <si>
    <t>56 953 030</t>
  </si>
  <si>
    <t>-47,30%</t>
  </si>
  <si>
    <t>423 492 303,36</t>
  </si>
  <si>
    <t>52,90%</t>
  </si>
  <si>
    <t>-11 828 172,87</t>
  </si>
  <si>
    <t>225 234 111,21</t>
  </si>
  <si>
    <t>1 511 179,19</t>
  </si>
  <si>
    <t>-15 183 951,50</t>
  </si>
  <si>
    <t>127 677 345</t>
  </si>
  <si>
    <t>-28,90%</t>
  </si>
  <si>
    <t>207 249 071,12</t>
  </si>
  <si>
    <t>10 373</t>
  </si>
  <si>
    <t>-194,50%</t>
  </si>
  <si>
    <t>436 974 284,99</t>
  </si>
  <si>
    <t>969 945 817,01</t>
  </si>
  <si>
    <t>1 491 973 426,98</t>
  </si>
  <si>
    <t>523 364 972,24</t>
  </si>
  <si>
    <t>1 587 261 901</t>
  </si>
  <si>
    <t>17 326 609 593,11</t>
  </si>
  <si>
    <t>153,80%</t>
  </si>
  <si>
    <t>17 432 298,31</t>
  </si>
  <si>
    <t>244 030 908,83</t>
  </si>
  <si>
    <t>78 711 186,73</t>
  </si>
  <si>
    <t>19 757 549,98</t>
  </si>
  <si>
    <t>151 279 197</t>
  </si>
  <si>
    <t>4,20%</t>
  </si>
  <si>
    <t>393 272 366,37</t>
  </si>
  <si>
    <t>32,30%</t>
  </si>
  <si>
    <t>733 463,80</t>
  </si>
  <si>
    <t>31 518 644,98</t>
  </si>
  <si>
    <t>43 491,46</t>
  </si>
  <si>
    <t>765 382,28</t>
  </si>
  <si>
    <t>16 525 230</t>
  </si>
  <si>
    <t>100,40%</t>
  </si>
  <si>
    <t>22 964 275,59</t>
  </si>
  <si>
    <t>-75 691 930,06</t>
  </si>
  <si>
    <t>101 049 401,21</t>
  </si>
  <si>
    <t>76 578 656,56</t>
  </si>
  <si>
    <t>-73 924 994,20</t>
  </si>
  <si>
    <t>466 803 544</t>
  </si>
  <si>
    <t>-878,20%</t>
  </si>
  <si>
    <t>318 152 614,10</t>
  </si>
  <si>
    <t>75,80%</t>
  </si>
  <si>
    <t>75 413 030,80</t>
  </si>
  <si>
    <t>7 340 764,74</t>
  </si>
  <si>
    <t>176 459 154</t>
  </si>
  <si>
    <t>68,40%</t>
  </si>
  <si>
    <t>54 640 509,74</t>
  </si>
  <si>
    <t>-64 330,00</t>
  </si>
  <si>
    <t>-104 450,00</t>
  </si>
  <si>
    <t>129 020,00</t>
  </si>
  <si>
    <t>-64 340,00</t>
  </si>
  <si>
    <t>1 250</t>
  </si>
  <si>
    <t>25 890,00</t>
  </si>
  <si>
    <t>13 126 312,22</t>
  </si>
  <si>
    <t>69 529 625,72</t>
  </si>
  <si>
    <t>50 863 965,66</t>
  </si>
  <si>
    <t>21 438 308,61</t>
  </si>
  <si>
    <t>178 270 136</t>
  </si>
  <si>
    <t>161 632 826,27</t>
  </si>
  <si>
    <t>73,20%</t>
  </si>
  <si>
    <t>-4 691 509,01</t>
  </si>
  <si>
    <t>11 007 325,31</t>
  </si>
  <si>
    <t>-4 536 976,88</t>
  </si>
  <si>
    <t>10 472 804</t>
  </si>
  <si>
    <t>-53,50%</t>
  </si>
  <si>
    <t>2 765 016,88</t>
  </si>
  <si>
    <t>11 423 864,15</t>
  </si>
  <si>
    <t>345 296 916,76</t>
  </si>
  <si>
    <t>6 637 605,11</t>
  </si>
  <si>
    <t>467 440,19</t>
  </si>
  <si>
    <t>216 200 498</t>
  </si>
  <si>
    <t>-6 144,4%</t>
  </si>
  <si>
    <t>70 308 095,95</t>
  </si>
  <si>
    <t>1,90%</t>
  </si>
  <si>
    <t>8 270 228,39</t>
  </si>
  <si>
    <t>435 728 983,98</t>
  </si>
  <si>
    <t>392 307 860,05</t>
  </si>
  <si>
    <t>7 491 306,62</t>
  </si>
  <si>
    <t>253 962 598</t>
  </si>
  <si>
    <t>-504,40%</t>
  </si>
  <si>
    <t>293 287 820,12</t>
  </si>
  <si>
    <t>90,00%</t>
  </si>
  <si>
    <t>-11 936 028,06</t>
  </si>
  <si>
    <t>84 372 137,12</t>
  </si>
  <si>
    <t>123 340 982,34</t>
  </si>
  <si>
    <t>-3 176 885,82</t>
  </si>
  <si>
    <t>23 798 634</t>
  </si>
  <si>
    <t>58,10%</t>
  </si>
  <si>
    <t>166 964 307,00</t>
  </si>
  <si>
    <t>146,20%</t>
  </si>
  <si>
    <t>4 653 857 614,25</t>
  </si>
  <si>
    <t>16 775 738 580,56</t>
  </si>
  <si>
    <t>2 273 404 478,39</t>
  </si>
  <si>
    <t>6 235 308 399,46</t>
  </si>
  <si>
    <t>264 876 748 873</t>
  </si>
  <si>
    <t>35,90%</t>
  </si>
  <si>
    <t>14 817 962 102,57</t>
  </si>
  <si>
    <t>46 941 038,07</t>
  </si>
  <si>
    <t>469 695 645,13</t>
  </si>
  <si>
    <t>50 709 424,05</t>
  </si>
  <si>
    <t>61 017 994,31</t>
  </si>
  <si>
    <t>594 149 731</t>
  </si>
  <si>
    <t>643 817 802,70</t>
  </si>
  <si>
    <t>10,80%</t>
  </si>
  <si>
    <t>42 598 744,11</t>
  </si>
  <si>
    <t>267 180 205,93</t>
  </si>
  <si>
    <t>216 966 660,41</t>
  </si>
  <si>
    <t>62 132 365,11</t>
  </si>
  <si>
    <t>646 016 492</t>
  </si>
  <si>
    <t>86,10%</t>
  </si>
  <si>
    <t>464 171 807,58</t>
  </si>
  <si>
    <t>81,20%</t>
  </si>
  <si>
    <t>-6 545 385,06</t>
  </si>
  <si>
    <t>2 328 683,36</t>
  </si>
  <si>
    <t>7 547 741,89</t>
  </si>
  <si>
    <t>-5 950 187,91</t>
  </si>
  <si>
    <t>39 804 585</t>
  </si>
  <si>
    <t>11 966 367,28</t>
  </si>
  <si>
    <t>324,10%</t>
  </si>
  <si>
    <t>555 266 244,62</t>
  </si>
  <si>
    <t>1 819 728 637,28</t>
  </si>
  <si>
    <t>495 533 077,39</t>
  </si>
  <si>
    <t>670 259 882,18</t>
  </si>
  <si>
    <t>836 179 925</t>
  </si>
  <si>
    <t>24,50%</t>
  </si>
  <si>
    <t>3 364 862 687,22</t>
  </si>
  <si>
    <t>27,20%</t>
  </si>
  <si>
    <t>12 257 623,08</t>
  </si>
  <si>
    <t>59 726 529,31</t>
  </si>
  <si>
    <t>7 154 602,54</t>
  </si>
  <si>
    <t>19 834 902,28</t>
  </si>
  <si>
    <t>41 614 728</t>
  </si>
  <si>
    <t>-33,30%</t>
  </si>
  <si>
    <t>64 667 321,47</t>
  </si>
  <si>
    <t>12,00%</t>
  </si>
  <si>
    <t>-18 175 249,33</t>
  </si>
  <si>
    <t>125 498 109,64</t>
  </si>
  <si>
    <t>131 666 970,86</t>
  </si>
  <si>
    <t>-3 069 845,51</t>
  </si>
  <si>
    <t>91 722 615</t>
  </si>
  <si>
    <t>5 282,4%</t>
  </si>
  <si>
    <t>440 565 021,84</t>
  </si>
  <si>
    <t>104,90%</t>
  </si>
  <si>
    <t>-4 421 670,57</t>
  </si>
  <si>
    <t>3 485 861,18</t>
  </si>
  <si>
    <t>250 470,01</t>
  </si>
  <si>
    <t>-4 281 778,77</t>
  </si>
  <si>
    <t>101,80%</t>
  </si>
  <si>
    <t>7 886 505,77</t>
  </si>
  <si>
    <t>7,20%</t>
  </si>
  <si>
    <t>2 536 779,00</t>
  </si>
  <si>
    <t>43 500 979,18</t>
  </si>
  <si>
    <t>262 902,59</t>
  </si>
  <si>
    <t>2 682 982,05</t>
  </si>
  <si>
    <t>486 665 188</t>
  </si>
  <si>
    <t>80 092 692,10</t>
  </si>
  <si>
    <t>0,60%</t>
  </si>
  <si>
    <t>553 159,83</t>
  </si>
  <si>
    <t>2 050 738,29</t>
  </si>
  <si>
    <t>81 087,27</t>
  </si>
  <si>
    <t>-12 299,55</t>
  </si>
  <si>
    <t>303,00%</t>
  </si>
  <si>
    <t>4,00%</t>
  </si>
  <si>
    <t>18 283 832,69</t>
  </si>
  <si>
    <t>413 233 341,39</t>
  </si>
  <si>
    <t>22 562 014,81</t>
  </si>
  <si>
    <t>21 244 124,13</t>
  </si>
  <si>
    <t>201 603 889</t>
  </si>
  <si>
    <t>-109,90%</t>
  </si>
  <si>
    <t>130 100 064,81</t>
  </si>
  <si>
    <t>5,50%</t>
  </si>
  <si>
    <t>17 979 276,38</t>
  </si>
  <si>
    <t>201 141 477,95</t>
  </si>
  <si>
    <t>1 429 858,92</t>
  </si>
  <si>
    <t>16 480 186,40</t>
  </si>
  <si>
    <t>62 083 279</t>
  </si>
  <si>
    <t>49,60%</t>
  </si>
  <si>
    <t>228 139 300,91</t>
  </si>
  <si>
    <t>445 205,48</t>
  </si>
  <si>
    <t>4 577 268,84</t>
  </si>
  <si>
    <t>18 727 525,68</t>
  </si>
  <si>
    <t>1 466 181,51</t>
  </si>
  <si>
    <t>4 194 500</t>
  </si>
  <si>
    <t>-6,80%</t>
  </si>
  <si>
    <t>18 878 424,66</t>
  </si>
  <si>
    <t>409,10%</t>
  </si>
  <si>
    <t>3 869 393,70</t>
  </si>
  <si>
    <t>282 507 892,27</t>
  </si>
  <si>
    <t>3 470 749,92</t>
  </si>
  <si>
    <t>1 666 636,74</t>
  </si>
  <si>
    <t>60 828 083</t>
  </si>
  <si>
    <t>-267,50%</t>
  </si>
  <si>
    <t>156 655 723,69</t>
  </si>
  <si>
    <t>1,20%</t>
  </si>
  <si>
    <t>-54 796,60</t>
  </si>
  <si>
    <t>377 638,89</t>
  </si>
  <si>
    <t>144 392,81</t>
  </si>
  <si>
    <t>-79 679,94</t>
  </si>
  <si>
    <t>847 351</t>
  </si>
  <si>
    <t>-119,80%</t>
  </si>
  <si>
    <t>133 503,70</t>
  </si>
  <si>
    <t>38,20%</t>
  </si>
  <si>
    <t>1 057 635 175,28</t>
  </si>
  <si>
    <t>14 494 355 317,88</t>
  </si>
  <si>
    <t>89 126 559,71</t>
  </si>
  <si>
    <t>1 415 329 768,27</t>
  </si>
  <si>
    <t>11 095 553 068</t>
  </si>
  <si>
    <t>-5 318,0%</t>
  </si>
  <si>
    <t>9 373 737 373,74</t>
  </si>
  <si>
    <t>-6 103 972,29</t>
  </si>
  <si>
    <t>68 068 535,59</t>
  </si>
  <si>
    <t>60 573 497,82</t>
  </si>
  <si>
    <t>3 670 504,23</t>
  </si>
  <si>
    <t>21 785 926</t>
  </si>
  <si>
    <t>-22,80%</t>
  </si>
  <si>
    <t>167 875 479,55</t>
  </si>
  <si>
    <t>89,00%</t>
  </si>
  <si>
    <t>-1 277 916,12</t>
  </si>
  <si>
    <t>30 611 199,87</t>
  </si>
  <si>
    <t>33 596 426,13</t>
  </si>
  <si>
    <t>-2 084 700,63</t>
  </si>
  <si>
    <t>37 090 136</t>
  </si>
  <si>
    <t>-336,30%</t>
  </si>
  <si>
    <t>97 728 515,40</t>
  </si>
  <si>
    <t>109,80%</t>
  </si>
  <si>
    <t>-11 497,41</t>
  </si>
  <si>
    <t>69 187,03</t>
  </si>
  <si>
    <t>-22 603,78</t>
  </si>
  <si>
    <t>214 101</t>
  </si>
  <si>
    <t>449,30%</t>
  </si>
  <si>
    <t>94 953,08</t>
  </si>
  <si>
    <t>69 253 778,34</t>
  </si>
  <si>
    <t>1 023 476 332,42</t>
  </si>
  <si>
    <t>255 399 356,26</t>
  </si>
  <si>
    <t>89 521 455,08</t>
  </si>
  <si>
    <t>699 540 475</t>
  </si>
  <si>
    <t>33,20%</t>
  </si>
  <si>
    <t>6 013 617 104,04</t>
  </si>
  <si>
    <t>25,00%</t>
  </si>
  <si>
    <t>15 700 705,85</t>
  </si>
  <si>
    <t>225 972 140,66</t>
  </si>
  <si>
    <t>33 133 976,73</t>
  </si>
  <si>
    <t>21 335 546,23</t>
  </si>
  <si>
    <t>811 398 219</t>
  </si>
  <si>
    <t>-35,30%</t>
  </si>
  <si>
    <t>260 184 682,58</t>
  </si>
  <si>
    <t>14,70%</t>
  </si>
  <si>
    <t>-3 972 000,00</t>
  </si>
  <si>
    <t>5 965 000,00</t>
  </si>
  <si>
    <t>1 003 000,00</t>
  </si>
  <si>
    <t>-3 669 000,00</t>
  </si>
  <si>
    <t>42 351</t>
  </si>
  <si>
    <t>108,40%</t>
  </si>
  <si>
    <t>18 630 000,00</t>
  </si>
  <si>
    <t>47 541 000,00</t>
  </si>
  <si>
    <t>516 798 000,00</t>
  </si>
  <si>
    <t>54 705 000,00</t>
  </si>
  <si>
    <t>414 707 389</t>
  </si>
  <si>
    <t>672 601 000,00</t>
  </si>
  <si>
    <t>522 700 000,00</t>
  </si>
  <si>
    <t>2 430 500 000,00</t>
  </si>
  <si>
    <t>1 474 100 000,00</t>
  </si>
  <si>
    <t>704 200 000,00</t>
  </si>
  <si>
    <t>10 744 607 452</t>
  </si>
  <si>
    <t>-46,40%</t>
  </si>
  <si>
    <t>6 443 600 000,00</t>
  </si>
  <si>
    <t>60,70%</t>
  </si>
  <si>
    <t>304 062 082,15</t>
  </si>
  <si>
    <t>1 650 100 756,28</t>
  </si>
  <si>
    <t>120 036 372,41</t>
  </si>
  <si>
    <t>397 217 986,74</t>
  </si>
  <si>
    <t>425 883 826</t>
  </si>
  <si>
    <t>30,90%</t>
  </si>
  <si>
    <t>1 534 530 673,58</t>
  </si>
  <si>
    <t>-47,60%</t>
  </si>
  <si>
    <t>-2 058 624,58</t>
  </si>
  <si>
    <t>8 804 226,39</t>
  </si>
  <si>
    <t>11 372 756,65</t>
  </si>
  <si>
    <t>-1 480 579,88</t>
  </si>
  <si>
    <t>18 078 835</t>
  </si>
  <si>
    <t>22 356 174,76</t>
  </si>
  <si>
    <t>129,20%</t>
  </si>
  <si>
    <t>62 565 828,62</t>
  </si>
  <si>
    <t>1 079 190 189,95</t>
  </si>
  <si>
    <t>40 893 022,67</t>
  </si>
  <si>
    <t>77 628 904,72</t>
  </si>
  <si>
    <t>326 510 513</t>
  </si>
  <si>
    <t>40,80%</t>
  </si>
  <si>
    <t>1 180 964 716,66</t>
  </si>
  <si>
    <t>3,80%</t>
  </si>
  <si>
    <t>25 866 812,45</t>
  </si>
  <si>
    <t>253 662 021,97</t>
  </si>
  <si>
    <t>79 467 300,65</t>
  </si>
  <si>
    <t>29 059 957,28</t>
  </si>
  <si>
    <t>188 657 264</t>
  </si>
  <si>
    <t>-41,40%</t>
  </si>
  <si>
    <t>330 983 014,65</t>
  </si>
  <si>
    <t>31,30%</t>
  </si>
  <si>
    <t>9 977 718,43</t>
  </si>
  <si>
    <t>2 243 188,06</t>
  </si>
  <si>
    <t>6 960 500</t>
  </si>
  <si>
    <t>5,40%</t>
  </si>
  <si>
    <t>2 703 243,46</t>
  </si>
  <si>
    <t>129 824,97</t>
  </si>
  <si>
    <t>232 479,10</t>
  </si>
  <si>
    <t>242 091,27</t>
  </si>
  <si>
    <t>165 452,19</t>
  </si>
  <si>
    <t>752 691</t>
  </si>
  <si>
    <t>744 724,91</t>
  </si>
  <si>
    <t>104,10%</t>
  </si>
  <si>
    <t>1 660 544,22</t>
  </si>
  <si>
    <t>37 960 544,22</t>
  </si>
  <si>
    <t>12 814 739,23</t>
  </si>
  <si>
    <t>3 239 002,27</t>
  </si>
  <si>
    <t>18 448 850</t>
  </si>
  <si>
    <t>-153,80%</t>
  </si>
  <si>
    <t>105 086 848,07</t>
  </si>
  <si>
    <t>-793 684,20</t>
  </si>
  <si>
    <t>187 609 788,96</t>
  </si>
  <si>
    <t>32 739 312,65</t>
  </si>
  <si>
    <t>582 427,77</t>
  </si>
  <si>
    <t>61 034 874</t>
  </si>
  <si>
    <t>126,10%</t>
  </si>
  <si>
    <t>110 537 723,94</t>
  </si>
  <si>
    <t>17 013 012,75</t>
  </si>
  <si>
    <t>257 074 577,33</t>
  </si>
  <si>
    <t>19 785 746,95</t>
  </si>
  <si>
    <t>247 468 350</t>
  </si>
  <si>
    <t>-14,80%</t>
  </si>
  <si>
    <t>122 937 001,11</t>
  </si>
  <si>
    <t>-33 264 000,00</t>
  </si>
  <si>
    <t>150 902 000,00</t>
  </si>
  <si>
    <t>165 503 000,00</t>
  </si>
  <si>
    <t>-29 442 000,00</t>
  </si>
  <si>
    <t>18 050 944</t>
  </si>
  <si>
    <t>178,70%</t>
  </si>
  <si>
    <t>415 351 000,00</t>
  </si>
  <si>
    <t>109,70%</t>
  </si>
  <si>
    <t>2 751 054,42</t>
  </si>
  <si>
    <t>52 973 015,87</t>
  </si>
  <si>
    <t>8 520 181,41</t>
  </si>
  <si>
    <t>4 165 564,63</t>
  </si>
  <si>
    <t>24 117 395</t>
  </si>
  <si>
    <t>-137,50%</t>
  </si>
  <si>
    <t>41 849 054,42</t>
  </si>
  <si>
    <t>-1 842 282,95</t>
  </si>
  <si>
    <t>46 699 025,42</t>
  </si>
  <si>
    <t>2 752 277,22</t>
  </si>
  <si>
    <t>-1 586 343,08</t>
  </si>
  <si>
    <t>7 271 305</t>
  </si>
  <si>
    <t>-17,30%</t>
  </si>
  <si>
    <t>8 723 103,38</t>
  </si>
  <si>
    <t>5,90%</t>
  </si>
  <si>
    <t>-299 541 531,13</t>
  </si>
  <si>
    <t>251 773 685,42</t>
  </si>
  <si>
    <t>250 364 982,20</t>
  </si>
  <si>
    <t>-326 178 828,47</t>
  </si>
  <si>
    <t>72 626 752</t>
  </si>
  <si>
    <t>-63,90%</t>
  </si>
  <si>
    <t>757 113 951,28</t>
  </si>
  <si>
    <t>99,40%</t>
  </si>
  <si>
    <t>-248 958,45</t>
  </si>
  <si>
    <t>-3 364 359,50</t>
  </si>
  <si>
    <t>3 131 395,22</t>
  </si>
  <si>
    <t>-280 203,53</t>
  </si>
  <si>
    <t>48 260</t>
  </si>
  <si>
    <t>-140,00%</t>
  </si>
  <si>
    <t>21 621,87</t>
  </si>
  <si>
    <t>77 181,50</t>
  </si>
  <si>
    <t>553 520,80</t>
  </si>
  <si>
    <t>100 996,33</t>
  </si>
  <si>
    <t>129 828,53</t>
  </si>
  <si>
    <t>522 032</t>
  </si>
  <si>
    <t>2 138 074,97</t>
  </si>
  <si>
    <t>18,20%</t>
  </si>
  <si>
    <t>2 346 728</t>
  </si>
  <si>
    <t>398 490 749,76</t>
  </si>
  <si>
    <t>1 442 429 406,04</t>
  </si>
  <si>
    <t>1 140 092 502,43</t>
  </si>
  <si>
    <t>543 695 228,82</t>
  </si>
  <si>
    <t>38 691 544 137</t>
  </si>
  <si>
    <t>4 938 534 566,70</t>
  </si>
  <si>
    <t>79,00%</t>
  </si>
  <si>
    <t>612 031,75</t>
  </si>
  <si>
    <t>33 395 111,71</t>
  </si>
  <si>
    <t>1 676 473,87</t>
  </si>
  <si>
    <t>-450 169,28</t>
  </si>
  <si>
    <t>22 969 843</t>
  </si>
  <si>
    <t>16,90%</t>
  </si>
  <si>
    <t>58 221 936,67</t>
  </si>
  <si>
    <t>937 540,48</t>
  </si>
  <si>
    <t>48 252 677,16</t>
  </si>
  <si>
    <t>19 540 921,76</t>
  </si>
  <si>
    <t>882 483,62</t>
  </si>
  <si>
    <t>17 766 167</t>
  </si>
  <si>
    <t>41,80%</t>
  </si>
  <si>
    <t>94 519 188,19</t>
  </si>
  <si>
    <t>40,50%</t>
  </si>
  <si>
    <t>3 871 865,35</t>
  </si>
  <si>
    <t>107 330 122,75</t>
  </si>
  <si>
    <t>1 320 581,37</t>
  </si>
  <si>
    <t>6 006 175,16</t>
  </si>
  <si>
    <t>70 007 574</t>
  </si>
  <si>
    <t>-30,50%</t>
  </si>
  <si>
    <t>147 160 787,71</t>
  </si>
  <si>
    <t>5 127 350,31</t>
  </si>
  <si>
    <t>201 926 923,59</t>
  </si>
  <si>
    <t>45 112 681,69</t>
  </si>
  <si>
    <t>3 653 820,51</t>
  </si>
  <si>
    <t>71 422 943</t>
  </si>
  <si>
    <t>-440,20%</t>
  </si>
  <si>
    <t>384 957 994,40</t>
  </si>
  <si>
    <t>22,30%</t>
  </si>
  <si>
    <t>-9 114 338,49</t>
  </si>
  <si>
    <t>113 899 993,63</t>
  </si>
  <si>
    <t>169 085 419,45</t>
  </si>
  <si>
    <t>2 827 950,82</t>
  </si>
  <si>
    <t>26 716 817</t>
  </si>
  <si>
    <t>22,40%</t>
  </si>
  <si>
    <t>330 076 565,39</t>
  </si>
  <si>
    <t>148,50%</t>
  </si>
  <si>
    <t>119 790,65</t>
  </si>
  <si>
    <t>8 382 363,68</t>
  </si>
  <si>
    <t>28 115,87</t>
  </si>
  <si>
    <t>4 431 285</t>
  </si>
  <si>
    <t>-3 132,7%</t>
  </si>
  <si>
    <t>1 838 120,74</t>
  </si>
  <si>
    <t>7 616 394,84</t>
  </si>
  <si>
    <t>47 042 928,43</t>
  </si>
  <si>
    <t>60 992 356,38</t>
  </si>
  <si>
    <t>9 512 621,71</t>
  </si>
  <si>
    <t>61 962 468</t>
  </si>
  <si>
    <t>-443,40%</t>
  </si>
  <si>
    <t>99 880 988,32</t>
  </si>
  <si>
    <t>129,70%</t>
  </si>
  <si>
    <t>363 825,10</t>
  </si>
  <si>
    <t>-718 334,59</t>
  </si>
  <si>
    <t>1 632 924,29</t>
  </si>
  <si>
    <t>387 678,92</t>
  </si>
  <si>
    <t>3 537 281</t>
  </si>
  <si>
    <t>-446,10%</t>
  </si>
  <si>
    <t>1 363 193,77</t>
  </si>
  <si>
    <t>10 368 610,03</t>
  </si>
  <si>
    <t>71 282 740,99</t>
  </si>
  <si>
    <t>326 387,54</t>
  </si>
  <si>
    <t>11 740 664,56</t>
  </si>
  <si>
    <t>222 596 598</t>
  </si>
  <si>
    <t>-102,50%</t>
  </si>
  <si>
    <t>64 895 849,56</t>
  </si>
  <si>
    <t>1 147 334,47</t>
  </si>
  <si>
    <t>5 534 457,16</t>
  </si>
  <si>
    <t>4 890 506,33</t>
  </si>
  <si>
    <t>1 784 067,67</t>
  </si>
  <si>
    <t>15 033 424</t>
  </si>
  <si>
    <t>14,30%</t>
  </si>
  <si>
    <t>28 413 339,82</t>
  </si>
  <si>
    <t>88,40%</t>
  </si>
  <si>
    <t>40 995,80</t>
  </si>
  <si>
    <t>7 730 461,91</t>
  </si>
  <si>
    <t>4 799,04</t>
  </si>
  <si>
    <t>11 769,65</t>
  </si>
  <si>
    <t>28 361 236</t>
  </si>
  <si>
    <t>45,40%</t>
  </si>
  <si>
    <t>754 049,19</t>
  </si>
  <si>
    <t>742 466</t>
  </si>
  <si>
    <t>-71,80%</t>
  </si>
  <si>
    <t>139 473,22</t>
  </si>
  <si>
    <t>3 328 611,85</t>
  </si>
  <si>
    <t>2 487 005,48</t>
  </si>
  <si>
    <t>271 180,99</t>
  </si>
  <si>
    <t>4 556 363</t>
  </si>
  <si>
    <t>6 434 947,30</t>
  </si>
  <si>
    <t>74,70%</t>
  </si>
  <si>
    <t>432 290,65</t>
  </si>
  <si>
    <t>5 422 736,12</t>
  </si>
  <si>
    <t>3 591 358,33</t>
  </si>
  <si>
    <t>666 833,01</t>
  </si>
  <si>
    <t>18 375 591</t>
  </si>
  <si>
    <t>150,50%</t>
  </si>
  <si>
    <t>11 325 888,51</t>
  </si>
  <si>
    <t>66,20%</t>
  </si>
  <si>
    <t>197 285,78</t>
  </si>
  <si>
    <t>3 042 453,75</t>
  </si>
  <si>
    <t>9 834,47</t>
  </si>
  <si>
    <t>184 384,13</t>
  </si>
  <si>
    <t>8 386 688</t>
  </si>
  <si>
    <t>353,30%</t>
  </si>
  <si>
    <t>4 586 733,20</t>
  </si>
  <si>
    <t>-3 165 255,88</t>
  </si>
  <si>
    <t>10 106 744,12</t>
  </si>
  <si>
    <t>1 186 113,42</t>
  </si>
  <si>
    <t>-3 124 182,57</t>
  </si>
  <si>
    <t>526 202</t>
  </si>
  <si>
    <t>-142,30%</t>
  </si>
  <si>
    <t>4 764 005,53</t>
  </si>
  <si>
    <t>11,70%</t>
  </si>
  <si>
    <t>898 084,33</t>
  </si>
  <si>
    <t>20 146 992,72</t>
  </si>
  <si>
    <t>335 124,14</t>
  </si>
  <si>
    <t>1 628 692,21</t>
  </si>
  <si>
    <t>17 196 280</t>
  </si>
  <si>
    <t>15 772 442,21</t>
  </si>
  <si>
    <t>1,70%</t>
  </si>
  <si>
    <t>-4 846 203,08</t>
  </si>
  <si>
    <t>-827 320,58</t>
  </si>
  <si>
    <t>24 533 455,46</t>
  </si>
  <si>
    <t>-2 554 556,19</t>
  </si>
  <si>
    <t>856 873</t>
  </si>
  <si>
    <t>119,40%</t>
  </si>
  <si>
    <t>14 181 773,03</t>
  </si>
  <si>
    <t>-19 580 790,00</t>
  </si>
  <si>
    <t>39 774 590,00</t>
  </si>
  <si>
    <t>-13 976 020,00</t>
  </si>
  <si>
    <t>11 682 808</t>
  </si>
  <si>
    <t>-117,40%</t>
  </si>
  <si>
    <t>29 946 230,00</t>
  </si>
  <si>
    <t>626 273,15</t>
  </si>
  <si>
    <t>9 475 823,80</t>
  </si>
  <si>
    <t>6 031 141,07</t>
  </si>
  <si>
    <t>732 577,61</t>
  </si>
  <si>
    <t>11 295 285</t>
  </si>
  <si>
    <t>-175,10%</t>
  </si>
  <si>
    <t>24 004 568,36</t>
  </si>
  <si>
    <t>63,60%</t>
  </si>
  <si>
    <t>86 096 561,58</t>
  </si>
  <si>
    <t>389 506 120,74</t>
  </si>
  <si>
    <t>575 630 957,80</t>
  </si>
  <si>
    <t>134 306 097,11</t>
  </si>
  <si>
    <t>138 086 741</t>
  </si>
  <si>
    <t>343,90%</t>
  </si>
  <si>
    <t>2 148 293 903,08</t>
  </si>
  <si>
    <t>147,80%</t>
  </si>
  <si>
    <t>994 880,00</t>
  </si>
  <si>
    <t>7 462 190,00</t>
  </si>
  <si>
    <t>4 102 140,00</t>
  </si>
  <si>
    <t>2 711 640,00</t>
  </si>
  <si>
    <t>4 986 267</t>
  </si>
  <si>
    <t>185,00%</t>
  </si>
  <si>
    <t>48 259 860,00</t>
  </si>
  <si>
    <t>55,00%</t>
  </si>
  <si>
    <t>734 430 979,24</t>
  </si>
  <si>
    <t>5 499 433 026,45</t>
  </si>
  <si>
    <t>3 845 005 542,83</t>
  </si>
  <si>
    <t>862 239 488,49</t>
  </si>
  <si>
    <t>4 791 853 784</t>
  </si>
  <si>
    <t>-486,40%</t>
  </si>
  <si>
    <t>2 148 872 407,64</t>
  </si>
  <si>
    <t>69,90%</t>
  </si>
  <si>
    <t>10 933 000,00</t>
  </si>
  <si>
    <t>63 182 000,00</t>
  </si>
  <si>
    <t>20 794 000,00</t>
  </si>
  <si>
    <t>19 544 000,00</t>
  </si>
  <si>
    <t>80 878 670</t>
  </si>
  <si>
    <t>-41,60%</t>
  </si>
  <si>
    <t>243 463 000,00</t>
  </si>
  <si>
    <t>32,90%</t>
  </si>
  <si>
    <t>5 827 409,93</t>
  </si>
  <si>
    <t>48 737 512,17</t>
  </si>
  <si>
    <t>16 160 978,58</t>
  </si>
  <si>
    <t>8 530 355,40</t>
  </si>
  <si>
    <t>155 164 263</t>
  </si>
  <si>
    <t>31,90%</t>
  </si>
  <si>
    <t>93 960 321,32</t>
  </si>
  <si>
    <t>26 044 828,00</t>
  </si>
  <si>
    <t>72 548 089,13</t>
  </si>
  <si>
    <t>36 317 084,75</t>
  </si>
  <si>
    <t>34 652 864,38</t>
  </si>
  <si>
    <t>526 623 312</t>
  </si>
  <si>
    <t>-2,30%</t>
  </si>
  <si>
    <t>192 141 304,23</t>
  </si>
  <si>
    <t>50,10%</t>
  </si>
  <si>
    <t>1 322 034,79</t>
  </si>
  <si>
    <t>9 501 558,85</t>
  </si>
  <si>
    <t>23 933 790,20</t>
  </si>
  <si>
    <t>1 127 215,90</t>
  </si>
  <si>
    <t>10 916 618</t>
  </si>
  <si>
    <t>51,20%</t>
  </si>
  <si>
    <t>51 968 491,60</t>
  </si>
  <si>
    <t>111 155 259,76</t>
  </si>
  <si>
    <t>641 621 138,37</t>
  </si>
  <si>
    <t>238 551 703,59</t>
  </si>
  <si>
    <t>156 670 308,93</t>
  </si>
  <si>
    <t>946 847 133</t>
  </si>
  <si>
    <t>3,50%</t>
  </si>
  <si>
    <t>944 958 776,20</t>
  </si>
  <si>
    <t>37,20%</t>
  </si>
  <si>
    <t>408 904,24</t>
  </si>
  <si>
    <t>54 237 957,11</t>
  </si>
  <si>
    <t>43 266 410,27</t>
  </si>
  <si>
    <t>618 082,26</t>
  </si>
  <si>
    <t>73 712 147</t>
  </si>
  <si>
    <t>-17,90%</t>
  </si>
  <si>
    <t>78 606 283,81</t>
  </si>
  <si>
    <t>79,80%</t>
  </si>
  <si>
    <t>6 253 348</t>
  </si>
  <si>
    <t>92,00%</t>
  </si>
  <si>
    <t>13 243 132,88</t>
  </si>
  <si>
    <t>49 546 710,00</t>
  </si>
  <si>
    <t>638 334 750,00</t>
  </si>
  <si>
    <t>1 996 452 430,00</t>
  </si>
  <si>
    <t>252 148 770,00</t>
  </si>
  <si>
    <t>2 475 666 090,00</t>
  </si>
  <si>
    <t>312,80%</t>
  </si>
  <si>
    <t>37 111 672,72</t>
  </si>
  <si>
    <t>183 108 384,01</t>
  </si>
  <si>
    <t>10 624 303,36</t>
  </si>
  <si>
    <t>50 022 623,69</t>
  </si>
  <si>
    <t>485 695 180</t>
  </si>
  <si>
    <t>-281,20%</t>
  </si>
  <si>
    <t>233 181 773,03</t>
  </si>
  <si>
    <t>-4 457 166,60</t>
  </si>
  <si>
    <t>13 607 608,94</t>
  </si>
  <si>
    <t>76 300 076,49</t>
  </si>
  <si>
    <t>3 157 386,34</t>
  </si>
  <si>
    <t>2 846 806</t>
  </si>
  <si>
    <t>-15,20%</t>
  </si>
  <si>
    <t>78 027 275,20</t>
  </si>
  <si>
    <t>560,70%</t>
  </si>
  <si>
    <t>533 580 000,00</t>
  </si>
  <si>
    <t>1 957 457 000,00</t>
  </si>
  <si>
    <t>1 083 061 000,00</t>
  </si>
  <si>
    <t>643 853 000,00</t>
  </si>
  <si>
    <t>6 004 976 329</t>
  </si>
  <si>
    <t>-93,00%</t>
  </si>
  <si>
    <t>3 195 911 000,00</t>
  </si>
  <si>
    <t>55,30%</t>
  </si>
  <si>
    <t>251 400 000,00</t>
  </si>
  <si>
    <t>1 938 610 000,00</t>
  </si>
  <si>
    <t>310 284 000,00</t>
  </si>
  <si>
    <t>4 723 260 921</t>
  </si>
  <si>
    <t>91,30%</t>
  </si>
  <si>
    <t>3 487 203 000,00</t>
  </si>
  <si>
    <t>555 924,08</t>
  </si>
  <si>
    <t>6 401 933,69</t>
  </si>
  <si>
    <t>5 017 949,47</t>
  </si>
  <si>
    <t>643 070,05</t>
  </si>
  <si>
    <t>4 931 996</t>
  </si>
  <si>
    <t>-23,30%</t>
  </si>
  <si>
    <t>34 276 645,10</t>
  </si>
  <si>
    <t>78,40%</t>
  </si>
  <si>
    <t>57 858 409,81</t>
  </si>
  <si>
    <t>100 795 164,35</t>
  </si>
  <si>
    <t>38 638 170,41</t>
  </si>
  <si>
    <t>72 924 322,70</t>
  </si>
  <si>
    <t>434 294 226</t>
  </si>
  <si>
    <t>-50,70%</t>
  </si>
  <si>
    <t>226 769 159,85</t>
  </si>
  <si>
    <t>38,30%</t>
  </si>
  <si>
    <t>-12 963 384,13</t>
  </si>
  <si>
    <t>316 681 828,52</t>
  </si>
  <si>
    <t>691 689 788,49</t>
  </si>
  <si>
    <t>-29 645 212,64</t>
  </si>
  <si>
    <t>115 063 078</t>
  </si>
  <si>
    <t>37,00%</t>
  </si>
  <si>
    <t>454 854 067,17</t>
  </si>
  <si>
    <t>218,40%</t>
  </si>
  <si>
    <t>-7 667 689,03</t>
  </si>
  <si>
    <t>18 049 073,21</t>
  </si>
  <si>
    <t>126 683,56</t>
  </si>
  <si>
    <t>-7 247 633,02</t>
  </si>
  <si>
    <t>36 974 119</t>
  </si>
  <si>
    <t>41,20%</t>
  </si>
  <si>
    <t>102 740 365,38</t>
  </si>
  <si>
    <t>-1 141 946,06</t>
  </si>
  <si>
    <t>22 775 401,48</t>
  </si>
  <si>
    <t>4 343 032,04</t>
  </si>
  <si>
    <t>-146 505,14</t>
  </si>
  <si>
    <t>22 971 359</t>
  </si>
  <si>
    <t>-13,40%</t>
  </si>
  <si>
    <t>63 143 201,09</t>
  </si>
  <si>
    <t>19,10%</t>
  </si>
  <si>
    <t>18 674 708,52</t>
  </si>
  <si>
    <t>60 208 486,23</t>
  </si>
  <si>
    <t>4 661 711,62</t>
  </si>
  <si>
    <t>24 909 880,93</t>
  </si>
  <si>
    <t>230 529 448</t>
  </si>
  <si>
    <t>65,20%</t>
  </si>
  <si>
    <t>137 475 782,39</t>
  </si>
  <si>
    <t>7,70%</t>
  </si>
  <si>
    <t>16 367 594,70</t>
  </si>
  <si>
    <t>142 224 342,39</t>
  </si>
  <si>
    <t>27 594 319,08</t>
  </si>
  <si>
    <t>24 358 271,65</t>
  </si>
  <si>
    <t>87 646 068</t>
  </si>
  <si>
    <t>64,30%</t>
  </si>
  <si>
    <t>181 721 947,60</t>
  </si>
  <si>
    <t>19,40%</t>
  </si>
  <si>
    <t>3 030 865,00</t>
  </si>
  <si>
    <t>31 653 412,42</t>
  </si>
  <si>
    <t>17 807 085,59</t>
  </si>
  <si>
    <t>5 511 342,16</t>
  </si>
  <si>
    <t>253 920 375</t>
  </si>
  <si>
    <t>-49,70%</t>
  </si>
  <si>
    <t>31 328 140,28</t>
  </si>
  <si>
    <t>56,30%</t>
  </si>
  <si>
    <t>-1 773 429,30</t>
  </si>
  <si>
    <t>10 436 185,74</t>
  </si>
  <si>
    <t>272 135,85</t>
  </si>
  <si>
    <t>-1 754 731,96</t>
  </si>
  <si>
    <t>8 949 753</t>
  </si>
  <si>
    <t>144,90%</t>
  </si>
  <si>
    <t>2 743 385,50</t>
  </si>
  <si>
    <t>2,60%</t>
  </si>
  <si>
    <t>591 389,09</t>
  </si>
  <si>
    <t>11 400 234,67</t>
  </si>
  <si>
    <t>3 098 917,93</t>
  </si>
  <si>
    <t>233 361,58</t>
  </si>
  <si>
    <t>17 175 737</t>
  </si>
  <si>
    <t>-1 293,3%</t>
  </si>
  <si>
    <t>14 600 971,25</t>
  </si>
  <si>
    <t>174 327 981,99</t>
  </si>
  <si>
    <t>1 792 067 611,98</t>
  </si>
  <si>
    <t>88 035 333,50</t>
  </si>
  <si>
    <t>187 011 441,09</t>
  </si>
  <si>
    <t>1 047 188 182</t>
  </si>
  <si>
    <t>-45,90%</t>
  </si>
  <si>
    <t>41 344 876 521,42</t>
  </si>
  <si>
    <t>168 713 480,22</t>
  </si>
  <si>
    <t>836 665 830,13</t>
  </si>
  <si>
    <t>40 945 538,10</t>
  </si>
  <si>
    <t>213 442 735,15</t>
  </si>
  <si>
    <t>4 308 062 737</t>
  </si>
  <si>
    <t>-97,10%</t>
  </si>
  <si>
    <t>1 003 535 036,83</t>
  </si>
  <si>
    <t>-1 479 796,83</t>
  </si>
  <si>
    <t>14 846 486,24</t>
  </si>
  <si>
    <t>13 159 730,12</t>
  </si>
  <si>
    <t>-490 485,94</t>
  </si>
  <si>
    <t>17 193 666</t>
  </si>
  <si>
    <t>76,70%</t>
  </si>
  <si>
    <t>67 292 093,09</t>
  </si>
  <si>
    <t>88,60%</t>
  </si>
  <si>
    <t>15 291 872,06</t>
  </si>
  <si>
    <t>249 526 923,97</t>
  </si>
  <si>
    <t>178 357 217,42</t>
  </si>
  <si>
    <t>19 847 362,70</t>
  </si>
  <si>
    <t>255 623 130</t>
  </si>
  <si>
    <t>-202,80%</t>
  </si>
  <si>
    <t>593 801 845,68</t>
  </si>
  <si>
    <t>71,50%</t>
  </si>
  <si>
    <t>298 965 552,69</t>
  </si>
  <si>
    <t>2 116 987 142,61</t>
  </si>
  <si>
    <t>805 931 286,61</t>
  </si>
  <si>
    <t>406 834 631,44</t>
  </si>
  <si>
    <t>6 224 880 339</t>
  </si>
  <si>
    <t>231,00%</t>
  </si>
  <si>
    <t>2 691 199 652,03</t>
  </si>
  <si>
    <t>38,10%</t>
  </si>
  <si>
    <t>1 039 229,41</t>
  </si>
  <si>
    <t>47 401 259,87</t>
  </si>
  <si>
    <t>16 325 034,16</t>
  </si>
  <si>
    <t>3 091 024,23</t>
  </si>
  <si>
    <t>76 634 467</t>
  </si>
  <si>
    <t>55,80%</t>
  </si>
  <si>
    <t>156 431 690,16</t>
  </si>
  <si>
    <t>34,40%</t>
  </si>
  <si>
    <t>2 619,1%</t>
  </si>
  <si>
    <t>396 543</t>
  </si>
  <si>
    <t>2 866 791,65</t>
  </si>
  <si>
    <t>49 078 959,31</t>
  </si>
  <si>
    <t>5 266 742,86</t>
  </si>
  <si>
    <t>2 263 878,51</t>
  </si>
  <si>
    <t>44 896 835</t>
  </si>
  <si>
    <t>32 413 830,79</t>
  </si>
  <si>
    <t>10,70%</t>
  </si>
  <si>
    <t>1 190 492,62</t>
  </si>
  <si>
    <t>101 410 760,86</t>
  </si>
  <si>
    <t>11 949 621,60</t>
  </si>
  <si>
    <t>-2 128 628,64</t>
  </si>
  <si>
    <t>88 462 148</t>
  </si>
  <si>
    <t>-69,60%</t>
  </si>
  <si>
    <t>38 598 345,62</t>
  </si>
  <si>
    <t>11,80%</t>
  </si>
  <si>
    <t>9 803 428,89</t>
  </si>
  <si>
    <t>130 871 321,59</t>
  </si>
  <si>
    <t>1 469 155,35</t>
  </si>
  <si>
    <t>12 806 059,31</t>
  </si>
  <si>
    <t>112 335 708</t>
  </si>
  <si>
    <t>616,10%</t>
  </si>
  <si>
    <t>144 014 802,50</t>
  </si>
  <si>
    <t>-5 465 443,66</t>
  </si>
  <si>
    <t>58 928 976,37</t>
  </si>
  <si>
    <t>8 368 813,30</t>
  </si>
  <si>
    <t>-3 182 368,30</t>
  </si>
  <si>
    <t>6 431 521</t>
  </si>
  <si>
    <t>61,30%</t>
  </si>
  <si>
    <t>16 299 891,71</t>
  </si>
  <si>
    <t>14,20%</t>
  </si>
  <si>
    <t>-238 175,87</t>
  </si>
  <si>
    <t>3 323 738,57</t>
  </si>
  <si>
    <t>1 116 943,22</t>
  </si>
  <si>
    <t>-220 115,14</t>
  </si>
  <si>
    <t>956 486</t>
  </si>
  <si>
    <t>8,60%</t>
  </si>
  <si>
    <t>10 387 176,88</t>
  </si>
  <si>
    <t>33,60%</t>
  </si>
  <si>
    <t>-8 210,18</t>
  </si>
  <si>
    <t>14 074,60</t>
  </si>
  <si>
    <t>11,60%</t>
  </si>
  <si>
    <t>3 518,65</t>
  </si>
  <si>
    <t>33 421 256,76</t>
  </si>
  <si>
    <t>43 475 979,40</t>
  </si>
  <si>
    <t>77 335 669,12</t>
  </si>
  <si>
    <t>5 466 690,57</t>
  </si>
  <si>
    <t>79 879 486</t>
  </si>
  <si>
    <t>94 891 891,01</t>
  </si>
  <si>
    <t>1 123 776,03</t>
  </si>
  <si>
    <t>37 414 358,34</t>
  </si>
  <si>
    <t>57 223 610,34</t>
  </si>
  <si>
    <t>6 654 445,33</t>
  </si>
  <si>
    <t>35 948 928</t>
  </si>
  <si>
    <t>-29,60%</t>
  </si>
  <si>
    <t>113 529 469,79</t>
  </si>
  <si>
    <t>152,90%</t>
  </si>
  <si>
    <t>-1 412 392,28</t>
  </si>
  <si>
    <t>15 888 773,85</t>
  </si>
  <si>
    <t>372 810,29</t>
  </si>
  <si>
    <t>-1 385 607,72</t>
  </si>
  <si>
    <t>39 798 356</t>
  </si>
  <si>
    <t>34,10%</t>
  </si>
  <si>
    <t>6 302 319,40</t>
  </si>
  <si>
    <t>-35 590 613,03</t>
  </si>
  <si>
    <t>126 338 930,17</t>
  </si>
  <si>
    <t>227 809 598,62</t>
  </si>
  <si>
    <t>-33 037 672,24</t>
  </si>
  <si>
    <t>38 800 633</t>
  </si>
  <si>
    <t>5,30%</t>
  </si>
  <si>
    <t>709 618 258,98</t>
  </si>
  <si>
    <t>180,30%</t>
  </si>
  <si>
    <t>131 510 690,31</t>
  </si>
  <si>
    <t>515 588 357,99</t>
  </si>
  <si>
    <t>55 843 686,85</t>
  </si>
  <si>
    <t>157 737 044,52</t>
  </si>
  <si>
    <t>2 913 218 404</t>
  </si>
  <si>
    <t>1 057 907 763,51</t>
  </si>
  <si>
    <t>50 930,41</t>
  </si>
  <si>
    <t>5 602 826,75</t>
  </si>
  <si>
    <t>239 976,46</t>
  </si>
  <si>
    <t>82 313,36</t>
  </si>
  <si>
    <t>4 843 603</t>
  </si>
  <si>
    <t>17,80%</t>
  </si>
  <si>
    <t>5 154 705,33</t>
  </si>
  <si>
    <t>4,30%</t>
  </si>
  <si>
    <t>1 057 032,99</t>
  </si>
  <si>
    <t>8 657 713,22</t>
  </si>
  <si>
    <t>13 055 230,61</t>
  </si>
  <si>
    <t>995 827,65</t>
  </si>
  <si>
    <t>6 679 844</t>
  </si>
  <si>
    <t>-174,30%</t>
  </si>
  <si>
    <t>3 299 148,63</t>
  </si>
  <si>
    <t>150,80%</t>
  </si>
  <si>
    <t>-8 139 243,03</t>
  </si>
  <si>
    <t>114 519 001,51</t>
  </si>
  <si>
    <t>32 448 986,03</t>
  </si>
  <si>
    <t>-8 518 889,79</t>
  </si>
  <si>
    <t>218 414 635</t>
  </si>
  <si>
    <t>-26,00%</t>
  </si>
  <si>
    <t>55 209 923,40</t>
  </si>
  <si>
    <t>28,30%</t>
  </si>
  <si>
    <t>-5 399 867,23</t>
  </si>
  <si>
    <t>28 038 354,79</t>
  </si>
  <si>
    <t>13 706 306,54</t>
  </si>
  <si>
    <t>-439 302,95</t>
  </si>
  <si>
    <t>70 971 173</t>
  </si>
  <si>
    <t>52,70%</t>
  </si>
  <si>
    <t>5 331 230,50</t>
  </si>
  <si>
    <t>48,90%</t>
  </si>
  <si>
    <t>-2 697 331,15</t>
  </si>
  <si>
    <t>5 593 770,42</t>
  </si>
  <si>
    <t>1 659 334,15</t>
  </si>
  <si>
    <t>-3 140 808,82</t>
  </si>
  <si>
    <t>27 254 393</t>
  </si>
  <si>
    <t>69,70%</t>
  </si>
  <si>
    <t>42 846 330,34</t>
  </si>
  <si>
    <t>29,70%</t>
  </si>
  <si>
    <t>-2 004 383,71</t>
  </si>
  <si>
    <t>22 560 383,71</t>
  </si>
  <si>
    <t>1 827 697,75</t>
  </si>
  <si>
    <t>-1 866 769,56</t>
  </si>
  <si>
    <t>10 326 772</t>
  </si>
  <si>
    <t>-58,60%</t>
  </si>
  <si>
    <t>9 600 831,73</t>
  </si>
  <si>
    <t>8,10%</t>
  </si>
  <si>
    <t>38 339 129,88</t>
  </si>
  <si>
    <t>207 586 725,27</t>
  </si>
  <si>
    <t>80 849 226,07</t>
  </si>
  <si>
    <t>53 643 544,17</t>
  </si>
  <si>
    <t>317 506 925</t>
  </si>
  <si>
    <t>516 097 458,44</t>
  </si>
  <si>
    <t>38,90%</t>
  </si>
  <si>
    <t>-8 631 000,00</t>
  </si>
  <si>
    <t>-2 344 000,00</t>
  </si>
  <si>
    <t>12 658 000,00</t>
  </si>
  <si>
    <t>-5 952 000,00</t>
  </si>
  <si>
    <t>-4,10%</t>
  </si>
  <si>
    <t>33 756 000,00</t>
  </si>
  <si>
    <t>-204 941,58</t>
  </si>
  <si>
    <t>-3 637 536,51</t>
  </si>
  <si>
    <t>-252 336,90</t>
  </si>
  <si>
    <t>2 520 385</t>
  </si>
  <si>
    <t>767 161,64</t>
  </si>
  <si>
    <t>-591 944,67</t>
  </si>
  <si>
    <t>532 190,81</t>
  </si>
  <si>
    <t>5 779 342,96</t>
  </si>
  <si>
    <t>-825 620,42</t>
  </si>
  <si>
    <t>2 785 240</t>
  </si>
  <si>
    <t>17 131 560,21</t>
  </si>
  <si>
    <t>1 086,0%</t>
  </si>
  <si>
    <t>354 248,37</t>
  </si>
  <si>
    <t>13 385 403,05</t>
  </si>
  <si>
    <t>355 119,83</t>
  </si>
  <si>
    <t>19 756 961</t>
  </si>
  <si>
    <t>-111,80%</t>
  </si>
  <si>
    <t>16 157 734,20</t>
  </si>
  <si>
    <t>17 404 213,45</t>
  </si>
  <si>
    <t>169 055 353,89</t>
  </si>
  <si>
    <t>39 264 171,29</t>
  </si>
  <si>
    <t>25 751 013,98</t>
  </si>
  <si>
    <t>86 796 915</t>
  </si>
  <si>
    <t>75,10%</t>
  </si>
  <si>
    <t>326 285 582,43</t>
  </si>
  <si>
    <t>23,20%</t>
  </si>
  <si>
    <t>14 052 287,58</t>
  </si>
  <si>
    <t>105 691 721,13</t>
  </si>
  <si>
    <t>25 905 501,09</t>
  </si>
  <si>
    <t>12 608 932,46</t>
  </si>
  <si>
    <t>53 147 144</t>
  </si>
  <si>
    <t>409 790 305,01</t>
  </si>
  <si>
    <t>16 828 321,11</t>
  </si>
  <si>
    <t>55 090 677,69</t>
  </si>
  <si>
    <t>6 795 149,37</t>
  </si>
  <si>
    <t>20 974 749,80</t>
  </si>
  <si>
    <t>218 504 282</t>
  </si>
  <si>
    <t>83,80%</t>
  </si>
  <si>
    <t>83 097 135,02</t>
  </si>
  <si>
    <t>12,30%</t>
  </si>
  <si>
    <t>8 214 457,99</t>
  </si>
  <si>
    <t>37 090 280,95</t>
  </si>
  <si>
    <t>5 414 281,99</t>
  </si>
  <si>
    <t>9 127 697,02</t>
  </si>
  <si>
    <t>103 566 813</t>
  </si>
  <si>
    <t>204,20%</t>
  </si>
  <si>
    <t>59 913 206,44</t>
  </si>
  <si>
    <t>14,60%</t>
  </si>
  <si>
    <t>78 494 682,86</t>
  </si>
  <si>
    <t>612 744 928,01</t>
  </si>
  <si>
    <t>97 546 951,17</t>
  </si>
  <si>
    <t>94 330 905,35</t>
  </si>
  <si>
    <t>1 938 347 414</t>
  </si>
  <si>
    <t>13,00%</t>
  </si>
  <si>
    <t>550 384 072,53</t>
  </si>
  <si>
    <t>15,90%</t>
  </si>
  <si>
    <t>1 437 744,52</t>
  </si>
  <si>
    <t>23 315 879,77</t>
  </si>
  <si>
    <t>8 953 661,29</t>
  </si>
  <si>
    <t>-957 355,79</t>
  </si>
  <si>
    <t>15 825 254</t>
  </si>
  <si>
    <t>173,00%</t>
  </si>
  <si>
    <t>50 467 785,86</t>
  </si>
  <si>
    <t>38,40%</t>
  </si>
  <si>
    <t>449 007 016,26</t>
  </si>
  <si>
    <t>3 438 620 558,48</t>
  </si>
  <si>
    <t>358 132 519,94</t>
  </si>
  <si>
    <t>501 435 233,45</t>
  </si>
  <si>
    <t>6 558 104 852</t>
  </si>
  <si>
    <t>167,10%</t>
  </si>
  <si>
    <t>3 888 316 238,83</t>
  </si>
  <si>
    <t>10,40%</t>
  </si>
  <si>
    <t>-5 918 000,00</t>
  </si>
  <si>
    <t>190 668 000,00</t>
  </si>
  <si>
    <t>165 999 000,00</t>
  </si>
  <si>
    <t>6 332 000,00</t>
  </si>
  <si>
    <t>24 551 019</t>
  </si>
  <si>
    <t>-40,70%</t>
  </si>
  <si>
    <t>696 634 000,00</t>
  </si>
  <si>
    <t>87,10%</t>
  </si>
  <si>
    <t>45 714 710,19</t>
  </si>
  <si>
    <t>905 714 749,64</t>
  </si>
  <si>
    <t>425 151 449,74</t>
  </si>
  <si>
    <t>52 509 645,24</t>
  </si>
  <si>
    <t>564 290 898</t>
  </si>
  <si>
    <t>-314,10%</t>
  </si>
  <si>
    <t>485 324 339,94</t>
  </si>
  <si>
    <t>9 109</t>
  </si>
  <si>
    <t>27,90%</t>
  </si>
  <si>
    <t>203 008,60</t>
  </si>
  <si>
    <t>-2 055 349,62</t>
  </si>
  <si>
    <t>1 180 156,19</t>
  </si>
  <si>
    <t>203 164,55</t>
  </si>
  <si>
    <t>1 287 350</t>
  </si>
  <si>
    <t>238 072,96</t>
  </si>
  <si>
    <t>7 546 339,53</t>
  </si>
  <si>
    <t>34 848 216,95</t>
  </si>
  <si>
    <t>4 256 382,24</t>
  </si>
  <si>
    <t>9 988 079,86</t>
  </si>
  <si>
    <t>114 593 329</t>
  </si>
  <si>
    <t>88 585 576,64</t>
  </si>
  <si>
    <t>12,20%</t>
  </si>
  <si>
    <t>-3 930 767,42</t>
  </si>
  <si>
    <t>25 867 337,62</t>
  </si>
  <si>
    <t>1 081 933,55</t>
  </si>
  <si>
    <t>-3 624 180,06</t>
  </si>
  <si>
    <t>11 710 378</t>
  </si>
  <si>
    <t>196,80%</t>
  </si>
  <si>
    <t>31 464 229,37</t>
  </si>
  <si>
    <t>807 789,68</t>
  </si>
  <si>
    <t>18 399 939,14</t>
  </si>
  <si>
    <t>10 785 455,21</t>
  </si>
  <si>
    <t>1 371 202,53</t>
  </si>
  <si>
    <t>38 196 927</t>
  </si>
  <si>
    <t>-109,60%</t>
  </si>
  <si>
    <t>24 420 606,13</t>
  </si>
  <si>
    <t>58,60%</t>
  </si>
  <si>
    <t>21 052 385,59</t>
  </si>
  <si>
    <t>107 868 938,66</t>
  </si>
  <si>
    <t>18 793 987,34</t>
  </si>
  <si>
    <t>23 642 271,18</t>
  </si>
  <si>
    <t>613 299 123</t>
  </si>
  <si>
    <t>-166,10%</t>
  </si>
  <si>
    <t>270 471 738,07</t>
  </si>
  <si>
    <t>-25,10%</t>
  </si>
  <si>
    <t>-42 052,09</t>
  </si>
  <si>
    <t>246 859,79</t>
  </si>
  <si>
    <t>21 701,56</t>
  </si>
  <si>
    <t>-51 643,14</t>
  </si>
  <si>
    <t>1 992 451</t>
  </si>
  <si>
    <t>89 751,70</t>
  </si>
  <si>
    <t>8,80%</t>
  </si>
  <si>
    <t>2 901 156,28</t>
  </si>
  <si>
    <t>22 815 798,44</t>
  </si>
  <si>
    <t>1 297 310,13</t>
  </si>
  <si>
    <t>2 493 220,55</t>
  </si>
  <si>
    <t>20 647 196</t>
  </si>
  <si>
    <t>33,30%</t>
  </si>
  <si>
    <t>34 647 991,72</t>
  </si>
  <si>
    <t>5,70%</t>
  </si>
  <si>
    <t>-2 137 337,16</t>
  </si>
  <si>
    <t>39 318 081,22</t>
  </si>
  <si>
    <t>2 338 286,47</t>
  </si>
  <si>
    <t>-600 682,36</t>
  </si>
  <si>
    <t>3 723 875</t>
  </si>
  <si>
    <t>-62,10%</t>
  </si>
  <si>
    <t>1 785 062,96</t>
  </si>
  <si>
    <t>765 774,10</t>
  </si>
  <si>
    <t>14 335 467,38</t>
  </si>
  <si>
    <t>14 716 333,98</t>
  </si>
  <si>
    <t>1 590 129,02</t>
  </si>
  <si>
    <t>7 806 260</t>
  </si>
  <si>
    <t>196,10%</t>
  </si>
  <si>
    <t>102 227 495,13</t>
  </si>
  <si>
    <t>102,70%</t>
  </si>
  <si>
    <t>953 947,66</t>
  </si>
  <si>
    <t>-63 527,39</t>
  </si>
  <si>
    <t>7 410 867,09</t>
  </si>
  <si>
    <t>1 159 140,46</t>
  </si>
  <si>
    <t>13 611 744</t>
  </si>
  <si>
    <t>106,70%</t>
  </si>
  <si>
    <t>6 196 954,48</t>
  </si>
  <si>
    <t>4 147 534</t>
  </si>
  <si>
    <t>78,90%</t>
  </si>
  <si>
    <t>339 193</t>
  </si>
  <si>
    <t>20 729</t>
  </si>
  <si>
    <t>2 040 660</t>
  </si>
  <si>
    <t>-173 928 280,64</t>
  </si>
  <si>
    <t>-51 813 273,54</t>
  </si>
  <si>
    <t>648 728 481,95</t>
  </si>
  <si>
    <t>-169 237 985,07</t>
  </si>
  <si>
    <t>7 616 998</t>
  </si>
  <si>
    <t>102 440 798,19</t>
  </si>
  <si>
    <t>388 811 000,00</t>
  </si>
  <si>
    <t>1 998 403 000,00</t>
  </si>
  <si>
    <t>674 478 000,00</t>
  </si>
  <si>
    <t>283 811 000,00</t>
  </si>
  <si>
    <t>2 932 908 925</t>
  </si>
  <si>
    <t>5 903 636 000,00</t>
  </si>
  <si>
    <t>43 025,80</t>
  </si>
  <si>
    <t>1 054 126,10</t>
  </si>
  <si>
    <t>93 719,57</t>
  </si>
  <si>
    <t>64 995,13</t>
  </si>
  <si>
    <t>4 144 425</t>
  </si>
  <si>
    <t>-3,90%</t>
  </si>
  <si>
    <t>2 649 939,14</t>
  </si>
  <si>
    <t>8,90%</t>
  </si>
  <si>
    <t>264 483,93</t>
  </si>
  <si>
    <t>7 627 044,79</t>
  </si>
  <si>
    <t>3 816 577,41</t>
  </si>
  <si>
    <t>378 846,15</t>
  </si>
  <si>
    <t>9 375 943</t>
  </si>
  <si>
    <t>-134,10%</t>
  </si>
  <si>
    <t>32 923 198,64</t>
  </si>
  <si>
    <t>-38 729,31</t>
  </si>
  <si>
    <t>6 666 492,21</t>
  </si>
  <si>
    <t>1 439 106,62</t>
  </si>
  <si>
    <t>-114 216,16</t>
  </si>
  <si>
    <t>10 912 045</t>
  </si>
  <si>
    <t>-125,00%</t>
  </si>
  <si>
    <t>3 261 635,83</t>
  </si>
  <si>
    <t>21,60%</t>
  </si>
  <si>
    <t>4 945 629,74</t>
  </si>
  <si>
    <t>34 913 596,36</t>
  </si>
  <si>
    <t>6 272 941,69</t>
  </si>
  <si>
    <t>5 598 486,88</t>
  </si>
  <si>
    <t>26 714 974</t>
  </si>
  <si>
    <t>3,20%</t>
  </si>
  <si>
    <t>58 804 060,26</t>
  </si>
  <si>
    <t>18,00%</t>
  </si>
  <si>
    <t>4 958 015,16</t>
  </si>
  <si>
    <t>448 876 553,30</t>
  </si>
  <si>
    <t>17 436 106,96</t>
  </si>
  <si>
    <t>3 136 887,49</t>
  </si>
  <si>
    <t>79 260 537</t>
  </si>
  <si>
    <t>200 266 843,25</t>
  </si>
  <si>
    <t>3,90%</t>
  </si>
  <si>
    <t>-35 107 841,26</t>
  </si>
  <si>
    <t>30 808 968,72</t>
  </si>
  <si>
    <t>47 289 891,08</t>
  </si>
  <si>
    <t>-27 702 146,63</t>
  </si>
  <si>
    <t>15 429 064</t>
  </si>
  <si>
    <t>1 092,7%</t>
  </si>
  <si>
    <t>12 511 879,74</t>
  </si>
  <si>
    <t>153,50%</t>
  </si>
  <si>
    <t>748 539,44</t>
  </si>
  <si>
    <t>3 249 756,57</t>
  </si>
  <si>
    <t>10 509 980,53</t>
  </si>
  <si>
    <t>1 611 489,78</t>
  </si>
  <si>
    <t>14 958 892</t>
  </si>
  <si>
    <t>-18,10%</t>
  </si>
  <si>
    <t>44 329 357,35</t>
  </si>
  <si>
    <t>323,40%</t>
  </si>
  <si>
    <t>2 129 937,21</t>
  </si>
  <si>
    <t>26 755 542,80</t>
  </si>
  <si>
    <t>17 820 842,48</t>
  </si>
  <si>
    <t>3 157 383,60</t>
  </si>
  <si>
    <t>14 652 210</t>
  </si>
  <si>
    <t>-81,40%</t>
  </si>
  <si>
    <t>65 179 389,27</t>
  </si>
  <si>
    <t>66,60%</t>
  </si>
  <si>
    <t>-10 188 025,07</t>
  </si>
  <si>
    <t>1 753 567,14</t>
  </si>
  <si>
    <t>71 536 204,83</t>
  </si>
  <si>
    <t>-12 568 342,45</t>
  </si>
  <si>
    <t>25 945 850</t>
  </si>
  <si>
    <t>151 513 535,14</t>
  </si>
  <si>
    <t>4 079,5%</t>
  </si>
  <si>
    <t>-1 952 000,00</t>
  </si>
  <si>
    <t>55 315 000,00</t>
  </si>
  <si>
    <t>40 329 000,00</t>
  </si>
  <si>
    <t>-1 218 000,00</t>
  </si>
  <si>
    <t>10 331 578</t>
  </si>
  <si>
    <t>33,90%</t>
  </si>
  <si>
    <t>116 489 000,00</t>
  </si>
  <si>
    <t>72,90%</t>
  </si>
  <si>
    <t>-5 407 450,52</t>
  </si>
  <si>
    <t>-438 736,90</t>
  </si>
  <si>
    <t>59 810 098,95</t>
  </si>
  <si>
    <t>-2 770 663,56</t>
  </si>
  <si>
    <t>50 197 124</t>
  </si>
  <si>
    <t>-1 363,2%</t>
  </si>
  <si>
    <t>118 560 826,54</t>
  </si>
  <si>
    <t>642 066 978,50</t>
  </si>
  <si>
    <t>4 630 634 281,04</t>
  </si>
  <si>
    <t>1 727 587 421,45</t>
  </si>
  <si>
    <t>750 721 209,39</t>
  </si>
  <si>
    <t>14 716 594 275</t>
  </si>
  <si>
    <t>3 517 962 185,47</t>
  </si>
  <si>
    <t>37,30%</t>
  </si>
  <si>
    <t>-28 791 674,48</t>
  </si>
  <si>
    <t>418 482 999,13</t>
  </si>
  <si>
    <t>173 923 167,76</t>
  </si>
  <si>
    <t>8 454 636,75</t>
  </si>
  <si>
    <t>495 493 166</t>
  </si>
  <si>
    <t>1 130 888 503,86</t>
  </si>
  <si>
    <t>41,60%</t>
  </si>
  <si>
    <t>-19 413 150,65</t>
  </si>
  <si>
    <t>298 884 947,82</t>
  </si>
  <si>
    <t>52 905 563,74</t>
  </si>
  <si>
    <t>-17 482 297,20</t>
  </si>
  <si>
    <t>63 789 225</t>
  </si>
  <si>
    <t>-173,80%</t>
  </si>
  <si>
    <t>225 087 777,71</t>
  </si>
  <si>
    <t>5 203 996,81</t>
  </si>
  <si>
    <t>48 691 348,34</t>
  </si>
  <si>
    <t>20 135 664,25</t>
  </si>
  <si>
    <t>5 640 337,92</t>
  </si>
  <si>
    <t>26 962 495</t>
  </si>
  <si>
    <t>-34,10%</t>
  </si>
  <si>
    <t>152 273 924,63</t>
  </si>
  <si>
    <t>41,40%</t>
  </si>
  <si>
    <t>1 450 194,74</t>
  </si>
  <si>
    <t>10 102 933,30</t>
  </si>
  <si>
    <t>8 134 140,70</t>
  </si>
  <si>
    <t>1 759 152,87</t>
  </si>
  <si>
    <t>309 328 467</t>
  </si>
  <si>
    <t>171,30%</t>
  </si>
  <si>
    <t>19 974 233,20</t>
  </si>
  <si>
    <t>80,50%</t>
  </si>
  <si>
    <t>25 726 106,40</t>
  </si>
  <si>
    <t>1 011 923 176,56</t>
  </si>
  <si>
    <t>1 273 734 248,27</t>
  </si>
  <si>
    <t>92 023 161,14</t>
  </si>
  <si>
    <t>1 664 819</t>
  </si>
  <si>
    <t>-95,80%</t>
  </si>
  <si>
    <t>2 555 569 190,44</t>
  </si>
  <si>
    <t>125,90%</t>
  </si>
  <si>
    <t>21 657</t>
  </si>
  <si>
    <t>14 486 477,60</t>
  </si>
  <si>
    <t>66 578 152,39</t>
  </si>
  <si>
    <t>8 031 024,83</t>
  </si>
  <si>
    <t>17 558 982,47</t>
  </si>
  <si>
    <t>509 132 257</t>
  </si>
  <si>
    <t>94 870 180,14</t>
  </si>
  <si>
    <t>12,10%</t>
  </si>
  <si>
    <t>5 515 426,74</t>
  </si>
  <si>
    <t>82 441 601,56</t>
  </si>
  <si>
    <t>28 049 861,99</t>
  </si>
  <si>
    <t>7 607 157,36</t>
  </si>
  <si>
    <t>158 514 577</t>
  </si>
  <si>
    <t>23,60%</t>
  </si>
  <si>
    <t>137 049 649,88</t>
  </si>
  <si>
    <t>34,00%</t>
  </si>
  <si>
    <t>347 153</t>
  </si>
  <si>
    <t>-63,50%</t>
  </si>
  <si>
    <t>4 014 151</t>
  </si>
  <si>
    <t>3 391 934,99</t>
  </si>
  <si>
    <t>83 056 223,92</t>
  </si>
  <si>
    <t>7 496 498,74</t>
  </si>
  <si>
    <t>2 557 397,38</t>
  </si>
  <si>
    <t>20 624 608</t>
  </si>
  <si>
    <t>43 549 613,16</t>
  </si>
  <si>
    <t>9,00%</t>
  </si>
  <si>
    <t>1 890 086</t>
  </si>
  <si>
    <t>31,20%</t>
  </si>
  <si>
    <t>10 687 475,66</t>
  </si>
  <si>
    <t>124 873 344,69</t>
  </si>
  <si>
    <t>74 468 403,12</t>
  </si>
  <si>
    <t>19 309 067,67</t>
  </si>
  <si>
    <t>130 113 223</t>
  </si>
  <si>
    <t>272 220 411,39</t>
  </si>
  <si>
    <t>59,60%</t>
  </si>
  <si>
    <t>-114 422,25</t>
  </si>
  <si>
    <t>160 974,47</t>
  </si>
  <si>
    <t>1 409 537,55</t>
  </si>
  <si>
    <t>36 802 212,60</t>
  </si>
  <si>
    <t>8 115 714,97</t>
  </si>
  <si>
    <t>1 950 505,05</t>
  </si>
  <si>
    <t>24 827 703</t>
  </si>
  <si>
    <t>12 011 626,47</t>
  </si>
  <si>
    <t>22,10%</t>
  </si>
  <si>
    <t>374 000,00</t>
  </si>
  <si>
    <t>750 000,00</t>
  </si>
  <si>
    <t>13 939 000,00</t>
  </si>
  <si>
    <t>141,00%</t>
  </si>
  <si>
    <t>1 224 656,17</t>
  </si>
  <si>
    <t>24 504 494,54</t>
  </si>
  <si>
    <t>33 304 005,39</t>
  </si>
  <si>
    <t>2 412 788,88</t>
  </si>
  <si>
    <t>19 292 197</t>
  </si>
  <si>
    <t>31 930 100,67</t>
  </si>
  <si>
    <t>135,90%</t>
  </si>
  <si>
    <t>-17 726 000,00</t>
  </si>
  <si>
    <t>419 353 000,00</t>
  </si>
  <si>
    <t>3 300 640 000,00</t>
  </si>
  <si>
    <t>281 686 000,00</t>
  </si>
  <si>
    <t>1 722 629 819</t>
  </si>
  <si>
    <t>-10,20%</t>
  </si>
  <si>
    <t>5 636 523 000,00</t>
  </si>
  <si>
    <t>787,10%</t>
  </si>
  <si>
    <t>-33 616 525,37</t>
  </si>
  <si>
    <t>187 189 252,88</t>
  </si>
  <si>
    <t>95 401 224,29</t>
  </si>
  <si>
    <t>-29 630 279,44</t>
  </si>
  <si>
    <t>23 771 523</t>
  </si>
  <si>
    <t>118,60%</t>
  </si>
  <si>
    <t>393 628 307,25</t>
  </si>
  <si>
    <t>51,00%</t>
  </si>
  <si>
    <t>-63 490,00</t>
  </si>
  <si>
    <t>-265 490,00</t>
  </si>
  <si>
    <t>340 330,00</t>
  </si>
  <si>
    <t>22 949 946</t>
  </si>
  <si>
    <t>-295,00%</t>
  </si>
  <si>
    <t>296 770,00</t>
  </si>
  <si>
    <t>28 179</t>
  </si>
  <si>
    <t>1 380 502,73</t>
  </si>
  <si>
    <t>15 464 418,27</t>
  </si>
  <si>
    <t>62 061 810,39</t>
  </si>
  <si>
    <t>1 569 016,30</t>
  </si>
  <si>
    <t>17 953 184</t>
  </si>
  <si>
    <t>154 339 930,07</t>
  </si>
  <si>
    <t>401,30%</t>
  </si>
  <si>
    <t>61 846 240,99</t>
  </si>
  <si>
    <t>1 180 540 393,77</t>
  </si>
  <si>
    <t>514 656 983,93</t>
  </si>
  <si>
    <t>39 581 380,14</t>
  </si>
  <si>
    <t>322 416 227</t>
  </si>
  <si>
    <t>-59,70%</t>
  </si>
  <si>
    <t>1 468 422 298,57</t>
  </si>
  <si>
    <t>43,60%</t>
  </si>
  <si>
    <t>-4 851 703,99</t>
  </si>
  <si>
    <t>-55 802 726,39</t>
  </si>
  <si>
    <t>6 035 065,73</t>
  </si>
  <si>
    <t>1 089 459,59</t>
  </si>
  <si>
    <t>4 691 966</t>
  </si>
  <si>
    <t>28 025 024,34</t>
  </si>
  <si>
    <t>18 621 251,22</t>
  </si>
  <si>
    <t>87 933 982,47</t>
  </si>
  <si>
    <t>67 882 035,05</t>
  </si>
  <si>
    <t>22 245 654,82</t>
  </si>
  <si>
    <t>314 615 950</t>
  </si>
  <si>
    <t>-16,50%</t>
  </si>
  <si>
    <t>384 421 762,41</t>
  </si>
  <si>
    <t>77,20%</t>
  </si>
  <si>
    <t>8 930 811,05</t>
  </si>
  <si>
    <t>148 690 504,84</t>
  </si>
  <si>
    <t>55 607 632,08</t>
  </si>
  <si>
    <t>8 672 123,47</t>
  </si>
  <si>
    <t>271 781 140</t>
  </si>
  <si>
    <t>6,50%</t>
  </si>
  <si>
    <t>306 275 800,32</t>
  </si>
  <si>
    <t>37,40%</t>
  </si>
  <si>
    <t>-2 141 168,76</t>
  </si>
  <si>
    <t>16 173 869,05</t>
  </si>
  <si>
    <t>-1 883 780,22</t>
  </si>
  <si>
    <t>11 540 621</t>
  </si>
  <si>
    <t>254,20%</t>
  </si>
  <si>
    <t>341 986,10</t>
  </si>
  <si>
    <t>11 709 280,00</t>
  </si>
  <si>
    <t>29 199 930,00</t>
  </si>
  <si>
    <t>199 995 910,00</t>
  </si>
  <si>
    <t>21 384 980,00</t>
  </si>
  <si>
    <t>23 042 250</t>
  </si>
  <si>
    <t>230 792 230,00</t>
  </si>
  <si>
    <t>684,90%</t>
  </si>
  <si>
    <t>-9 242 117,67</t>
  </si>
  <si>
    <t>276 410 880,31</t>
  </si>
  <si>
    <t>43 840 509,18</t>
  </si>
  <si>
    <t>-9 386 573,78</t>
  </si>
  <si>
    <t>18 601 537</t>
  </si>
  <si>
    <t>-138,20%</t>
  </si>
  <si>
    <t>164 146 325,85</t>
  </si>
  <si>
    <t>-169 827,17</t>
  </si>
  <si>
    <t>2 230 635,35</t>
  </si>
  <si>
    <t>1 023 673,32</t>
  </si>
  <si>
    <t>-104 819,86</t>
  </si>
  <si>
    <t>3 686 847</t>
  </si>
  <si>
    <t>-48,10%</t>
  </si>
  <si>
    <t>95 922,59</t>
  </si>
  <si>
    <t>45,90%</t>
  </si>
  <si>
    <t>69 528 907,01</t>
  </si>
  <si>
    <t>166 875 365,14</t>
  </si>
  <si>
    <t>49 463 972,74</t>
  </si>
  <si>
    <t>95 503 395,81</t>
  </si>
  <si>
    <t>4 818 310 328</t>
  </si>
  <si>
    <t>-74,10%</t>
  </si>
  <si>
    <t>574 057 740,99</t>
  </si>
  <si>
    <t>29,60%</t>
  </si>
  <si>
    <t>13 168 090,00</t>
  </si>
  <si>
    <t>76 505 590,00</t>
  </si>
  <si>
    <t>18 729 170,00</t>
  </si>
  <si>
    <t>2 989 870</t>
  </si>
  <si>
    <t>25 309 680,00</t>
  </si>
  <si>
    <t>-50 440,24</t>
  </si>
  <si>
    <t>654 712,34</t>
  </si>
  <si>
    <t>188 825,98</t>
  </si>
  <si>
    <t>19 089,55</t>
  </si>
  <si>
    <t>755 579</t>
  </si>
  <si>
    <t>129 998,81</t>
  </si>
  <si>
    <t>28,80%</t>
  </si>
  <si>
    <t>5 570 000,00</t>
  </si>
  <si>
    <t>26 873 000,00</t>
  </si>
  <si>
    <t>20 783 000,00</t>
  </si>
  <si>
    <t>9 534 000,00</t>
  </si>
  <si>
    <t>-16,60%</t>
  </si>
  <si>
    <t>96 963 000,00</t>
  </si>
  <si>
    <t>-14 325,71</t>
  </si>
  <si>
    <t>670 971,28</t>
  </si>
  <si>
    <t>378 261,93</t>
  </si>
  <si>
    <t>19 474,20</t>
  </si>
  <si>
    <t>2 100 827</t>
  </si>
  <si>
    <t>410 406,52</t>
  </si>
  <si>
    <t>56,40%</t>
  </si>
  <si>
    <t>960 538</t>
  </si>
  <si>
    <t>64,70%</t>
  </si>
  <si>
    <t>6 277 861,28</t>
  </si>
  <si>
    <t>99 203 993,99</t>
  </si>
  <si>
    <t>62 916,04</t>
  </si>
  <si>
    <t>5 112 733,52</t>
  </si>
  <si>
    <t>135 832 461</t>
  </si>
  <si>
    <t>28 423 448,57</t>
  </si>
  <si>
    <t>1 550 190 000,00</t>
  </si>
  <si>
    <t>4 232 081 000,00</t>
  </si>
  <si>
    <t>2 132 676 000,00</t>
  </si>
  <si>
    <t>44 086 942 698</t>
  </si>
  <si>
    <t>-7,20%</t>
  </si>
  <si>
    <t>9 619 278 000,00</t>
  </si>
  <si>
    <t>157 095</t>
  </si>
  <si>
    <t>464,10%</t>
  </si>
  <si>
    <t>114 672</t>
  </si>
  <si>
    <t>-311 681,38</t>
  </si>
  <si>
    <t>-1 009 837,97</t>
  </si>
  <si>
    <t>298 302,12</t>
  </si>
  <si>
    <t>-134 413,51</t>
  </si>
  <si>
    <t>63 257,98</t>
  </si>
  <si>
    <t>1 588 802 164,05</t>
  </si>
  <si>
    <t>7 250 133 844,29</t>
  </si>
  <si>
    <t>3 024 740 060,30</t>
  </si>
  <si>
    <t>2 165 037 053,73</t>
  </si>
  <si>
    <t>32 305 177 066</t>
  </si>
  <si>
    <t>8 785 257 403,70</t>
  </si>
  <si>
    <t>41,70%</t>
  </si>
  <si>
    <t>-35 304 238,91</t>
  </si>
  <si>
    <t>87 289 516,96</t>
  </si>
  <si>
    <t>295 872 303,09</t>
  </si>
  <si>
    <t>-29 928 178,08</t>
  </si>
  <si>
    <t>92 193 966</t>
  </si>
  <si>
    <t>351 629 755,11</t>
  </si>
  <si>
    <t>339,00%</t>
  </si>
  <si>
    <t>140 092,50</t>
  </si>
  <si>
    <t>11 890 421,13</t>
  </si>
  <si>
    <t>4 031 621,23</t>
  </si>
  <si>
    <t>317 989,29</t>
  </si>
  <si>
    <t>8 279 798</t>
  </si>
  <si>
    <t>-3,30%</t>
  </si>
  <si>
    <t>14 305 367,58</t>
  </si>
  <si>
    <t>102 692 647,02</t>
  </si>
  <si>
    <t>611 646 381,98</t>
  </si>
  <si>
    <t>139 529 740,20</t>
  </si>
  <si>
    <t>125 336 366,20</t>
  </si>
  <si>
    <t>1 134 061 519</t>
  </si>
  <si>
    <t>-3 346,2%</t>
  </si>
  <si>
    <t>740 176 558,93</t>
  </si>
  <si>
    <t>22,80%</t>
  </si>
  <si>
    <t>-1 510 749,81</t>
  </si>
  <si>
    <t>80 768 407,11</t>
  </si>
  <si>
    <t>12 299 585,79</t>
  </si>
  <si>
    <t>412 381,30</t>
  </si>
  <si>
    <t>4 236 318</t>
  </si>
  <si>
    <t>107 324 523,09</t>
  </si>
  <si>
    <t>-4 993 562,09</t>
  </si>
  <si>
    <t>8 575 686,27</t>
  </si>
  <si>
    <t>5 197 320,26</t>
  </si>
  <si>
    <t>-4 032 140,52</t>
  </si>
  <si>
    <t>-197,90%</t>
  </si>
  <si>
    <t>5 846 960,78</t>
  </si>
  <si>
    <t>13 495 751,09</t>
  </si>
  <si>
    <t>54 354 233,77</t>
  </si>
  <si>
    <t>13 143 162,74</t>
  </si>
  <si>
    <t>16 508 571,18</t>
  </si>
  <si>
    <t>236 889 174</t>
  </si>
  <si>
    <t>99 885 186,61</t>
  </si>
  <si>
    <t>7 879 143,35</t>
  </si>
  <si>
    <t>78 059 202,86</t>
  </si>
  <si>
    <t>754 946,41</t>
  </si>
  <si>
    <t>8 941 994,72</t>
  </si>
  <si>
    <t>63 792 453</t>
  </si>
  <si>
    <t>7,10%</t>
  </si>
  <si>
    <t>354 738 326,66</t>
  </si>
  <si>
    <t>16 744 859,92</t>
  </si>
  <si>
    <t>1 407 398 363,33</t>
  </si>
  <si>
    <t>8 381 385,05</t>
  </si>
  <si>
    <t>20 072 223,19</t>
  </si>
  <si>
    <t>266 779 522</t>
  </si>
  <si>
    <t>2 060,6%</t>
  </si>
  <si>
    <t>244 469 101,29</t>
  </si>
  <si>
    <t>313 993 680,47</t>
  </si>
  <si>
    <t>1 827 000 844,55</t>
  </si>
  <si>
    <t>460 615 062,03</t>
  </si>
  <si>
    <t>411 551 633,76</t>
  </si>
  <si>
    <t>6 356 493 550</t>
  </si>
  <si>
    <t>-18,40%</t>
  </si>
  <si>
    <t>2 442 515 580,41</t>
  </si>
  <si>
    <t>25,20%</t>
  </si>
  <si>
    <t>7 047 550,92</t>
  </si>
  <si>
    <t>66 182 161,09</t>
  </si>
  <si>
    <t>74 153 199,15</t>
  </si>
  <si>
    <t>12 862 701,74</t>
  </si>
  <si>
    <t>96 951 876</t>
  </si>
  <si>
    <t>190 328 314,85</t>
  </si>
  <si>
    <t>112,00%</t>
  </si>
  <si>
    <t>-29 006 480,89</t>
  </si>
  <si>
    <t>369 148 157,22</t>
  </si>
  <si>
    <t>171 587 706,61</t>
  </si>
  <si>
    <t>-26 442 717,33</t>
  </si>
  <si>
    <t>122 823 662</t>
  </si>
  <si>
    <t>5 992,9%</t>
  </si>
  <si>
    <t>85 879 106,01</t>
  </si>
  <si>
    <t>46,50%</t>
  </si>
  <si>
    <t>9 045 437,61</t>
  </si>
  <si>
    <t>70 988 833,71</t>
  </si>
  <si>
    <t>108 844 059,84</t>
  </si>
  <si>
    <t>11 836 732,05</t>
  </si>
  <si>
    <t>91 925 072</t>
  </si>
  <si>
    <t>101,30%</t>
  </si>
  <si>
    <t>292 465 157,06</t>
  </si>
  <si>
    <t>153,30%</t>
  </si>
  <si>
    <t>22 634</t>
  </si>
  <si>
    <t>-50,10%</t>
  </si>
  <si>
    <t>10 827 000,00</t>
  </si>
  <si>
    <t>368 502 000,00</t>
  </si>
  <si>
    <t>9 704 000,00</t>
  </si>
  <si>
    <t>15 604 000,00</t>
  </si>
  <si>
    <t>269 193 000,00</t>
  </si>
  <si>
    <t>6 695 112</t>
  </si>
  <si>
    <t>6 123 533</t>
  </si>
  <si>
    <t>8 568 767</t>
  </si>
  <si>
    <t>19 961 353</t>
  </si>
  <si>
    <t>11 694 155</t>
  </si>
  <si>
    <t>840 086,24</t>
  </si>
  <si>
    <t>10 684 526,67</t>
  </si>
  <si>
    <t>1 146 100,56</t>
  </si>
  <si>
    <t>7 187 500</t>
  </si>
  <si>
    <t>42 637 884,62</t>
  </si>
  <si>
    <t>-20 172 663,66</t>
  </si>
  <si>
    <t>87 728 951,90</t>
  </si>
  <si>
    <t>15 522 940,78</t>
  </si>
  <si>
    <t>-10 188 020,88</t>
  </si>
  <si>
    <t>51 445 528</t>
  </si>
  <si>
    <t>213,60%</t>
  </si>
  <si>
    <t>73 190 305,12</t>
  </si>
  <si>
    <t>14 609 012,64</t>
  </si>
  <si>
    <t>32 883 074,55</t>
  </si>
  <si>
    <t>46 083 736,14</t>
  </si>
  <si>
    <t>20 901 037,93</t>
  </si>
  <si>
    <t>49 530 011</t>
  </si>
  <si>
    <t>71,20%</t>
  </si>
  <si>
    <t>111 260 246,03</t>
  </si>
  <si>
    <t>140,10%</t>
  </si>
  <si>
    <t>-3 257 610,00</t>
  </si>
  <si>
    <t>6 497 680,00</t>
  </si>
  <si>
    <t>2 065 000,00</t>
  </si>
  <si>
    <t>-1 983 660,00</t>
  </si>
  <si>
    <t>289 833</t>
  </si>
  <si>
    <t>39,40%</t>
  </si>
  <si>
    <t>9 817 430,00</t>
  </si>
  <si>
    <t>31,80%</t>
  </si>
  <si>
    <t>-6 755 624,55</t>
  </si>
  <si>
    <t>-15 832 532,47</t>
  </si>
  <si>
    <t>12 381 410,02</t>
  </si>
  <si>
    <t>-6 011 433,92</t>
  </si>
  <si>
    <t>304 008</t>
  </si>
  <si>
    <t>96,10%</t>
  </si>
  <si>
    <t>6 920 726,45</t>
  </si>
  <si>
    <t>-119 297 079,97</t>
  </si>
  <si>
    <t>35 820 235,75</t>
  </si>
  <si>
    <t>297 097 378,65</t>
  </si>
  <si>
    <t>-119 692 672,39</t>
  </si>
  <si>
    <t>506 328 677</t>
  </si>
  <si>
    <t>208 687 509,42</t>
  </si>
  <si>
    <t>829,40%</t>
  </si>
  <si>
    <t>-13 628,29</t>
  </si>
  <si>
    <t>-174 141,92</t>
  </si>
  <si>
    <t>174 513,15</t>
  </si>
  <si>
    <t>-13 731,74</t>
  </si>
  <si>
    <t>444 114</t>
  </si>
  <si>
    <t>2 999</t>
  </si>
  <si>
    <t>115,80%</t>
  </si>
  <si>
    <t>1 075 745</t>
  </si>
  <si>
    <t>1 560 914,04</t>
  </si>
  <si>
    <t>23 371 315,27</t>
  </si>
  <si>
    <t>21 822 889,96</t>
  </si>
  <si>
    <t>2 638 069,87</t>
  </si>
  <si>
    <t>19 483 696</t>
  </si>
  <si>
    <t>57 204 140,68</t>
  </si>
  <si>
    <t>93,40%</t>
  </si>
  <si>
    <t>2 989 902</t>
  </si>
  <si>
    <t>120,20%</t>
  </si>
  <si>
    <t>-2 472 620,00</t>
  </si>
  <si>
    <t>-416 290,00</t>
  </si>
  <si>
    <t>457 170,00</t>
  </si>
  <si>
    <t>-2 420 060,00</t>
  </si>
  <si>
    <t>310 650,00</t>
  </si>
  <si>
    <t>81 248 935,58</t>
  </si>
  <si>
    <t>404 211 898,76</t>
  </si>
  <si>
    <t>98 280 637,04</t>
  </si>
  <si>
    <t>102 396 183,41</t>
  </si>
  <si>
    <t>1 240 132 557</t>
  </si>
  <si>
    <t>1 365 908 046,02</t>
  </si>
  <si>
    <t>24,30%</t>
  </si>
  <si>
    <t>86 553 755,05</t>
  </si>
  <si>
    <t>497 291 687,05</t>
  </si>
  <si>
    <t>342 758 374,47</t>
  </si>
  <si>
    <t>128 584 579,32</t>
  </si>
  <si>
    <t>610 320 090</t>
  </si>
  <si>
    <t>-10,60%</t>
  </si>
  <si>
    <t>1 320 114 669,11</t>
  </si>
  <si>
    <t>68,90%</t>
  </si>
  <si>
    <t>117 646</t>
  </si>
  <si>
    <t>4 868,6%</t>
  </si>
  <si>
    <t>327 680</t>
  </si>
  <si>
    <t>-10 390,00</t>
  </si>
  <si>
    <t>-9 340,00</t>
  </si>
  <si>
    <t>9 370,00</t>
  </si>
  <si>
    <t>978 000</t>
  </si>
  <si>
    <t>187 277</t>
  </si>
  <si>
    <t>411 828 400,23</t>
  </si>
  <si>
    <t>2 508 238 787,74</t>
  </si>
  <si>
    <t>529 592 376,87</t>
  </si>
  <si>
    <t>488 471 759,76</t>
  </si>
  <si>
    <t>1 219 892 568</t>
  </si>
  <si>
    <t>2 784 592 881,18</t>
  </si>
  <si>
    <t>21,10%</t>
  </si>
  <si>
    <t>74 731 184,31</t>
  </si>
  <si>
    <t>558 960 804,76</t>
  </si>
  <si>
    <t>178 543 774,13</t>
  </si>
  <si>
    <t>86 032 714,36</t>
  </si>
  <si>
    <t>726 026 341</t>
  </si>
  <si>
    <t>499 280 763,05</t>
  </si>
  <si>
    <t>1 518 910,24</t>
  </si>
  <si>
    <t>53 255 980,70</t>
  </si>
  <si>
    <t>25 595 552,16</t>
  </si>
  <si>
    <t>1 890 136,57</t>
  </si>
  <si>
    <t>27 863 582</t>
  </si>
  <si>
    <t>36,10%</t>
  </si>
  <si>
    <t>71 846 444,27</t>
  </si>
  <si>
    <t>48,10%</t>
  </si>
  <si>
    <t>7 791 296,47</t>
  </si>
  <si>
    <t>300 721 411,59</t>
  </si>
  <si>
    <t>8 177 689,50</t>
  </si>
  <si>
    <t>8 272 275,71</t>
  </si>
  <si>
    <t>579 392 859</t>
  </si>
  <si>
    <t>-143,40%</t>
  </si>
  <si>
    <t>165 132 820,56</t>
  </si>
  <si>
    <t>2,70%</t>
  </si>
  <si>
    <t>8 183 580,82</t>
  </si>
  <si>
    <t>26 943 074,49</t>
  </si>
  <si>
    <t>34 826 046,74</t>
  </si>
  <si>
    <t>13 527 969,81</t>
  </si>
  <si>
    <t>217 723 785</t>
  </si>
  <si>
    <t>352,90%</t>
  </si>
  <si>
    <t>67 151 314,51</t>
  </si>
  <si>
    <t>129,30%</t>
  </si>
  <si>
    <t>-279 247,81</t>
  </si>
  <si>
    <t>29 048 125,61</t>
  </si>
  <si>
    <t>21 505 598,83</t>
  </si>
  <si>
    <t>-213 242,45</t>
  </si>
  <si>
    <t>3 612 644</t>
  </si>
  <si>
    <t>-10,70%</t>
  </si>
  <si>
    <t>197 784,81</t>
  </si>
  <si>
    <t>74,00%</t>
  </si>
  <si>
    <t>212 786,76</t>
  </si>
  <si>
    <t>315 110,38</t>
  </si>
  <si>
    <t>815 258,17</t>
  </si>
  <si>
    <t>216 720,10</t>
  </si>
  <si>
    <t>1 246 212</t>
  </si>
  <si>
    <t>258,70%</t>
  </si>
  <si>
    <t>416 503,60</t>
  </si>
  <si>
    <t>3 674 776,73</t>
  </si>
  <si>
    <t>1 088 623,25</t>
  </si>
  <si>
    <t>522 544,92</t>
  </si>
  <si>
    <t>3 298 833</t>
  </si>
  <si>
    <t>3 786 502,73</t>
  </si>
  <si>
    <t>1 925 894,76</t>
  </si>
  <si>
    <t>7 217 573,06</t>
  </si>
  <si>
    <t>2 369 390,37</t>
  </si>
  <si>
    <t>98 195</t>
  </si>
  <si>
    <t>18 995 297,60</t>
  </si>
  <si>
    <t>29 732 369,66</t>
  </si>
  <si>
    <t>513 607 820,56</t>
  </si>
  <si>
    <t>119 164 697,27</t>
  </si>
  <si>
    <t>36 459 151,54</t>
  </si>
  <si>
    <t>750 565 615</t>
  </si>
  <si>
    <t>640 464 826,31</t>
  </si>
  <si>
    <t>74 618,07</t>
  </si>
  <si>
    <t>237 844,17</t>
  </si>
  <si>
    <t>52 355,49</t>
  </si>
  <si>
    <t>80 283,54</t>
  </si>
  <si>
    <t>1 159 670</t>
  </si>
  <si>
    <t>23,40%</t>
  </si>
  <si>
    <t>1 321 965,84</t>
  </si>
  <si>
    <t>22,00%</t>
  </si>
  <si>
    <t>452 726,41</t>
  </si>
  <si>
    <t>4 764 848,95</t>
  </si>
  <si>
    <t>492 507,75</t>
  </si>
  <si>
    <t>6 591 334</t>
  </si>
  <si>
    <t>988 812,30</t>
  </si>
  <si>
    <t>32 489 840,51</t>
  </si>
  <si>
    <t>288 869 986,47</t>
  </si>
  <si>
    <t>118 203 327,79</t>
  </si>
  <si>
    <t>39 383 468,12</t>
  </si>
  <si>
    <t>447 320 716</t>
  </si>
  <si>
    <t>605 627 423,99</t>
  </si>
  <si>
    <t>40,90%</t>
  </si>
  <si>
    <t>1 376 560</t>
  </si>
  <si>
    <t>45,00%</t>
  </si>
  <si>
    <t>20 511 971,31</t>
  </si>
  <si>
    <t>155 928 108,17</t>
  </si>
  <si>
    <t>6 352 853,49</t>
  </si>
  <si>
    <t>26 952 717,48</t>
  </si>
  <si>
    <t>554 548 363</t>
  </si>
  <si>
    <t>141 933 535,12</t>
  </si>
  <si>
    <t>4,10%</t>
  </si>
  <si>
    <t>675 291 624,82</t>
  </si>
  <si>
    <t>3 547 322 128,17</t>
  </si>
  <si>
    <t>936 500 281,42</t>
  </si>
  <si>
    <t>986 435 721,14</t>
  </si>
  <si>
    <t>19 276 615 433</t>
  </si>
  <si>
    <t>3 293 365 190,43</t>
  </si>
  <si>
    <t>743 151 644,91</t>
  </si>
  <si>
    <t>4 253 026 607,66</t>
  </si>
  <si>
    <t>2 866 749 804,11</t>
  </si>
  <si>
    <t>1 171 677 353,14</t>
  </si>
  <si>
    <t>19 955 855 051</t>
  </si>
  <si>
    <t>18,50%</t>
  </si>
  <si>
    <t>5 216 040 744,71</t>
  </si>
  <si>
    <t>67,40%</t>
  </si>
  <si>
    <t>7 838 000,00</t>
  </si>
  <si>
    <t>259 929 000,00</t>
  </si>
  <si>
    <t>10 442 000,00</t>
  </si>
  <si>
    <t>203 826 066</t>
  </si>
  <si>
    <t>32,10%</t>
  </si>
  <si>
    <t>470 786 000,00</t>
  </si>
  <si>
    <t>-103 944,52</t>
  </si>
  <si>
    <t>3 056 574,61</t>
  </si>
  <si>
    <t>8 842 839,45</t>
  </si>
  <si>
    <t>82 177,25</t>
  </si>
  <si>
    <t>1 587 516</t>
  </si>
  <si>
    <t>26 151 490,07</t>
  </si>
  <si>
    <t>289,30%</t>
  </si>
  <si>
    <t>-20 445 798,84</t>
  </si>
  <si>
    <t>157 474 806,08</t>
  </si>
  <si>
    <t>364 540 251,61</t>
  </si>
  <si>
    <t>-2 982 856,40</t>
  </si>
  <si>
    <t>242 095 610</t>
  </si>
  <si>
    <t>171 743 465,22</t>
  </si>
  <si>
    <t>231,50%</t>
  </si>
  <si>
    <t>701 785 555,65</t>
  </si>
  <si>
    <t>792 840 010,66</t>
  </si>
  <si>
    <t>1 653 341 624,47</t>
  </si>
  <si>
    <t>1 042 166 355,75</t>
  </si>
  <si>
    <t>12 870 322 765</t>
  </si>
  <si>
    <t>-103,90%</t>
  </si>
  <si>
    <t>4 165 704 302,51</t>
  </si>
  <si>
    <t>208,50%</t>
  </si>
  <si>
    <t>-701 828,14</t>
  </si>
  <si>
    <t>11 637 683,93</t>
  </si>
  <si>
    <t>6 219 602</t>
  </si>
  <si>
    <t>17,30%</t>
  </si>
  <si>
    <t>15 696 541,18</t>
  </si>
  <si>
    <t>-10 185 663,75</t>
  </si>
  <si>
    <t>23 085 855,13</t>
  </si>
  <si>
    <t>824 586,79</t>
  </si>
  <si>
    <t>-10 269 013,51</t>
  </si>
  <si>
    <t>93 027 661</t>
  </si>
  <si>
    <t>41,90%</t>
  </si>
  <si>
    <t>20 053 892,88</t>
  </si>
  <si>
    <t>3,60%</t>
  </si>
  <si>
    <t>-3 250 907,70</t>
  </si>
  <si>
    <t>5 294 986,94</t>
  </si>
  <si>
    <t>799 286,58</t>
  </si>
  <si>
    <t>-3 215 364,04</t>
  </si>
  <si>
    <t>4 661 387</t>
  </si>
  <si>
    <t>61,80%</t>
  </si>
  <si>
    <t>6 137 843,17</t>
  </si>
  <si>
    <t>15,10%</t>
  </si>
  <si>
    <t>-1 831 856,35</t>
  </si>
  <si>
    <t>172 457 744,65</t>
  </si>
  <si>
    <t>26 749 196,93</t>
  </si>
  <si>
    <t>-1 548 950,38</t>
  </si>
  <si>
    <t>182 801 543</t>
  </si>
  <si>
    <t>-13,00%</t>
  </si>
  <si>
    <t>56 976 464,54</t>
  </si>
  <si>
    <t>15,50%</t>
  </si>
  <si>
    <t>3 640 342,87</t>
  </si>
  <si>
    <t>21 076 852,88</t>
  </si>
  <si>
    <t>25 859 200,83</t>
  </si>
  <si>
    <t>4 497 881,49</t>
  </si>
  <si>
    <t>60 603 650</t>
  </si>
  <si>
    <t>69 590 900,20</t>
  </si>
  <si>
    <t>122,70%</t>
  </si>
  <si>
    <t>-8 739,05</t>
  </si>
  <si>
    <t>20 910 467,38</t>
  </si>
  <si>
    <t>795 447,91</t>
  </si>
  <si>
    <t>-653 821,81</t>
  </si>
  <si>
    <t>22 450 336</t>
  </si>
  <si>
    <t>-22,70%</t>
  </si>
  <si>
    <t>11 622 115,38</t>
  </si>
  <si>
    <t>6 930 013</t>
  </si>
  <si>
    <t>70,90%</t>
  </si>
  <si>
    <t>-10 228 337,99</t>
  </si>
  <si>
    <t>15 800 271,50</t>
  </si>
  <si>
    <t>9 221 755,50</t>
  </si>
  <si>
    <t>-8 628 691,44</t>
  </si>
  <si>
    <t>145 191 862</t>
  </si>
  <si>
    <t>34 135 184,28</t>
  </si>
  <si>
    <t>58,40%</t>
  </si>
  <si>
    <t>-7 946 691,47</t>
  </si>
  <si>
    <t>-7 541 451,64</t>
  </si>
  <si>
    <t>6 176 389,11</t>
  </si>
  <si>
    <t>-7 862 070,60</t>
  </si>
  <si>
    <t>3 082 473</t>
  </si>
  <si>
    <t>-586,40%</t>
  </si>
  <si>
    <t>1 007 558,97</t>
  </si>
  <si>
    <t>157 733 773,85</t>
  </si>
  <si>
    <t>1 619 277 857,93</t>
  </si>
  <si>
    <t>375 633 599,14</t>
  </si>
  <si>
    <t>211 988 172,39</t>
  </si>
  <si>
    <t>2 331 595 807</t>
  </si>
  <si>
    <t>1 924 614 260,76</t>
  </si>
  <si>
    <t>-23 556 976,74</t>
  </si>
  <si>
    <t>425 137 222,35</t>
  </si>
  <si>
    <t>40 190 509,19</t>
  </si>
  <si>
    <t>-30 958 399,06</t>
  </si>
  <si>
    <t>391 364 841</t>
  </si>
  <si>
    <t>-20,80%</t>
  </si>
  <si>
    <t>503 622 282,96</t>
  </si>
  <si>
    <t>9,50%</t>
  </si>
  <si>
    <t>862 950,34</t>
  </si>
  <si>
    <t>25 747 322,30</t>
  </si>
  <si>
    <t>13 300 876,34</t>
  </si>
  <si>
    <t>3 993 427,46</t>
  </si>
  <si>
    <t>39 584 099</t>
  </si>
  <si>
    <t>60 954 235,64</t>
  </si>
  <si>
    <t>-235 880,00</t>
  </si>
  <si>
    <t>-235 470,00</t>
  </si>
  <si>
    <t>20 000,00</t>
  </si>
  <si>
    <t>-222 080,00</t>
  </si>
  <si>
    <t>241 517</t>
  </si>
  <si>
    <t>-276,00%</t>
  </si>
  <si>
    <t>-15 266 274,72</t>
  </si>
  <si>
    <t>545 183 280,17</t>
  </si>
  <si>
    <t>133 966 180,48</t>
  </si>
  <si>
    <t>-16 584 080,50</t>
  </si>
  <si>
    <t>789 999 174</t>
  </si>
  <si>
    <t>379 877 428,52</t>
  </si>
  <si>
    <t>24,60%</t>
  </si>
  <si>
    <t>699 343 907,26</t>
  </si>
  <si>
    <t>4 127 320 211,48</t>
  </si>
  <si>
    <t>2 816 255 812,47</t>
  </si>
  <si>
    <t>994 177 973,12</t>
  </si>
  <si>
    <t>13 742 779 080</t>
  </si>
  <si>
    <t>107,00%</t>
  </si>
  <si>
    <t>12 062 475 316,90</t>
  </si>
  <si>
    <t>68,20%</t>
  </si>
  <si>
    <t>-267 850,00</t>
  </si>
  <si>
    <t>-513 900,00</t>
  </si>
  <si>
    <t>262 000,00</t>
  </si>
  <si>
    <t>-225 460,00</t>
  </si>
  <si>
    <t>2 621 499</t>
  </si>
  <si>
    <t>36,40%</t>
  </si>
  <si>
    <t>28 952 799,27</t>
  </si>
  <si>
    <t>795 874 764,11</t>
  </si>
  <si>
    <t>873 131 890,57</t>
  </si>
  <si>
    <t>79 483 076,38</t>
  </si>
  <si>
    <t>1 666 122 617</t>
  </si>
  <si>
    <t>62,50%</t>
  </si>
  <si>
    <t>1 276 054 208,56</t>
  </si>
  <si>
    <t>-4 964 651,10</t>
  </si>
  <si>
    <t>67 817 746,31</t>
  </si>
  <si>
    <t>87 223 853,31</t>
  </si>
  <si>
    <t>-6 917 415,10</t>
  </si>
  <si>
    <t>47 032 844</t>
  </si>
  <si>
    <t>244 720 175,16</t>
  </si>
  <si>
    <t>128,60%</t>
  </si>
  <si>
    <t>31 750 900,12</t>
  </si>
  <si>
    <t>647 319 642,62</t>
  </si>
  <si>
    <t>66 382 184,29</t>
  </si>
  <si>
    <t>-786 771,57</t>
  </si>
  <si>
    <t>498 310 579</t>
  </si>
  <si>
    <t>63,80%</t>
  </si>
  <si>
    <t>1 036 024 803,31</t>
  </si>
  <si>
    <t>10,30%</t>
  </si>
  <si>
    <t>-20 303 051,65</t>
  </si>
  <si>
    <t>158 802 164,05</t>
  </si>
  <si>
    <t>1 524 416,02</t>
  </si>
  <si>
    <t>-17 615 176,53</t>
  </si>
  <si>
    <t>42 218 801</t>
  </si>
  <si>
    <t>210,40%</t>
  </si>
  <si>
    <t>29 256 952,86</t>
  </si>
  <si>
    <t>1 953 177,66</t>
  </si>
  <si>
    <t>18 874 930,30</t>
  </si>
  <si>
    <t>25 574 453,54</t>
  </si>
  <si>
    <t>3 124 446,31</t>
  </si>
  <si>
    <t>33 900 062</t>
  </si>
  <si>
    <t>60,30%</t>
  </si>
  <si>
    <t>31 330 887,77</t>
  </si>
  <si>
    <t>135,50%</t>
  </si>
  <si>
    <t>450 300 000,00</t>
  </si>
  <si>
    <t>1 451 000 000,00</t>
  </si>
  <si>
    <t>2 296 000 000,00</t>
  </si>
  <si>
    <t>743 700 000,00</t>
  </si>
  <si>
    <t>5 251 253 794</t>
  </si>
  <si>
    <t>-279,30%</t>
  </si>
  <si>
    <t>3 682 400 000,00</t>
  </si>
  <si>
    <t>8 222 782,55</t>
  </si>
  <si>
    <t>96 130 950,98</t>
  </si>
  <si>
    <t>10 670 142,41</t>
  </si>
  <si>
    <t>22 166 115,53</t>
  </si>
  <si>
    <t>240 681 988</t>
  </si>
  <si>
    <t>-27,50%</t>
  </si>
  <si>
    <t>511 217 739,61</t>
  </si>
  <si>
    <t>11,10%</t>
  </si>
  <si>
    <t>1 845 573,96</t>
  </si>
  <si>
    <t>13 350 770,99</t>
  </si>
  <si>
    <t>7 445 802,40</t>
  </si>
  <si>
    <t>2 964 249,00</t>
  </si>
  <si>
    <t>17 972 084</t>
  </si>
  <si>
    <t>-560,10%</t>
  </si>
  <si>
    <t>55 234 951,46</t>
  </si>
  <si>
    <t>10 354 091,52</t>
  </si>
  <si>
    <t>448 126 490,46</t>
  </si>
  <si>
    <t>295 829 559,82</t>
  </si>
  <si>
    <t>1 020 057,41</t>
  </si>
  <si>
    <t>498 239 286</t>
  </si>
  <si>
    <t>-17,40%</t>
  </si>
  <si>
    <t>565 373 706,72</t>
  </si>
  <si>
    <t>66,00%</t>
  </si>
  <si>
    <t>35 523 732,71</t>
  </si>
  <si>
    <t>424 424 506,19</t>
  </si>
  <si>
    <t>269 192 952,75</t>
  </si>
  <si>
    <t>42 067 984,45</t>
  </si>
  <si>
    <t>985 681 917</t>
  </si>
  <si>
    <t>27,80%</t>
  </si>
  <si>
    <t>724 937 927,25</t>
  </si>
  <si>
    <t>3 167 850,86</t>
  </si>
  <si>
    <t>43 318 199,60</t>
  </si>
  <si>
    <t>317 026,27</t>
  </si>
  <si>
    <t>2 981 943,81</t>
  </si>
  <si>
    <t>36 685 730</t>
  </si>
  <si>
    <t>551,40%</t>
  </si>
  <si>
    <t>38 297 210,09</t>
  </si>
  <si>
    <t>-1 118 049,67</t>
  </si>
  <si>
    <t>5 152 825,76</t>
  </si>
  <si>
    <t>2 282 706,47</t>
  </si>
  <si>
    <t>-978 228,28</t>
  </si>
  <si>
    <t>29 434 338</t>
  </si>
  <si>
    <t>-290,90%</t>
  </si>
  <si>
    <t>1 346 652,76</t>
  </si>
  <si>
    <t>44,30%</t>
  </si>
  <si>
    <t>6 539 897,76</t>
  </si>
  <si>
    <t>110 974 610,52</t>
  </si>
  <si>
    <t>31 426 983,93</t>
  </si>
  <si>
    <t>9 219 827,17</t>
  </si>
  <si>
    <t>261 917 802</t>
  </si>
  <si>
    <t>-21,80%</t>
  </si>
  <si>
    <t>139 128 566,21</t>
  </si>
  <si>
    <t>249 600 000,00</t>
  </si>
  <si>
    <t>2 046 400 000,00</t>
  </si>
  <si>
    <t>1 021 900 000,00</t>
  </si>
  <si>
    <t>334 300 000,00</t>
  </si>
  <si>
    <t>8 780 524 858</t>
  </si>
  <si>
    <t>278,30%</t>
  </si>
  <si>
    <t>6 179 000 000,00</t>
  </si>
  <si>
    <t>49,90%</t>
  </si>
  <si>
    <t>10 534 524,15</t>
  </si>
  <si>
    <t>132 896 279,65</t>
  </si>
  <si>
    <t>22 774 898,51</t>
  </si>
  <si>
    <t>11 468 285,68</t>
  </si>
  <si>
    <t>321 946 329</t>
  </si>
  <si>
    <t>-109,30%</t>
  </si>
  <si>
    <t>88 216 919,91</t>
  </si>
  <si>
    <t>17,10%</t>
  </si>
  <si>
    <t>15 848,71</t>
  </si>
  <si>
    <t>1 377 729,31</t>
  </si>
  <si>
    <t>198 673,56</t>
  </si>
  <si>
    <t>-63 375,12</t>
  </si>
  <si>
    <t>5 287 650</t>
  </si>
  <si>
    <t>-89,00%</t>
  </si>
  <si>
    <t>387 598,59</t>
  </si>
  <si>
    <t>14,40%</t>
  </si>
  <si>
    <t>-24 732 229,80</t>
  </si>
  <si>
    <t>449 190 603,70</t>
  </si>
  <si>
    <t>454 769 961,05</t>
  </si>
  <si>
    <t>26 899 951,31</t>
  </si>
  <si>
    <t>302 043 555</t>
  </si>
  <si>
    <t>-39,70%</t>
  </si>
  <si>
    <t>300 959 104,19</t>
  </si>
  <si>
    <t>101,20%</t>
  </si>
  <si>
    <t>-6 006 765,06</t>
  </si>
  <si>
    <t>73 342 662,24</t>
  </si>
  <si>
    <t>19 244 706,55</t>
  </si>
  <si>
    <t>-2 211 909,18</t>
  </si>
  <si>
    <t>122 936 424</t>
  </si>
  <si>
    <t>-224,40%</t>
  </si>
  <si>
    <t>33 331 141,62</t>
  </si>
  <si>
    <t>26,20%</t>
  </si>
  <si>
    <t>-1 361 548,65</t>
  </si>
  <si>
    <t>37 811 293,64</t>
  </si>
  <si>
    <t>24 238 214,66</t>
  </si>
  <si>
    <t>488 602,10</t>
  </si>
  <si>
    <t>20 822 089</t>
  </si>
  <si>
    <t>26,00%</t>
  </si>
  <si>
    <t>71 659 105,64</t>
  </si>
  <si>
    <t>64,10%</t>
  </si>
  <si>
    <t>25 880 040,84</t>
  </si>
  <si>
    <t>227 124 553,34</t>
  </si>
  <si>
    <t>6 063 042,37</t>
  </si>
  <si>
    <t>33 398 800,41</t>
  </si>
  <si>
    <t>62 846 295</t>
  </si>
  <si>
    <t>164,80%</t>
  </si>
  <si>
    <t>233 255 742,73</t>
  </si>
  <si>
    <t>4 259 568</t>
  </si>
  <si>
    <t>-49,80%</t>
  </si>
  <si>
    <t>-683 847,85</t>
  </si>
  <si>
    <t>22 099 277,25</t>
  </si>
  <si>
    <t>35 971,53</t>
  </si>
  <si>
    <t>-132 688,52</t>
  </si>
  <si>
    <t>11 193 228</t>
  </si>
  <si>
    <t>178 483,67</t>
  </si>
  <si>
    <t>0,20%</t>
  </si>
  <si>
    <t>136 634 919,93</t>
  </si>
  <si>
    <t>487 558 076,66</t>
  </si>
  <si>
    <t>741 469 767,03</t>
  </si>
  <si>
    <t>206 820 213,44</t>
  </si>
  <si>
    <t>7 121 594 699</t>
  </si>
  <si>
    <t>98,30%</t>
  </si>
  <si>
    <t>1 257 457 539,21</t>
  </si>
  <si>
    <t>152,10%</t>
  </si>
  <si>
    <t>-202 182,21</t>
  </si>
  <si>
    <t>2 114 934,99</t>
  </si>
  <si>
    <t>1 874 798,39</t>
  </si>
  <si>
    <t>-431 628,31</t>
  </si>
  <si>
    <t>1 687 515</t>
  </si>
  <si>
    <t>9 788 930,36</t>
  </si>
  <si>
    <t>6 801 905,12</t>
  </si>
  <si>
    <t>193 634 537,20</t>
  </si>
  <si>
    <t>172 579 854,14</t>
  </si>
  <si>
    <t>9 856 620,08</t>
  </si>
  <si>
    <t>331 650 740</t>
  </si>
  <si>
    <t>75,00%</t>
  </si>
  <si>
    <t>609 788 856,35</t>
  </si>
  <si>
    <t>89,10%</t>
  </si>
  <si>
    <t>56 097</t>
  </si>
  <si>
    <t>1 749,0%</t>
  </si>
  <si>
    <t>587 963</t>
  </si>
  <si>
    <t>2 460 165</t>
  </si>
  <si>
    <t>233 016</t>
  </si>
  <si>
    <t>1 961 557</t>
  </si>
  <si>
    <t>206 479</t>
  </si>
  <si>
    <t>29 083 862,61</t>
  </si>
  <si>
    <t>215 719 954,07</t>
  </si>
  <si>
    <t>13 783 279,33</t>
  </si>
  <si>
    <t>34 238 366,82</t>
  </si>
  <si>
    <t>394 394 730</t>
  </si>
  <si>
    <t>210 208 334,98</t>
  </si>
  <si>
    <t>6,40%</t>
  </si>
  <si>
    <t>89,80%</t>
  </si>
  <si>
    <t>90 332 352,28</t>
  </si>
  <si>
    <t>289 201 311,67</t>
  </si>
  <si>
    <t>3 153 329,20</t>
  </si>
  <si>
    <t>93 611 806,48</t>
  </si>
  <si>
    <t>1 057 522 749</t>
  </si>
  <si>
    <t>212 205 291,78</t>
  </si>
  <si>
    <t>4 428 501,33</t>
  </si>
  <si>
    <t>30 300 657,27</t>
  </si>
  <si>
    <t>15 747 192,66</t>
  </si>
  <si>
    <t>6 456 332,92</t>
  </si>
  <si>
    <t>30 969 255</t>
  </si>
  <si>
    <t>113,20%</t>
  </si>
  <si>
    <t>95 671 074,78</t>
  </si>
  <si>
    <t>52,00%</t>
  </si>
  <si>
    <t>-1 592 933,18</t>
  </si>
  <si>
    <t>15 620 309,55</t>
  </si>
  <si>
    <t>1 530 154,78</t>
  </si>
  <si>
    <t>-2 338 527,75</t>
  </si>
  <si>
    <t>26 985 947</t>
  </si>
  <si>
    <t>60,20%</t>
  </si>
  <si>
    <t>21 441 102,30</t>
  </si>
  <si>
    <t>9,80%</t>
  </si>
  <si>
    <t>47 571,08</t>
  </si>
  <si>
    <t>4 212 308,18</t>
  </si>
  <si>
    <t>273 855,89</t>
  </si>
  <si>
    <t>-28 177,58</t>
  </si>
  <si>
    <t>1 416 413</t>
  </si>
  <si>
    <t>-2 096,9%</t>
  </si>
  <si>
    <t>451 784,69</t>
  </si>
  <si>
    <t>115 460,44</t>
  </si>
  <si>
    <t>1 863 068,40</t>
  </si>
  <si>
    <t>1 700 349,20</t>
  </si>
  <si>
    <t>270 055,99</t>
  </si>
  <si>
    <t>1 653 968</t>
  </si>
  <si>
    <t>-275,50%</t>
  </si>
  <si>
    <t>4 191 866,97</t>
  </si>
  <si>
    <t>956 447,98</t>
  </si>
  <si>
    <t>3 404 459,09</t>
  </si>
  <si>
    <t>957 687,80</t>
  </si>
  <si>
    <t>15 267 176</t>
  </si>
  <si>
    <t>1 276 863,19</t>
  </si>
  <si>
    <t>76 721,48</t>
  </si>
  <si>
    <t>2 699 833,32</t>
  </si>
  <si>
    <t>83 094,80</t>
  </si>
  <si>
    <t>9 730 076</t>
  </si>
  <si>
    <t>22,20%</t>
  </si>
  <si>
    <t>7 933 744,95</t>
  </si>
  <si>
    <t>-5 367 234,66</t>
  </si>
  <si>
    <t>7 781 560,37</t>
  </si>
  <si>
    <t>730 294,55</t>
  </si>
  <si>
    <t>-5 366 808,67</t>
  </si>
  <si>
    <t>2 387 440</t>
  </si>
  <si>
    <t>152,70%</t>
  </si>
  <si>
    <t>1 605 830,09</t>
  </si>
  <si>
    <t>9,40%</t>
  </si>
  <si>
    <t>4 210 544</t>
  </si>
  <si>
    <t>-59,60%</t>
  </si>
  <si>
    <t>16 129 503,41</t>
  </si>
  <si>
    <t>94 498 539,44</t>
  </si>
  <si>
    <t>40 340 798,44</t>
  </si>
  <si>
    <t>21 635 832,52</t>
  </si>
  <si>
    <t>160 489 454</t>
  </si>
  <si>
    <t>136 040 652,39</t>
  </si>
  <si>
    <t>42,70%</t>
  </si>
  <si>
    <t>1 765 064,77</t>
  </si>
  <si>
    <t>3 271 523,89</t>
  </si>
  <si>
    <t>11 746,39</t>
  </si>
  <si>
    <t>1 016 344,99</t>
  </si>
  <si>
    <t>26 095 045</t>
  </si>
  <si>
    <t>1 519 490,80</t>
  </si>
  <si>
    <t>0,40%</t>
  </si>
  <si>
    <t>4 851 837,67</t>
  </si>
  <si>
    <t>304 499 617,15</t>
  </si>
  <si>
    <t>4 018 631,96</t>
  </si>
  <si>
    <t>5 906 457,38</t>
  </si>
  <si>
    <t>90 629 071</t>
  </si>
  <si>
    <t>9,60%</t>
  </si>
  <si>
    <t>125 288 412,46</t>
  </si>
  <si>
    <t>1,30%</t>
  </si>
  <si>
    <t>-633 916,45</t>
  </si>
  <si>
    <t>8 904 925,34</t>
  </si>
  <si>
    <t>12 387 751,97</t>
  </si>
  <si>
    <t>-175 831,78</t>
  </si>
  <si>
    <t>3 446 295</t>
  </si>
  <si>
    <t>125,80%</t>
  </si>
  <si>
    <t>59 207 924,60</t>
  </si>
  <si>
    <t>139,10%</t>
  </si>
  <si>
    <t>-55 383 280,00</t>
  </si>
  <si>
    <t>12 325 890,00</t>
  </si>
  <si>
    <t>-55 397 680,00</t>
  </si>
  <si>
    <t>7 882 150</t>
  </si>
  <si>
    <t>92,80%</t>
  </si>
  <si>
    <t>79 874 730,00</t>
  </si>
  <si>
    <t>9 552 219,32</t>
  </si>
  <si>
    <t>34 183 320,53</t>
  </si>
  <si>
    <t>14 507 556,44</t>
  </si>
  <si>
    <t>8 529 872,52</t>
  </si>
  <si>
    <t>534 798</t>
  </si>
  <si>
    <t>102,10%</t>
  </si>
  <si>
    <t>52 767 946,55</t>
  </si>
  <si>
    <t>42,40%</t>
  </si>
  <si>
    <t>21 182 098</t>
  </si>
  <si>
    <t>-1 095,2%</t>
  </si>
  <si>
    <t>18 248 329,46</t>
  </si>
  <si>
    <t>105 443 823,65</t>
  </si>
  <si>
    <t>27 885 656,37</t>
  </si>
  <si>
    <t>23 085 509,78</t>
  </si>
  <si>
    <t>269 416 847</t>
  </si>
  <si>
    <t>104 047 998,87</t>
  </si>
  <si>
    <t>10 494 428</t>
  </si>
  <si>
    <t>14,80%</t>
  </si>
  <si>
    <t>6 584 653</t>
  </si>
  <si>
    <t>2 139 561,05</t>
  </si>
  <si>
    <t>-10 330 854,02</t>
  </si>
  <si>
    <t>-37 239 747,43</t>
  </si>
  <si>
    <t>20 156 581,76</t>
  </si>
  <si>
    <t>-10 597 335,19</t>
  </si>
  <si>
    <t>2 426 510</t>
  </si>
  <si>
    <t>1 769 006,85</t>
  </si>
  <si>
    <t>11 643 629</t>
  </si>
  <si>
    <t>269,00%</t>
  </si>
  <si>
    <t>-105 544 675,82</t>
  </si>
  <si>
    <t>-456 011 581,05</t>
  </si>
  <si>
    <t>153 012 905,41</t>
  </si>
  <si>
    <t>-80 483 671,00</t>
  </si>
  <si>
    <t>6 853 973</t>
  </si>
  <si>
    <t>23 983 910,51</t>
  </si>
  <si>
    <t>3 860 773,76</t>
  </si>
  <si>
    <t>185 768 125,33</t>
  </si>
  <si>
    <t>52 054 862,07</t>
  </si>
  <si>
    <t>12 495 843,78</t>
  </si>
  <si>
    <t>59 737 711</t>
  </si>
  <si>
    <t>167 467 102,48</t>
  </si>
  <si>
    <t>-12 040 314,53</t>
  </si>
  <si>
    <t>18 967 932,79</t>
  </si>
  <si>
    <t>4 214 327,79</t>
  </si>
  <si>
    <t>-11 296 647,29</t>
  </si>
  <si>
    <t>29 848 726</t>
  </si>
  <si>
    <t>110,50%</t>
  </si>
  <si>
    <t>8 494 224,32</t>
  </si>
  <si>
    <t>-2 223 062,38</t>
  </si>
  <si>
    <t>91 300 534,52</t>
  </si>
  <si>
    <t>3 543 739,00</t>
  </si>
  <si>
    <t>-1 346 815,72</t>
  </si>
  <si>
    <t>30 953 273</t>
  </si>
  <si>
    <t>-189,20%</t>
  </si>
  <si>
    <t>77 774 460,60</t>
  </si>
  <si>
    <t>-1 791 541,04</t>
  </si>
  <si>
    <t>20 264 870,81</t>
  </si>
  <si>
    <t>2 395 108,34</t>
  </si>
  <si>
    <t>-1 505 677,82</t>
  </si>
  <si>
    <t>17 161 223</t>
  </si>
  <si>
    <t>73,10%</t>
  </si>
  <si>
    <t>21 219 814,59</t>
  </si>
  <si>
    <t>61 033 831</t>
  </si>
  <si>
    <t>-393,30%</t>
  </si>
  <si>
    <t>29 735 179,91</t>
  </si>
  <si>
    <t>284 600 287,41</t>
  </si>
  <si>
    <t>12 977 640,96</t>
  </si>
  <si>
    <t>43 751 122,88</t>
  </si>
  <si>
    <t>413 047 317</t>
  </si>
  <si>
    <t>412 678 029,81</t>
  </si>
  <si>
    <t>4,60%</t>
  </si>
  <si>
    <t>38 100 660,77</t>
  </si>
  <si>
    <t>343 701 011,58</t>
  </si>
  <si>
    <t>111 724 742,88</t>
  </si>
  <si>
    <t>39 276 337,74</t>
  </si>
  <si>
    <t>559 877 378</t>
  </si>
  <si>
    <t>-5,40%</t>
  </si>
  <si>
    <t>321 416 836,20</t>
  </si>
  <si>
    <t>32,50%</t>
  </si>
  <si>
    <t>2 959 041,25</t>
  </si>
  <si>
    <t>39 710 257,65</t>
  </si>
  <si>
    <t>13 685 127,07</t>
  </si>
  <si>
    <t>2 115 088,32</t>
  </si>
  <si>
    <t>25 769 861</t>
  </si>
  <si>
    <t>60 935 925,18</t>
  </si>
  <si>
    <t>34,50%</t>
  </si>
  <si>
    <t>105 491 969,20</t>
  </si>
  <si>
    <t>598 798 571,88</t>
  </si>
  <si>
    <t>56 462 931,33</t>
  </si>
  <si>
    <t>123 992 668,04</t>
  </si>
  <si>
    <t>2 312 825 749</t>
  </si>
  <si>
    <t>-145,70%</t>
  </si>
  <si>
    <t>418 262 738,50</t>
  </si>
  <si>
    <t>-3 318 731,16</t>
  </si>
  <si>
    <t>117 489 199,47</t>
  </si>
  <si>
    <t>2 060 779,40</t>
  </si>
  <si>
    <t>-2 575 368,42</t>
  </si>
  <si>
    <t>299 549 090</t>
  </si>
  <si>
    <t>22,50%</t>
  </si>
  <si>
    <t>28 765 886,61</t>
  </si>
  <si>
    <t>1,80%</t>
  </si>
  <si>
    <t>-115 010 284,88</t>
  </si>
  <si>
    <t>-22 380 596,80</t>
  </si>
  <si>
    <t>28 935 303,90</t>
  </si>
  <si>
    <t>-112 122 770,44</t>
  </si>
  <si>
    <t>51 489 941</t>
  </si>
  <si>
    <t>-91,00%</t>
  </si>
  <si>
    <t>19 766 124,71</t>
  </si>
  <si>
    <t>5 732 198,71</t>
  </si>
  <si>
    <t>271 784 073,94</t>
  </si>
  <si>
    <t>99 093 944,60</t>
  </si>
  <si>
    <t>9 383 893,60</t>
  </si>
  <si>
    <t>66 038 057</t>
  </si>
  <si>
    <t>388 441 629,80</t>
  </si>
  <si>
    <t>36,50%</t>
  </si>
  <si>
    <t>2 416 694,41</t>
  </si>
  <si>
    <t>21 488 102,86</t>
  </si>
  <si>
    <t>43 398 944,75</t>
  </si>
  <si>
    <t>3 429 295,90</t>
  </si>
  <si>
    <t>89 667 771</t>
  </si>
  <si>
    <t>-28,30%</t>
  </si>
  <si>
    <t>21 129 779,99</t>
  </si>
  <si>
    <t>202,00%</t>
  </si>
  <si>
    <t>825,90%</t>
  </si>
  <si>
    <t>2 500 156</t>
  </si>
  <si>
    <t>18 721 399,99</t>
  </si>
  <si>
    <t>412 908 555,65</t>
  </si>
  <si>
    <t>21 467 238,88</t>
  </si>
  <si>
    <t>25 648 754,57</t>
  </si>
  <si>
    <t>389 807 816</t>
  </si>
  <si>
    <t>252 656 163,37</t>
  </si>
  <si>
    <t>5 890,00</t>
  </si>
  <si>
    <t>1 370 280,00</t>
  </si>
  <si>
    <t>175 680,00</t>
  </si>
  <si>
    <t>2 580,00</t>
  </si>
  <si>
    <t>753 279</t>
  </si>
  <si>
    <t>-24,80%</t>
  </si>
  <si>
    <t>12 397 190,00</t>
  </si>
  <si>
    <t>12,80%</t>
  </si>
  <si>
    <t>42 983 142,16</t>
  </si>
  <si>
    <t>980 570 038,23</t>
  </si>
  <si>
    <t>1 427 282 108,10</t>
  </si>
  <si>
    <t>98 681 352,10</t>
  </si>
  <si>
    <t>765 579 922</t>
  </si>
  <si>
    <t>1 643 116 744,87</t>
  </si>
  <si>
    <t>145,60%</t>
  </si>
  <si>
    <t>1 111 663,16</t>
  </si>
  <si>
    <t>9 979 998,73</t>
  </si>
  <si>
    <t>351 359,96</t>
  </si>
  <si>
    <t>1 215 109,24</t>
  </si>
  <si>
    <t>52 887 087</t>
  </si>
  <si>
    <t>-1,50%</t>
  </si>
  <si>
    <t>11 068 220,91</t>
  </si>
  <si>
    <t>39 772 200,58</t>
  </si>
  <si>
    <t>128 247 115,38</t>
  </si>
  <si>
    <t>87 512 962,51</t>
  </si>
  <si>
    <t>48 297 188,41</t>
  </si>
  <si>
    <t>750 831 621</t>
  </si>
  <si>
    <t>-120,00%</t>
  </si>
  <si>
    <t>1 287 366 626,10</t>
  </si>
  <si>
    <t>1 040 480,07</t>
  </si>
  <si>
    <t>21 125 406,83</t>
  </si>
  <si>
    <t>20 251 983,32</t>
  </si>
  <si>
    <t>2 238 862,90</t>
  </si>
  <si>
    <t>19 577 066</t>
  </si>
  <si>
    <t>-81,30%</t>
  </si>
  <si>
    <t>69 965 673,31</t>
  </si>
  <si>
    <t>95,90%</t>
  </si>
  <si>
    <t>157 625 324,77</t>
  </si>
  <si>
    <t>876 042 539,00</t>
  </si>
  <si>
    <t>25 551 913,82</t>
  </si>
  <si>
    <t>204 209 421,21</t>
  </si>
  <si>
    <t>2 691 106 484</t>
  </si>
  <si>
    <t>85,50%</t>
  </si>
  <si>
    <t>1 611 970 212,55</t>
  </si>
  <si>
    <t>-56 115 526,59</t>
  </si>
  <si>
    <t>301 016 725,63</t>
  </si>
  <si>
    <t>9 008 404,86</t>
  </si>
  <si>
    <t>-56 981 624,43</t>
  </si>
  <si>
    <t>295 353 519</t>
  </si>
  <si>
    <t>328 129 862,84</t>
  </si>
  <si>
    <t>3,00%</t>
  </si>
  <si>
    <t>19 366,36</t>
  </si>
  <si>
    <t>3 812 536,76</t>
  </si>
  <si>
    <t>24 252,31</t>
  </si>
  <si>
    <t>1 073 438</t>
  </si>
  <si>
    <t>-89,40%</t>
  </si>
  <si>
    <t>484 707,77</t>
  </si>
  <si>
    <t>-41 309 650,88</t>
  </si>
  <si>
    <t>164 140 592,86</t>
  </si>
  <si>
    <t>208 806 194,88</t>
  </si>
  <si>
    <t>-35 231 312,52</t>
  </si>
  <si>
    <t>414 699 783</t>
  </si>
  <si>
    <t>-475,00%</t>
  </si>
  <si>
    <t>220 179 420,38</t>
  </si>
  <si>
    <t>127,20%</t>
  </si>
  <si>
    <t>-5 570 176,67</t>
  </si>
  <si>
    <t>11 579 785,29</t>
  </si>
  <si>
    <t>3 953 478,54</t>
  </si>
  <si>
    <t>-5 236 833,95</t>
  </si>
  <si>
    <t>5 505 250</t>
  </si>
  <si>
    <t>-330,60%</t>
  </si>
  <si>
    <t>4 461 523,29</t>
  </si>
  <si>
    <t>-13 067 570,23</t>
  </si>
  <si>
    <t>33 756 656,99</t>
  </si>
  <si>
    <t>10 339 823,61</t>
  </si>
  <si>
    <t>-12 632 083,18</t>
  </si>
  <si>
    <t>51 078 371</t>
  </si>
  <si>
    <t>41 487 080,50</t>
  </si>
  <si>
    <t>30,60%</t>
  </si>
  <si>
    <t>-3 322 504,62</t>
  </si>
  <si>
    <t>12 734 441,68</t>
  </si>
  <si>
    <t>162 812,92</t>
  </si>
  <si>
    <t>-3 336 008,66</t>
  </si>
  <si>
    <t>25 115 068</t>
  </si>
  <si>
    <t>-460,90%</t>
  </si>
  <si>
    <t>23 628 511,37</t>
  </si>
  <si>
    <t>-75 210,00</t>
  </si>
  <si>
    <t>26 060,00</t>
  </si>
  <si>
    <t>-73 700,00</t>
  </si>
  <si>
    <t>39,60%</t>
  </si>
  <si>
    <t>131 520,00</t>
  </si>
  <si>
    <t>-32 308,09</t>
  </si>
  <si>
    <t>12 338 318,54</t>
  </si>
  <si>
    <t>39 606 766,55</t>
  </si>
  <si>
    <t>1 948 925,51</t>
  </si>
  <si>
    <t>1 896 601</t>
  </si>
  <si>
    <t>41 928 951,62</t>
  </si>
  <si>
    <t>321,00%</t>
  </si>
  <si>
    <t>112 329,60</t>
  </si>
  <si>
    <t>4 209 225,90</t>
  </si>
  <si>
    <t>4 982 327,17</t>
  </si>
  <si>
    <t>626 229,31</t>
  </si>
  <si>
    <t>7 141 044</t>
  </si>
  <si>
    <t>20 931 633,40</t>
  </si>
  <si>
    <t>118,40%</t>
  </si>
  <si>
    <t>7 913 522,88</t>
  </si>
  <si>
    <t>248 414 466,74</t>
  </si>
  <si>
    <t>169 308 639,74</t>
  </si>
  <si>
    <t>11 789 246,36</t>
  </si>
  <si>
    <t>650 055 945</t>
  </si>
  <si>
    <t>600,00%</t>
  </si>
  <si>
    <t>397 406 496,84</t>
  </si>
  <si>
    <t>-272 078,87</t>
  </si>
  <si>
    <t>2 336 222,01</t>
  </si>
  <si>
    <t>-302 884,62</t>
  </si>
  <si>
    <t>1 731 600</t>
  </si>
  <si>
    <t>130,00%</t>
  </si>
  <si>
    <t>1 915 177,70</t>
  </si>
  <si>
    <t>-3 633 347,60</t>
  </si>
  <si>
    <t>11 969 178,08</t>
  </si>
  <si>
    <t>2 655 179,79</t>
  </si>
  <si>
    <t>-1 502 568,49</t>
  </si>
  <si>
    <t>13 428 232</t>
  </si>
  <si>
    <t>-124,00%</t>
  </si>
  <si>
    <t>49 062 500,00</t>
  </si>
  <si>
    <t>13 281 388,28</t>
  </si>
  <si>
    <t>116 211 433,48</t>
  </si>
  <si>
    <t>96 376 492,83</t>
  </si>
  <si>
    <t>26 079 241,20</t>
  </si>
  <si>
    <t>53 115 240</t>
  </si>
  <si>
    <t>341 122 355,15</t>
  </si>
  <si>
    <t>82,90%</t>
  </si>
  <si>
    <t>12 727 808</t>
  </si>
  <si>
    <t>29 476 435,70</t>
  </si>
  <si>
    <t>256 820 024,77</t>
  </si>
  <si>
    <t>100 330 584,71</t>
  </si>
  <si>
    <t>30 032 136,11</t>
  </si>
  <si>
    <t>341 637 058</t>
  </si>
  <si>
    <t>539 495 860,77</t>
  </si>
  <si>
    <t>39,10%</t>
  </si>
  <si>
    <t>-7 400 968,96</t>
  </si>
  <si>
    <t>19 027 567,79</t>
  </si>
  <si>
    <t>18 638 539,72</t>
  </si>
  <si>
    <t>-4 930 914,99</t>
  </si>
  <si>
    <t>8 312 384</t>
  </si>
  <si>
    <t>-36,60%</t>
  </si>
  <si>
    <t>46 249 059,19</t>
  </si>
  <si>
    <t>98,00%</t>
  </si>
  <si>
    <t>17 009 172,43</t>
  </si>
  <si>
    <t>95 646 061,86</t>
  </si>
  <si>
    <t>135 166 281,52</t>
  </si>
  <si>
    <t>32 825 086,23</t>
  </si>
  <si>
    <t>886 709 388</t>
  </si>
  <si>
    <t>-79,00%</t>
  </si>
  <si>
    <t>465 688 511,67</t>
  </si>
  <si>
    <t>141,30%</t>
  </si>
  <si>
    <t>4 922 157,08</t>
  </si>
  <si>
    <t>56 558 681,69</t>
  </si>
  <si>
    <t>10 333 729,70</t>
  </si>
  <si>
    <t>6 260 893,28</t>
  </si>
  <si>
    <t>19 710 062</t>
  </si>
  <si>
    <t>81 893 510,04</t>
  </si>
  <si>
    <t>18,30%</t>
  </si>
  <si>
    <t>1 001 691,82</t>
  </si>
  <si>
    <t>6 521 385,10</t>
  </si>
  <si>
    <t>1 173 965,43</t>
  </si>
  <si>
    <t>1 004 771,18</t>
  </si>
  <si>
    <t>11 804 944</t>
  </si>
  <si>
    <t>-137,80%</t>
  </si>
  <si>
    <t>12 862 548,69</t>
  </si>
  <si>
    <t>48 825 785,08</t>
  </si>
  <si>
    <t>451 909 293,59</t>
  </si>
  <si>
    <t>524 744 633,42</t>
  </si>
  <si>
    <t>100 365 500,99</t>
  </si>
  <si>
    <t>359 407 110</t>
  </si>
  <si>
    <t>1 003 794 764,00</t>
  </si>
  <si>
    <t>116,10%</t>
  </si>
  <si>
    <t>-2 622 220,97</t>
  </si>
  <si>
    <t>53 975 034,52</t>
  </si>
  <si>
    <t>1 152 469,78</t>
  </si>
  <si>
    <t>-1 731 240,67</t>
  </si>
  <si>
    <t>18 861 716</t>
  </si>
  <si>
    <t>-65,90%</t>
  </si>
  <si>
    <t>50 110 597,65</t>
  </si>
  <si>
    <t>-9 373 000,00</t>
  </si>
  <si>
    <t>225 230 000,00</t>
  </si>
  <si>
    <t>63 413 000,00</t>
  </si>
  <si>
    <t>-8 833 000,00</t>
  </si>
  <si>
    <t>149 690 965</t>
  </si>
  <si>
    <t>-20,90%</t>
  </si>
  <si>
    <t>646 681 000,00</t>
  </si>
  <si>
    <t>28,20%</t>
  </si>
  <si>
    <t>15 583 807,97</t>
  </si>
  <si>
    <t>55 092 554,92</t>
  </si>
  <si>
    <t>15 358 523,19</t>
  </si>
  <si>
    <t>19 761 238,81</t>
  </si>
  <si>
    <t>138 901 694</t>
  </si>
  <si>
    <t>-4,30%</t>
  </si>
  <si>
    <t>118 771 104,56</t>
  </si>
  <si>
    <t>2 402 792,44</t>
  </si>
  <si>
    <t>116 203 076,61</t>
  </si>
  <si>
    <t>29 057 666,88</t>
  </si>
  <si>
    <t>3 744 381,78</t>
  </si>
  <si>
    <t>313 637 341</t>
  </si>
  <si>
    <t>-29,00%</t>
  </si>
  <si>
    <t>138 093 561,16</t>
  </si>
  <si>
    <t>10 042 843,23</t>
  </si>
  <si>
    <t>81 987 706,91</t>
  </si>
  <si>
    <t>29 781 523,86</t>
  </si>
  <si>
    <t>14 192 185,98</t>
  </si>
  <si>
    <t>176 650 580</t>
  </si>
  <si>
    <t>-38,00%</t>
  </si>
  <si>
    <t>131 192 916,26</t>
  </si>
  <si>
    <t>36,30%</t>
  </si>
  <si>
    <t>55 754 032,07</t>
  </si>
  <si>
    <t>523 359 389,32</t>
  </si>
  <si>
    <t>26 437 915,39</t>
  </si>
  <si>
    <t>62 822 406,19</t>
  </si>
  <si>
    <t>873 749 738</t>
  </si>
  <si>
    <t>34,70%</t>
  </si>
  <si>
    <t>348 021 170,91</t>
  </si>
  <si>
    <t>5,10%</t>
  </si>
  <si>
    <t>16 731 986,37</t>
  </si>
  <si>
    <t>176 699 123,66</t>
  </si>
  <si>
    <t>32 593 719,57</t>
  </si>
  <si>
    <t>23 818 159,69</t>
  </si>
  <si>
    <t>480 511 985</t>
  </si>
  <si>
    <t>-10,40%</t>
  </si>
  <si>
    <t>289 515 579,36</t>
  </si>
  <si>
    <t>18,40%</t>
  </si>
  <si>
    <t>8 067 572</t>
  </si>
  <si>
    <t>7 106,99</t>
  </si>
  <si>
    <t>1 588 929,53</t>
  </si>
  <si>
    <t>-6 053,19</t>
  </si>
  <si>
    <t>2 400 640</t>
  </si>
  <si>
    <t>1 682 069,99</t>
  </si>
  <si>
    <t>1 156 511,68</t>
  </si>
  <si>
    <t>8 279 661,64</t>
  </si>
  <si>
    <t>4 042 100,78</t>
  </si>
  <si>
    <t>1 587 256,57</t>
  </si>
  <si>
    <t>45 359 408</t>
  </si>
  <si>
    <t>314,90%</t>
  </si>
  <si>
    <t>21 510 576,92</t>
  </si>
  <si>
    <t>48,80%</t>
  </si>
  <si>
    <t>34 244 557,39</t>
  </si>
  <si>
    <t>226 097 448,72</t>
  </si>
  <si>
    <t>267 769 834,44</t>
  </si>
  <si>
    <t>67 766 034,20</t>
  </si>
  <si>
    <t>178 416 657</t>
  </si>
  <si>
    <t>666 536 986,59</t>
  </si>
  <si>
    <t>4 374 407,70</t>
  </si>
  <si>
    <t>82 302 461,39</t>
  </si>
  <si>
    <t>3 326 076,38</t>
  </si>
  <si>
    <t>5 680 275,59</t>
  </si>
  <si>
    <t>32 179 423</t>
  </si>
  <si>
    <t>44 657 300,92</t>
  </si>
  <si>
    <t>152 903,60</t>
  </si>
  <si>
    <t>1 792 608,57</t>
  </si>
  <si>
    <t>469 857,84</t>
  </si>
  <si>
    <t>193 406,04</t>
  </si>
  <si>
    <t>3 435 437</t>
  </si>
  <si>
    <t>115,60%</t>
  </si>
  <si>
    <t>933 816,33</t>
  </si>
  <si>
    <t>-104 845,45</t>
  </si>
  <si>
    <t>7 597 025,50</t>
  </si>
  <si>
    <t>-45 750,70</t>
  </si>
  <si>
    <t>403 471</t>
  </si>
  <si>
    <t>766,10%</t>
  </si>
  <si>
    <t>3 261,93</t>
  </si>
  <si>
    <t>460 004,87</t>
  </si>
  <si>
    <t>4 357,35</t>
  </si>
  <si>
    <t>1 931 359</t>
  </si>
  <si>
    <t>923 052,58</t>
  </si>
  <si>
    <t>20 170 329,32</t>
  </si>
  <si>
    <t>289 834 256,96</t>
  </si>
  <si>
    <t>140 170 838,91</t>
  </si>
  <si>
    <t>30 796 101,66</t>
  </si>
  <si>
    <t>177 475 157</t>
  </si>
  <si>
    <t>-53,40%</t>
  </si>
  <si>
    <t>586 318 491,62</t>
  </si>
  <si>
    <t>48,40%</t>
  </si>
  <si>
    <t>5 051 991,42</t>
  </si>
  <si>
    <t>21 701 271,44</t>
  </si>
  <si>
    <t>8 461 062,16</t>
  </si>
  <si>
    <t>6 650 287,70</t>
  </si>
  <si>
    <t>30 122 544</t>
  </si>
  <si>
    <t>64 300 294,22</t>
  </si>
  <si>
    <t>39,00%</t>
  </si>
  <si>
    <t>22 221 567</t>
  </si>
  <si>
    <t>-38,20%</t>
  </si>
  <si>
    <t>-683 605,26</t>
  </si>
  <si>
    <t>2 089 106,88</t>
  </si>
  <si>
    <t>929 872,19</t>
  </si>
  <si>
    <t>-518 018,59</t>
  </si>
  <si>
    <t>11 478 314</t>
  </si>
  <si>
    <t>3 681 453,78</t>
  </si>
  <si>
    <t>44,50%</t>
  </si>
  <si>
    <t>20 095 365,36</t>
  </si>
  <si>
    <t>103 812 235,19</t>
  </si>
  <si>
    <t>46 040 219,02</t>
  </si>
  <si>
    <t>22 066 749,23</t>
  </si>
  <si>
    <t>249 254 495</t>
  </si>
  <si>
    <t>35,80%</t>
  </si>
  <si>
    <t>258 169 773,81</t>
  </si>
  <si>
    <t>37 742 702,49</t>
  </si>
  <si>
    <t>172 832 147,27</t>
  </si>
  <si>
    <t>13 177 944,97</t>
  </si>
  <si>
    <t>44 872 184,16</t>
  </si>
  <si>
    <t>334 915 361</t>
  </si>
  <si>
    <t>-35,50%</t>
  </si>
  <si>
    <t>270 764 636,22</t>
  </si>
  <si>
    <t>7,60%</t>
  </si>
  <si>
    <t>85 678 843,79</t>
  </si>
  <si>
    <t>273 270 172,24</t>
  </si>
  <si>
    <t>73 591 080,22</t>
  </si>
  <si>
    <t>118 309 544,50</t>
  </si>
  <si>
    <t>936 259 493</t>
  </si>
  <si>
    <t>44,20%</t>
  </si>
  <si>
    <t>615 768 758,71</t>
  </si>
  <si>
    <t>-8 447 142,16</t>
  </si>
  <si>
    <t>1 262 161 590,13</t>
  </si>
  <si>
    <t>180 808 243,77</t>
  </si>
  <si>
    <t>-15 757 914,02</t>
  </si>
  <si>
    <t>40 911 561</t>
  </si>
  <si>
    <t>51,10%</t>
  </si>
  <si>
    <t>135 997 557,40</t>
  </si>
  <si>
    <t>-6 406 267,92</t>
  </si>
  <si>
    <t>11 164 914,96</t>
  </si>
  <si>
    <t>344 607,94</t>
  </si>
  <si>
    <t>-5 397 286,45</t>
  </si>
  <si>
    <t>55 320 347</t>
  </si>
  <si>
    <t>57 698 706,92</t>
  </si>
  <si>
    <t>3,10%</t>
  </si>
  <si>
    <t>-4 423 211,67</t>
  </si>
  <si>
    <t>1 683 164,53</t>
  </si>
  <si>
    <t>2 085 865,34</t>
  </si>
  <si>
    <t>-3 626 727,82</t>
  </si>
  <si>
    <t>16 534 471</t>
  </si>
  <si>
    <t>72,30%</t>
  </si>
  <si>
    <t>5 693 228,87</t>
  </si>
  <si>
    <t>123,90%</t>
  </si>
  <si>
    <t>-2 092 744,76</t>
  </si>
  <si>
    <t>13 628 256,58</t>
  </si>
  <si>
    <t>813 809,80</t>
  </si>
  <si>
    <t>-2 060 131,22</t>
  </si>
  <si>
    <t>40 844 981</t>
  </si>
  <si>
    <t>25,30%</t>
  </si>
  <si>
    <t>19 028 218,36</t>
  </si>
  <si>
    <t>151 459,66</t>
  </si>
  <si>
    <t>2 730 437,12</t>
  </si>
  <si>
    <t>1 793 959,00</t>
  </si>
  <si>
    <t>345 882,95</t>
  </si>
  <si>
    <t>5 781 278</t>
  </si>
  <si>
    <t>-140,10%</t>
  </si>
  <si>
    <t>5 392 377,48</t>
  </si>
  <si>
    <t>65,70%</t>
  </si>
  <si>
    <t>3 529 259,98</t>
  </si>
  <si>
    <t>1 751 010,22</t>
  </si>
  <si>
    <t>329 259,98</t>
  </si>
  <si>
    <t>6 888 166</t>
  </si>
  <si>
    <t>-9,90%</t>
  </si>
  <si>
    <t>5 949 598,34</t>
  </si>
  <si>
    <t>6 252,19</t>
  </si>
  <si>
    <t>2 773 621,59</t>
  </si>
  <si>
    <t>1 471 716,41</t>
  </si>
  <si>
    <t>179 144,84</t>
  </si>
  <si>
    <t>1 981 761</t>
  </si>
  <si>
    <t>125,20%</t>
  </si>
  <si>
    <t>3 390 649,71</t>
  </si>
  <si>
    <t>53,10%</t>
  </si>
  <si>
    <t>338 591,81</t>
  </si>
  <si>
    <t>16 668 655,82</t>
  </si>
  <si>
    <t>3 711 614,88</t>
  </si>
  <si>
    <t>771 262,84</t>
  </si>
  <si>
    <t>19 674 648</t>
  </si>
  <si>
    <t>-86,50%</t>
  </si>
  <si>
    <t>21 612 541,67</t>
  </si>
  <si>
    <t>1 377 639</t>
  </si>
  <si>
    <t>107,50%</t>
  </si>
  <si>
    <t>-5 309 953,72</t>
  </si>
  <si>
    <t>25 015 807,31</t>
  </si>
  <si>
    <t>8 325 011,41</t>
  </si>
  <si>
    <t>-7 271 592,46</t>
  </si>
  <si>
    <t>21 354 725</t>
  </si>
  <si>
    <t>37 439 867,02</t>
  </si>
  <si>
    <t>11 592 636,99</t>
  </si>
  <si>
    <t>35 825 556,51</t>
  </si>
  <si>
    <t>10 724 047,52</t>
  </si>
  <si>
    <t>14 887 735,45</t>
  </si>
  <si>
    <t>161 077 576</t>
  </si>
  <si>
    <t>107,10%</t>
  </si>
  <si>
    <t>66 525 470,89</t>
  </si>
  <si>
    <t>29,90%</t>
  </si>
  <si>
    <t>2 146 623</t>
  </si>
  <si>
    <t>4 452 841,73</t>
  </si>
  <si>
    <t>35 754 025,19</t>
  </si>
  <si>
    <t>20 558 499,82</t>
  </si>
  <si>
    <t>7 027 201,39</t>
  </si>
  <si>
    <t>15 154 254</t>
  </si>
  <si>
    <t>149 348 526,30</t>
  </si>
  <si>
    <t>57,50%</t>
  </si>
  <si>
    <t>590 158</t>
  </si>
  <si>
    <t>28,70%</t>
  </si>
  <si>
    <t>50 980 392,16</t>
  </si>
  <si>
    <t>347 391 786,90</t>
  </si>
  <si>
    <t>557 898 631,15</t>
  </si>
  <si>
    <t>100 258 971,51</t>
  </si>
  <si>
    <t>1 100 417 239</t>
  </si>
  <si>
    <t>900 480 947,10</t>
  </si>
  <si>
    <t>160,60%</t>
  </si>
  <si>
    <t>164 122 000,00</t>
  </si>
  <si>
    <t>1 434 442 000,00</t>
  </si>
  <si>
    <t>89 886 000,00</t>
  </si>
  <si>
    <t>207 516 000,00</t>
  </si>
  <si>
    <t>1 438 336 448</t>
  </si>
  <si>
    <t>2 177 329 000,00</t>
  </si>
  <si>
    <t>6,30%</t>
  </si>
  <si>
    <t>-3 047 986,70</t>
  </si>
  <si>
    <t>3 997 294,94</t>
  </si>
  <si>
    <t>102 285,22</t>
  </si>
  <si>
    <t>-3 011 778,30</t>
  </si>
  <si>
    <t>7 760 546</t>
  </si>
  <si>
    <t>-7,70%</t>
  </si>
  <si>
    <t>9 344 162,98</t>
  </si>
  <si>
    <t>74 530,31</t>
  </si>
  <si>
    <t>2 980 219,08</t>
  </si>
  <si>
    <t>43 662,61</t>
  </si>
  <si>
    <t>60 296 930</t>
  </si>
  <si>
    <t>-686,20%</t>
  </si>
  <si>
    <t>2 433 520,08</t>
  </si>
  <si>
    <t>96 927,95</t>
  </si>
  <si>
    <t>2 035 212,63</t>
  </si>
  <si>
    <t>1 072 897,64</t>
  </si>
  <si>
    <t>231 718,60</t>
  </si>
  <si>
    <t>3 546 988</t>
  </si>
  <si>
    <t>120,00%</t>
  </si>
  <si>
    <t>12 525 829,11</t>
  </si>
  <si>
    <t>6 383 422,59</t>
  </si>
  <si>
    <t>86 078 371,47</t>
  </si>
  <si>
    <t>21 333 921,62</t>
  </si>
  <si>
    <t>9 837 792,11</t>
  </si>
  <si>
    <t>381 418 629</t>
  </si>
  <si>
    <t>-43,50%</t>
  </si>
  <si>
    <t>169 648 162,12</t>
  </si>
  <si>
    <t>24,80%</t>
  </si>
  <si>
    <t>129,40%</t>
  </si>
  <si>
    <t>19 894 027,65</t>
  </si>
  <si>
    <t>127 773 751,86</t>
  </si>
  <si>
    <t>181 676 730,66</t>
  </si>
  <si>
    <t>45 382 103,73</t>
  </si>
  <si>
    <t>108 959 998</t>
  </si>
  <si>
    <t>835 143 145,47</t>
  </si>
  <si>
    <t>142,20%</t>
  </si>
  <si>
    <t>548 356,86</t>
  </si>
  <si>
    <t>6 622 456,18</t>
  </si>
  <si>
    <t>12 820 813,05</t>
  </si>
  <si>
    <t>1 802 762,90</t>
  </si>
  <si>
    <t>13 328 131</t>
  </si>
  <si>
    <t>-2,60%</t>
  </si>
  <si>
    <t>48 615 007,30</t>
  </si>
  <si>
    <t>193,60%</t>
  </si>
  <si>
    <t>7 002 201,23</t>
  </si>
  <si>
    <t>32 885 563,33</t>
  </si>
  <si>
    <t>35 827 436,57</t>
  </si>
  <si>
    <t>8 324 955,26</t>
  </si>
  <si>
    <t>45 852 505</t>
  </si>
  <si>
    <t>193 743 181,12</t>
  </si>
  <si>
    <t>108,90%</t>
  </si>
  <si>
    <t>2 511 392,32</t>
  </si>
  <si>
    <t>21 636 970,08</t>
  </si>
  <si>
    <t>3 544 697,29</t>
  </si>
  <si>
    <t>39 820 244</t>
  </si>
  <si>
    <t>-65,20%</t>
  </si>
  <si>
    <t>52 837 863,32</t>
  </si>
  <si>
    <t>-1 914 527,69</t>
  </si>
  <si>
    <t>12 705 116,67</t>
  </si>
  <si>
    <t>23 083 532,47</t>
  </si>
  <si>
    <t>-1 532 745,29</t>
  </si>
  <si>
    <t>24 757 267</t>
  </si>
  <si>
    <t>21 128 204,95</t>
  </si>
  <si>
    <t>181,70%</t>
  </si>
  <si>
    <t>-24 230,00</t>
  </si>
  <si>
    <t>-59 220,00</t>
  </si>
  <si>
    <t>15 007 362</t>
  </si>
  <si>
    <t>49,80%</t>
  </si>
  <si>
    <t>38 000,00</t>
  </si>
  <si>
    <t>259 876,64</t>
  </si>
  <si>
    <t>2 429 252,12</t>
  </si>
  <si>
    <t>7 167 879,72</t>
  </si>
  <si>
    <t>603 716,27</t>
  </si>
  <si>
    <t>664 033</t>
  </si>
  <si>
    <t>123,40%</t>
  </si>
  <si>
    <t>34 818 519,66</t>
  </si>
  <si>
    <t>295,10%</t>
  </si>
  <si>
    <t>765 271,67</t>
  </si>
  <si>
    <t>31 493 216,13</t>
  </si>
  <si>
    <t>3 035 479,97</t>
  </si>
  <si>
    <t>1 515 765,34</t>
  </si>
  <si>
    <t>20 862 901</t>
  </si>
  <si>
    <t>56 884 897,13</t>
  </si>
  <si>
    <t>-1 022 288,60</t>
  </si>
  <si>
    <t>-381 244,89</t>
  </si>
  <si>
    <t>3 979 402,07</t>
  </si>
  <si>
    <t>-582 011,33</t>
  </si>
  <si>
    <t>2 072 883</t>
  </si>
  <si>
    <t>185,80%</t>
  </si>
  <si>
    <t>18 049 113,81</t>
  </si>
  <si>
    <t>-765 399,07</t>
  </si>
  <si>
    <t>1 331 167,59</t>
  </si>
  <si>
    <t>1 583 030,77</t>
  </si>
  <si>
    <t>-694 821,33</t>
  </si>
  <si>
    <t>4 400 859</t>
  </si>
  <si>
    <t>9 992 610,99</t>
  </si>
  <si>
    <t>118,90%</t>
  </si>
  <si>
    <t>2 512 240,54</t>
  </si>
  <si>
    <t>25 816 755,67</t>
  </si>
  <si>
    <t>10 219 158,15</t>
  </si>
  <si>
    <t>3 028 994,98</t>
  </si>
  <si>
    <t>7 670 658</t>
  </si>
  <si>
    <t>77,10%</t>
  </si>
  <si>
    <t>113 069 324,03</t>
  </si>
  <si>
    <t>2 538 633,03</t>
  </si>
  <si>
    <t>5 988 024,71</t>
  </si>
  <si>
    <t>19 239 569,40</t>
  </si>
  <si>
    <t>4 564 494,55</t>
  </si>
  <si>
    <t>4 595 060</t>
  </si>
  <si>
    <t>-180,70%</t>
  </si>
  <si>
    <t>79 423 275,37</t>
  </si>
  <si>
    <t>321,30%</t>
  </si>
  <si>
    <t>-4 374 151,58</t>
  </si>
  <si>
    <t>7 985 938,58</t>
  </si>
  <si>
    <t>4 416 668,80</t>
  </si>
  <si>
    <t>-4 060 010,76</t>
  </si>
  <si>
    <t>133 124 641</t>
  </si>
  <si>
    <t>-158,60%</t>
  </si>
  <si>
    <t>11 170 888,51</t>
  </si>
  <si>
    <t>2 442 295,52</t>
  </si>
  <si>
    <t>13 398 198,64</t>
  </si>
  <si>
    <t>90 676,73</t>
  </si>
  <si>
    <t>-11 530 014,61</t>
  </si>
  <si>
    <t>4 701 982</t>
  </si>
  <si>
    <t>-47,10%</t>
  </si>
  <si>
    <t>666 381 304,77</t>
  </si>
  <si>
    <t>-631 250,40</t>
  </si>
  <si>
    <t>4 296 324,61</t>
  </si>
  <si>
    <t>2 725 269,13</t>
  </si>
  <si>
    <t>-591 884,83</t>
  </si>
  <si>
    <t>4 544 004</t>
  </si>
  <si>
    <t>-1 130,9%</t>
  </si>
  <si>
    <t>19 077 011,27</t>
  </si>
  <si>
    <t>306 609,06</t>
  </si>
  <si>
    <t>1 875 121,71</t>
  </si>
  <si>
    <t>1 932 826,19</t>
  </si>
  <si>
    <t>602 105,65</t>
  </si>
  <si>
    <t>49 529 213</t>
  </si>
  <si>
    <t>-185,20%</t>
  </si>
  <si>
    <t>5 325 778,97</t>
  </si>
  <si>
    <t>103,10%</t>
  </si>
  <si>
    <t>954 913,45</t>
  </si>
  <si>
    <t>9 588 202,17</t>
  </si>
  <si>
    <t>5 804 061,59</t>
  </si>
  <si>
    <t>1 107 479,57</t>
  </si>
  <si>
    <t>10 648 138</t>
  </si>
  <si>
    <t>72 755 235,94</t>
  </si>
  <si>
    <t>60,50%</t>
  </si>
  <si>
    <t>746 640,70</t>
  </si>
  <si>
    <t>6 207 035,05</t>
  </si>
  <si>
    <t>3 377 543,82</t>
  </si>
  <si>
    <t>1 245 983,45</t>
  </si>
  <si>
    <t>11 104 078</t>
  </si>
  <si>
    <t>54 356 377,80</t>
  </si>
  <si>
    <t>54,40%</t>
  </si>
  <si>
    <t>11 928 609,08</t>
  </si>
  <si>
    <t>221 936 892,84</t>
  </si>
  <si>
    <t>111 770 464,64</t>
  </si>
  <si>
    <t>-1 679 343,32</t>
  </si>
  <si>
    <t>95 791 725</t>
  </si>
  <si>
    <t>472 761 503,13</t>
  </si>
  <si>
    <t>50,40%</t>
  </si>
  <si>
    <t>-31,60%</t>
  </si>
  <si>
    <t>3 028 600,95</t>
  </si>
  <si>
    <t>17 312 329,06</t>
  </si>
  <si>
    <t>3 711 466,72</t>
  </si>
  <si>
    <t>20 656 029</t>
  </si>
  <si>
    <t>35 842 327,46</t>
  </si>
  <si>
    <t>5 273 496,38</t>
  </si>
  <si>
    <t>30 635 435,04</t>
  </si>
  <si>
    <t>15 328 061,96</t>
  </si>
  <si>
    <t>6 569 142,59</t>
  </si>
  <si>
    <t>36 597 171</t>
  </si>
  <si>
    <t>44 934 469,84</t>
  </si>
  <si>
    <t>75 467 340,00</t>
  </si>
  <si>
    <t>5 284 920,00</t>
  </si>
  <si>
    <t>68 180 562</t>
  </si>
  <si>
    <t>79,10%</t>
  </si>
  <si>
    <t>6 674 690,00</t>
  </si>
  <si>
    <t>3 157 223,76</t>
  </si>
  <si>
    <t>11 145 019,30</t>
  </si>
  <si>
    <t>3 470 377,02</t>
  </si>
  <si>
    <t>27 917 239</t>
  </si>
  <si>
    <t>80,00%</t>
  </si>
  <si>
    <t>28 463 548,85</t>
  </si>
  <si>
    <t>1 189 776,05</t>
  </si>
  <si>
    <t>3 362 439,14</t>
  </si>
  <si>
    <t>4 276 752,68</t>
  </si>
  <si>
    <t>2 206 949,85</t>
  </si>
  <si>
    <t>102 553 708</t>
  </si>
  <si>
    <t>19 865 664,56</t>
  </si>
  <si>
    <t>43 101,27</t>
  </si>
  <si>
    <t>2 985 118,91</t>
  </si>
  <si>
    <t>757 279,45</t>
  </si>
  <si>
    <t>79 690,24</t>
  </si>
  <si>
    <t>6 183 857</t>
  </si>
  <si>
    <t>11 135 283,71</t>
  </si>
  <si>
    <t>25,40%</t>
  </si>
  <si>
    <t>49 695,72</t>
  </si>
  <si>
    <t>1 666 284,20</t>
  </si>
  <si>
    <t>124 693,52</t>
  </si>
  <si>
    <t>89 301,36</t>
  </si>
  <si>
    <t>9 141 944</t>
  </si>
  <si>
    <t>-69,20%</t>
  </si>
  <si>
    <t>8 135 990,75</t>
  </si>
  <si>
    <t>7,50%</t>
  </si>
  <si>
    <t>4 254 496,59</t>
  </si>
  <si>
    <t>22 002 107,23</t>
  </si>
  <si>
    <t>28 687 510,71</t>
  </si>
  <si>
    <t>4 979 074,54</t>
  </si>
  <si>
    <t>25 710 125</t>
  </si>
  <si>
    <t>211,70%</t>
  </si>
  <si>
    <t>170 614 922,53</t>
  </si>
  <si>
    <t>130,40%</t>
  </si>
  <si>
    <t>1 720 538</t>
  </si>
  <si>
    <t>-69,40%</t>
  </si>
  <si>
    <t>275 060,86</t>
  </si>
  <si>
    <t>7 831 730,77</t>
  </si>
  <si>
    <t>9 614 033,59</t>
  </si>
  <si>
    <t>1 202 446,45</t>
  </si>
  <si>
    <t>18 618 008</t>
  </si>
  <si>
    <t>24 402 142,16</t>
  </si>
  <si>
    <t>122,80%</t>
  </si>
  <si>
    <t>255 191</t>
  </si>
  <si>
    <t>101 164,07</t>
  </si>
  <si>
    <t>1 759 448,64</t>
  </si>
  <si>
    <t>26 233,81</t>
  </si>
  <si>
    <t>3 283 456</t>
  </si>
  <si>
    <t>1 690 330,57</t>
  </si>
  <si>
    <t>-2 552 570,24</t>
  </si>
  <si>
    <t>2 392 362,27</t>
  </si>
  <si>
    <t>15 726 890,86</t>
  </si>
  <si>
    <t>-1 231 206,62</t>
  </si>
  <si>
    <t>6 002 298</t>
  </si>
  <si>
    <t>23 777 245,60</t>
  </si>
  <si>
    <t>657,40%</t>
  </si>
  <si>
    <t>-56 959 591,04</t>
  </si>
  <si>
    <t>110 984 664,07</t>
  </si>
  <si>
    <t>43 309 396,30</t>
  </si>
  <si>
    <t>-67 717 867,58</t>
  </si>
  <si>
    <t>7 230 394</t>
  </si>
  <si>
    <t>80 754 625,12</t>
  </si>
  <si>
    <t>-2 135 710,81</t>
  </si>
  <si>
    <t>74 452 653,36</t>
  </si>
  <si>
    <t>66 554 284,32</t>
  </si>
  <si>
    <t>1 643 865,63</t>
  </si>
  <si>
    <t>339 821 368</t>
  </si>
  <si>
    <t>-12 863,2%</t>
  </si>
  <si>
    <t>146 249 878,29</t>
  </si>
  <si>
    <t>89,40%</t>
  </si>
  <si>
    <t>487 061,83</t>
  </si>
  <si>
    <t>6 359 578,87</t>
  </si>
  <si>
    <t>3 136 185,49</t>
  </si>
  <si>
    <t>896 056,48</t>
  </si>
  <si>
    <t>18 945 086</t>
  </si>
  <si>
    <t>-10 137,5%</t>
  </si>
  <si>
    <t>10 054 442,55</t>
  </si>
  <si>
    <t>49,30%</t>
  </si>
  <si>
    <t>139 333,56</t>
  </si>
  <si>
    <t>17 477 652,84</t>
  </si>
  <si>
    <t>5 500 345,77</t>
  </si>
  <si>
    <t>284 045,80</t>
  </si>
  <si>
    <t>12 713 000</t>
  </si>
  <si>
    <t>44,60%</t>
  </si>
  <si>
    <t>37 338 319,29</t>
  </si>
  <si>
    <t>31,50%</t>
  </si>
  <si>
    <t>37 098,34</t>
  </si>
  <si>
    <t>1 788 364,17</t>
  </si>
  <si>
    <t>213 327,65</t>
  </si>
  <si>
    <t>45 374,88</t>
  </si>
  <si>
    <t>2 287 402</t>
  </si>
  <si>
    <t>-27,00%</t>
  </si>
  <si>
    <t>12 133 288,70</t>
  </si>
  <si>
    <t>16 591,53</t>
  </si>
  <si>
    <t>4 144 195,63</t>
  </si>
  <si>
    <t>4 503 829,44</t>
  </si>
  <si>
    <t>1 119 332,05</t>
  </si>
  <si>
    <t>66 514 158</t>
  </si>
  <si>
    <t>266,70%</t>
  </si>
  <si>
    <t>7 889 114,30</t>
  </si>
  <si>
    <t>108,70%</t>
  </si>
  <si>
    <t>-2 223 098,29</t>
  </si>
  <si>
    <t>6 888 366,54</t>
  </si>
  <si>
    <t>115 883,81</t>
  </si>
  <si>
    <t>-1 452 131,84</t>
  </si>
  <si>
    <t>12 026 874</t>
  </si>
  <si>
    <t>782 632,30</t>
  </si>
  <si>
    <t>14 879 000,00</t>
  </si>
  <si>
    <t>148 951 000,00</t>
  </si>
  <si>
    <t>3 222 000,00</t>
  </si>
  <si>
    <t>16 164 000,00</t>
  </si>
  <si>
    <t>98 640 628</t>
  </si>
  <si>
    <t>208 138 000,00</t>
  </si>
  <si>
    <t>2,20%</t>
  </si>
  <si>
    <t>6 490 509,95</t>
  </si>
  <si>
    <t>58 811 716,84</t>
  </si>
  <si>
    <t>5 697 897,51</t>
  </si>
  <si>
    <t>8 593 238,20</t>
  </si>
  <si>
    <t>42 259 640</t>
  </si>
  <si>
    <t>71,00%</t>
  </si>
  <si>
    <t>136 049 469,60</t>
  </si>
  <si>
    <t>534 833,16</t>
  </si>
  <si>
    <t>10 926 661,58</t>
  </si>
  <si>
    <t>11 230 925,17</t>
  </si>
  <si>
    <t>699 015,90</t>
  </si>
  <si>
    <t>6 575 304</t>
  </si>
  <si>
    <t>133,60%</t>
  </si>
  <si>
    <t>20 073 393,31</t>
  </si>
  <si>
    <t>102,80%</t>
  </si>
  <si>
    <t>8 112 841,71</t>
  </si>
  <si>
    <t>40 061 601,55</t>
  </si>
  <si>
    <t>19 806 527,54</t>
  </si>
  <si>
    <t>12 916 448,86</t>
  </si>
  <si>
    <t>90 688 317</t>
  </si>
  <si>
    <t>-120,80%</t>
  </si>
  <si>
    <t>249 929 197,23</t>
  </si>
  <si>
    <t>129 741,72</t>
  </si>
  <si>
    <t>1 965 570,47</t>
  </si>
  <si>
    <t>1 621 803,19</t>
  </si>
  <si>
    <t>82 133,76</t>
  </si>
  <si>
    <t>2 238 452</t>
  </si>
  <si>
    <t>102,90%</t>
  </si>
  <si>
    <t>6 198 957,40</t>
  </si>
  <si>
    <t>82,50%</t>
  </si>
  <si>
    <t>286 246,35</t>
  </si>
  <si>
    <t>3 741 175,75</t>
  </si>
  <si>
    <t>2 278 237,59</t>
  </si>
  <si>
    <t>549 464,46</t>
  </si>
  <si>
    <t>8 087 913</t>
  </si>
  <si>
    <t>40,00%</t>
  </si>
  <si>
    <t>4 146 884,13</t>
  </si>
  <si>
    <t>60,90%</t>
  </si>
  <si>
    <t>17 948 814,13</t>
  </si>
  <si>
    <t>286 879 049,32</t>
  </si>
  <si>
    <t>190 081 331,87</t>
  </si>
  <si>
    <t>30 291 247,91</t>
  </si>
  <si>
    <t>139 932 174</t>
  </si>
  <si>
    <t>53,40%</t>
  </si>
  <si>
    <t>283 562 132,89</t>
  </si>
  <si>
    <t>66,30%</t>
  </si>
  <si>
    <t>2 264 946,45</t>
  </si>
  <si>
    <t>11 944 315,97</t>
  </si>
  <si>
    <t>17 823 636,81</t>
  </si>
  <si>
    <t>4 246 421,62</t>
  </si>
  <si>
    <t>165 830 292</t>
  </si>
  <si>
    <t>-87,40%</t>
  </si>
  <si>
    <t>140 433 386,08</t>
  </si>
  <si>
    <t>149,20%</t>
  </si>
  <si>
    <t>1 005 221,52</t>
  </si>
  <si>
    <t>6 931 560,37</t>
  </si>
  <si>
    <t>4 272 030,19</t>
  </si>
  <si>
    <t>1 715 676,73</t>
  </si>
  <si>
    <t>76 521 392</t>
  </si>
  <si>
    <t>37,10%</t>
  </si>
  <si>
    <t>13 753 821,81</t>
  </si>
  <si>
    <t>61,60%</t>
  </si>
  <si>
    <t>-240 907,06</t>
  </si>
  <si>
    <t>8 963 755,65</t>
  </si>
  <si>
    <t>5 228 868,08</t>
  </si>
  <si>
    <t>-147 907,51</t>
  </si>
  <si>
    <t>3 159 104</t>
  </si>
  <si>
    <t>17 430 664,37</t>
  </si>
  <si>
    <t>1 632 914,84</t>
  </si>
  <si>
    <t>11 759 333,28</t>
  </si>
  <si>
    <t>1 981 200,81</t>
  </si>
  <si>
    <t>12 539 692</t>
  </si>
  <si>
    <t>-83,50%</t>
  </si>
  <si>
    <t>25 565 728,95</t>
  </si>
  <si>
    <t>-3 985 476,78</t>
  </si>
  <si>
    <t>9 245 557,04</t>
  </si>
  <si>
    <t>1 976 304,22</t>
  </si>
  <si>
    <t>-3 331 549,78</t>
  </si>
  <si>
    <t>8 172 172</t>
  </si>
  <si>
    <t>9 130 135,68</t>
  </si>
  <si>
    <t>21,40%</t>
  </si>
  <si>
    <t>29 189 761</t>
  </si>
  <si>
    <t>5 016 804</t>
  </si>
  <si>
    <t>3 723 538</t>
  </si>
  <si>
    <t>22 684 091,90</t>
  </si>
  <si>
    <t>92 933 944,63</t>
  </si>
  <si>
    <t>2 134 569,58</t>
  </si>
  <si>
    <t>30 050 713,32</t>
  </si>
  <si>
    <t>94 134 916</t>
  </si>
  <si>
    <t>142 690 495,10</t>
  </si>
  <si>
    <t>1 583 195</t>
  </si>
  <si>
    <t>891 025,79</t>
  </si>
  <si>
    <t>10 792 441,51</t>
  </si>
  <si>
    <t>218 572,29</t>
  </si>
  <si>
    <t>1 042 663,47</t>
  </si>
  <si>
    <t>54 019 687</t>
  </si>
  <si>
    <t>19 804 115,18</t>
  </si>
  <si>
    <t>15 612 860,00</t>
  </si>
  <si>
    <t>53 557 070,00</t>
  </si>
  <si>
    <t>1 665 040,00</t>
  </si>
  <si>
    <t>18 518 700,00</t>
  </si>
  <si>
    <t>70 154 573</t>
  </si>
  <si>
    <t>12 692,3%</t>
  </si>
  <si>
    <t>208 529 490,00</t>
  </si>
  <si>
    <t>70 530 930,07</t>
  </si>
  <si>
    <t>153 169 251,75</t>
  </si>
  <si>
    <t>208 272 479,02</t>
  </si>
  <si>
    <t>94 795 073,43</t>
  </si>
  <si>
    <t>367 368 892</t>
  </si>
  <si>
    <t>2,80%</t>
  </si>
  <si>
    <t>416 784 241,26</t>
  </si>
  <si>
    <t>136,00%</t>
  </si>
  <si>
    <t>-6 369 579,31</t>
  </si>
  <si>
    <t>43 894 164,39</t>
  </si>
  <si>
    <t>18 820 902,25</t>
  </si>
  <si>
    <t>-4 823 607,31</t>
  </si>
  <si>
    <t>62 799 158</t>
  </si>
  <si>
    <t>1 120,0%</t>
  </si>
  <si>
    <t>25 031 840,85</t>
  </si>
  <si>
    <t>42,90%</t>
  </si>
  <si>
    <t>26 095,42</t>
  </si>
  <si>
    <t>1 277 555,99</t>
  </si>
  <si>
    <t>113 473,71</t>
  </si>
  <si>
    <t>48 381,21</t>
  </si>
  <si>
    <t>27 955 801</t>
  </si>
  <si>
    <t>2 226 643,14</t>
  </si>
  <si>
    <t>-563 494,56</t>
  </si>
  <si>
    <t>23 956 680,72</t>
  </si>
  <si>
    <t>11 234 872,42</t>
  </si>
  <si>
    <t>-90 654,54</t>
  </si>
  <si>
    <t>91 207 333</t>
  </si>
  <si>
    <t>14 809 838,03</t>
  </si>
  <si>
    <t>4 829 193,90</t>
  </si>
  <si>
    <t>41 748 366,01</t>
  </si>
  <si>
    <t>1 406 753,81</t>
  </si>
  <si>
    <t>7 161 220,04</t>
  </si>
  <si>
    <t>49 698 130</t>
  </si>
  <si>
    <t>-71,00%</t>
  </si>
  <si>
    <t>45 973 202,61</t>
  </si>
  <si>
    <t>3,40%</t>
  </si>
  <si>
    <t>-3 512 312,22</t>
  </si>
  <si>
    <t>43 528 790,23</t>
  </si>
  <si>
    <t>20 102 032,84</t>
  </si>
  <si>
    <t>-789 023,18</t>
  </si>
  <si>
    <t>18 985 707</t>
  </si>
  <si>
    <t>37 403 535,64</t>
  </si>
  <si>
    <t>46,20%</t>
  </si>
  <si>
    <t>230 994 000,00</t>
  </si>
  <si>
    <t>371 913 000,00</t>
  </si>
  <si>
    <t>783 921 000,00</t>
  </si>
  <si>
    <t>319 269 000,00</t>
  </si>
  <si>
    <t>3 358 402 635</t>
  </si>
  <si>
    <t>-121,90%</t>
  </si>
  <si>
    <t>2 607 472 000,00</t>
  </si>
  <si>
    <t>210,80%</t>
  </si>
  <si>
    <t>-16 690 517,12</t>
  </si>
  <si>
    <t>17 189 681,81</t>
  </si>
  <si>
    <t>45 062 111,05</t>
  </si>
  <si>
    <t>-10 700 439,37</t>
  </si>
  <si>
    <t>18 752 215</t>
  </si>
  <si>
    <t>87 804 850,70</t>
  </si>
  <si>
    <t>262,10%</t>
  </si>
  <si>
    <t>12 274 525,89</t>
  </si>
  <si>
    <t>156 809 025,40</t>
  </si>
  <si>
    <t>47 378 926,23</t>
  </si>
  <si>
    <t>12 920 595,31</t>
  </si>
  <si>
    <t>446 554 770</t>
  </si>
  <si>
    <t>-3 368,0%</t>
  </si>
  <si>
    <t>89 366 989,50</t>
  </si>
  <si>
    <t>30,20%</t>
  </si>
  <si>
    <t>-402 443,84</t>
  </si>
  <si>
    <t>8 284 235,27</t>
  </si>
  <si>
    <t>2 354 508,23</t>
  </si>
  <si>
    <t>-498 181,56</t>
  </si>
  <si>
    <t>20 240 296</t>
  </si>
  <si>
    <t>61,00%</t>
  </si>
  <si>
    <t>8 130 259,29</t>
  </si>
  <si>
    <t>28,40%</t>
  </si>
  <si>
    <t>15 630 161,46</t>
  </si>
  <si>
    <t>156 911 748,71</t>
  </si>
  <si>
    <t>40 136 622,62</t>
  </si>
  <si>
    <t>18 300 204,29</t>
  </si>
  <si>
    <t>408 102 120</t>
  </si>
  <si>
    <t>-99,40%</t>
  </si>
  <si>
    <t>137 642 260,98</t>
  </si>
  <si>
    <t>25,60%</t>
  </si>
  <si>
    <t>333 551,20</t>
  </si>
  <si>
    <t>5 688 235,29</t>
  </si>
  <si>
    <t>1 927 668,85</t>
  </si>
  <si>
    <t>498 910,68</t>
  </si>
  <si>
    <t>9 425 120</t>
  </si>
  <si>
    <t>76,30%</t>
  </si>
  <si>
    <t>198 890 631,81</t>
  </si>
  <si>
    <t>4 348 919,09</t>
  </si>
  <si>
    <t>26 536 868,58</t>
  </si>
  <si>
    <t>33 778 060,79</t>
  </si>
  <si>
    <t>7 365 582,19</t>
  </si>
  <si>
    <t>92 133 659</t>
  </si>
  <si>
    <t>131,00%</t>
  </si>
  <si>
    <t>116 879 066,78</t>
  </si>
  <si>
    <t>127,30%</t>
  </si>
  <si>
    <t>205 525,80</t>
  </si>
  <si>
    <t>3 812 134,86</t>
  </si>
  <si>
    <t>3 285 662,12</t>
  </si>
  <si>
    <t>719 060,37</t>
  </si>
  <si>
    <t>9 573 418</t>
  </si>
  <si>
    <t>-12,20%</t>
  </si>
  <si>
    <t>4 412 439,14</t>
  </si>
  <si>
    <t>86,20%</t>
  </si>
  <si>
    <t>183 777,39</t>
  </si>
  <si>
    <t>2 787 027,26</t>
  </si>
  <si>
    <t>1 706 341,89</t>
  </si>
  <si>
    <t>427 970,18</t>
  </si>
  <si>
    <t>17 699 523</t>
  </si>
  <si>
    <t>4 463,6%</t>
  </si>
  <si>
    <t>7 108 007,91</t>
  </si>
  <si>
    <t>61,20%</t>
  </si>
  <si>
    <t>-52 906 678,08</t>
  </si>
  <si>
    <t>-363 604 452,05</t>
  </si>
  <si>
    <t>397 383 347,60</t>
  </si>
  <si>
    <t>-43 223 458,90</t>
  </si>
  <si>
    <t>806 298 683</t>
  </si>
  <si>
    <t>1 225,4%</t>
  </si>
  <si>
    <t>73 943 707,19</t>
  </si>
  <si>
    <t>10 136 441,36</t>
  </si>
  <si>
    <t>105 405 438,20</t>
  </si>
  <si>
    <t>30 667 216,32</t>
  </si>
  <si>
    <t>12 208 977,72</t>
  </si>
  <si>
    <t>50 872 191</t>
  </si>
  <si>
    <t>157 377 999,61</t>
  </si>
  <si>
    <t>29,10%</t>
  </si>
  <si>
    <t>76 099 946,41</t>
  </si>
  <si>
    <t>398 533 022,81</t>
  </si>
  <si>
    <t>163 189 064,53</t>
  </si>
  <si>
    <t>92 876 509,14</t>
  </si>
  <si>
    <t>1 026 052 615</t>
  </si>
  <si>
    <t>-74,00%</t>
  </si>
  <si>
    <t>450 727 460,27</t>
  </si>
  <si>
    <t>13 304 152,27</t>
  </si>
  <si>
    <t>102 913 336,81</t>
  </si>
  <si>
    <t>23 763 639,92</t>
  </si>
  <si>
    <t>16 116 517,83</t>
  </si>
  <si>
    <t>125 316 178</t>
  </si>
  <si>
    <t>-8,40%</t>
  </si>
  <si>
    <t>169 060 458,90</t>
  </si>
  <si>
    <t>38 989,99</t>
  </si>
  <si>
    <t>12 416 827,61</t>
  </si>
  <si>
    <t>10 308 984,36</t>
  </si>
  <si>
    <t>593 788,97</t>
  </si>
  <si>
    <t>14 675 591</t>
  </si>
  <si>
    <t>-77,60%</t>
  </si>
  <si>
    <t>16 071 678,46</t>
  </si>
  <si>
    <t>3 883 106</t>
  </si>
  <si>
    <t>-151,60%</t>
  </si>
  <si>
    <t>244 620,25</t>
  </si>
  <si>
    <t>1 472 650,93</t>
  </si>
  <si>
    <t>227 555,99</t>
  </si>
  <si>
    <t>241 626,10</t>
  </si>
  <si>
    <t>2 438 811</t>
  </si>
  <si>
    <t>61 651 010,22</t>
  </si>
  <si>
    <t>912 123</t>
  </si>
  <si>
    <t>265,00%</t>
  </si>
  <si>
    <t>2 338 787</t>
  </si>
  <si>
    <t>111 215 037,99</t>
  </si>
  <si>
    <t>1 002 999 151,83</t>
  </si>
  <si>
    <t>41 876 760,13</t>
  </si>
  <si>
    <t>124 656 346,05</t>
  </si>
  <si>
    <t>2 430 212 014</t>
  </si>
  <si>
    <t>6 832 376 473,06</t>
  </si>
  <si>
    <t>40 500 931,06</t>
  </si>
  <si>
    <t>254 203 235,66</t>
  </si>
  <si>
    <t>142 515 314,83</t>
  </si>
  <si>
    <t>51 593 073,53</t>
  </si>
  <si>
    <t>150 513 510</t>
  </si>
  <si>
    <t>423 704 865,09</t>
  </si>
  <si>
    <t>56,10%</t>
  </si>
  <si>
    <t>9 845 741,50</t>
  </si>
  <si>
    <t>68 486 788,60</t>
  </si>
  <si>
    <t>7 282 219,56</t>
  </si>
  <si>
    <t>14 028 095,09</t>
  </si>
  <si>
    <t>102 951 549</t>
  </si>
  <si>
    <t>-37,40%</t>
  </si>
  <si>
    <t>179 679 453,78</t>
  </si>
  <si>
    <t>10,60%</t>
  </si>
  <si>
    <t>66 828 491,27</t>
  </si>
  <si>
    <t>494 021 443,48</t>
  </si>
  <si>
    <t>9 442 886,97</t>
  </si>
  <si>
    <t>89 401 567,30</t>
  </si>
  <si>
    <t>1 499 773 060</t>
  </si>
  <si>
    <t>-57,50%</t>
  </si>
  <si>
    <t>1 593 382 046,34</t>
  </si>
  <si>
    <t>105 730 144,12</t>
  </si>
  <si>
    <t>986 348 982,20</t>
  </si>
  <si>
    <t>221 623 302,21</t>
  </si>
  <si>
    <t>128 299 959,40</t>
  </si>
  <si>
    <t>1 259 417 527</t>
  </si>
  <si>
    <t>64,90%</t>
  </si>
  <si>
    <t>533 778 114,31</t>
  </si>
  <si>
    <t>-209 109,49</t>
  </si>
  <si>
    <t>91 240 506,29</t>
  </si>
  <si>
    <t>1 572 171,32</t>
  </si>
  <si>
    <t>-835 138,90</t>
  </si>
  <si>
    <t>244 643 624</t>
  </si>
  <si>
    <t>-89,30%</t>
  </si>
  <si>
    <t>79 593 150,84</t>
  </si>
  <si>
    <t>29 655 432,64</t>
  </si>
  <si>
    <t>649 758 728,18</t>
  </si>
  <si>
    <t>28 920 422,78</t>
  </si>
  <si>
    <t>32 042 615,84</t>
  </si>
  <si>
    <t>770 071 509</t>
  </si>
  <si>
    <t>-18,90%</t>
  </si>
  <si>
    <t>478 511 772,89</t>
  </si>
  <si>
    <t>367 415 089,18</t>
  </si>
  <si>
    <t>512 142 523,04</t>
  </si>
  <si>
    <t>440 166 990</t>
  </si>
  <si>
    <t>655 291 383,25</t>
  </si>
  <si>
    <t>-2 212 122,31</t>
  </si>
  <si>
    <t>178 815 760,02</t>
  </si>
  <si>
    <t>2 571 713,16</t>
  </si>
  <si>
    <t>6 882 951,05</t>
  </si>
  <si>
    <t>257 424 935</t>
  </si>
  <si>
    <t>192 534 592,30</t>
  </si>
  <si>
    <t>1,40%</t>
  </si>
  <si>
    <t>-32 060,00</t>
  </si>
  <si>
    <t>-93 460,00</t>
  </si>
  <si>
    <t>93 460,00</t>
  </si>
  <si>
    <t>-30 500,00</t>
  </si>
  <si>
    <t>547 158</t>
  </si>
  <si>
    <t>1 098,0%</t>
  </si>
  <si>
    <t>706 413,56</t>
  </si>
  <si>
    <t>30 858 188,68</t>
  </si>
  <si>
    <t>8 724 440,47</t>
  </si>
  <si>
    <t>946 084,31</t>
  </si>
  <si>
    <t>13 417 770</t>
  </si>
  <si>
    <t>59,80%</t>
  </si>
  <si>
    <t>24 705 463,33</t>
  </si>
  <si>
    <t>1 765,45</t>
  </si>
  <si>
    <t>814 780,76</t>
  </si>
  <si>
    <t>-7 088,14</t>
  </si>
  <si>
    <t>2 829 115</t>
  </si>
  <si>
    <t>14 957,6%</t>
  </si>
  <si>
    <t>2 468 979,49</t>
  </si>
  <si>
    <t>328 351 174,70</t>
  </si>
  <si>
    <t>996 999 082,12</t>
  </si>
  <si>
    <t>200 368 582,63</t>
  </si>
  <si>
    <t>426 166 865,72</t>
  </si>
  <si>
    <t>1 810 661 788</t>
  </si>
  <si>
    <t>1 528 503 967,78</t>
  </si>
  <si>
    <t>20,10%</t>
  </si>
  <si>
    <t>4 318 834,95</t>
  </si>
  <si>
    <t>21 868 342,82</t>
  </si>
  <si>
    <t>8 510,21</t>
  </si>
  <si>
    <t>6 812 474,05</t>
  </si>
  <si>
    <t>52 424 041</t>
  </si>
  <si>
    <t>-38,70%</t>
  </si>
  <si>
    <t>36 200 435,22</t>
  </si>
  <si>
    <t>3 313 593</t>
  </si>
  <si>
    <t>-7,30%</t>
  </si>
  <si>
    <t>3 326 117,51</t>
  </si>
  <si>
    <t>14 513 107,96</t>
  </si>
  <si>
    <t>23 592 711,55</t>
  </si>
  <si>
    <t>4 024 929,72</t>
  </si>
  <si>
    <t>35 973 149</t>
  </si>
  <si>
    <t>73 146 485,80</t>
  </si>
  <si>
    <t>162,60%</t>
  </si>
  <si>
    <t>1 963 616,56</t>
  </si>
  <si>
    <t>22 955 119,83</t>
  </si>
  <si>
    <t>265 795,21</t>
  </si>
  <si>
    <t>2 598 692,81</t>
  </si>
  <si>
    <t>21 822 408</t>
  </si>
  <si>
    <t>52 243 572,98</t>
  </si>
  <si>
    <t>6 850 458,59</t>
  </si>
  <si>
    <t>92 245 229,56</t>
  </si>
  <si>
    <t>54 205 166,93</t>
  </si>
  <si>
    <t>8 921 565,22</t>
  </si>
  <si>
    <t>42 715 868</t>
  </si>
  <si>
    <t>-44,00%</t>
  </si>
  <si>
    <t>53 059 802,11</t>
  </si>
  <si>
    <t>58,80%</t>
  </si>
  <si>
    <t>1 034 810,13</t>
  </si>
  <si>
    <t>5 898 673,32</t>
  </si>
  <si>
    <t>2 151 655,31</t>
  </si>
  <si>
    <t>1 267 867,58</t>
  </si>
  <si>
    <t>50 478 833</t>
  </si>
  <si>
    <t>248,60%</t>
  </si>
  <si>
    <t>7 023 807,21</t>
  </si>
  <si>
    <t>-113 200 000,00</t>
  </si>
  <si>
    <t>-122 301 000,00</t>
  </si>
  <si>
    <t>306 700 000,00</t>
  </si>
  <si>
    <t>-80 000 000,00</t>
  </si>
  <si>
    <t>43 736 402</t>
  </si>
  <si>
    <t>105,70%</t>
  </si>
  <si>
    <t>298 200 000,00</t>
  </si>
  <si>
    <t>11 141 722,73</t>
  </si>
  <si>
    <t>128 083 448,36</t>
  </si>
  <si>
    <t>11 308 461,40</t>
  </si>
  <si>
    <t>12 179 807,75</t>
  </si>
  <si>
    <t>237 927 047</t>
  </si>
  <si>
    <t>12,90%</t>
  </si>
  <si>
    <t>107 582 494,35</t>
  </si>
  <si>
    <t>149 714 720,85</t>
  </si>
  <si>
    <t>927 343 758,62</t>
  </si>
  <si>
    <t>1 099 562 976,61</t>
  </si>
  <si>
    <t>229 710 968,62</t>
  </si>
  <si>
    <t>2 983 698 335</t>
  </si>
  <si>
    <t>-7,90%</t>
  </si>
  <si>
    <t>2 101 849 624,23</t>
  </si>
  <si>
    <t>-10 285 333,33</t>
  </si>
  <si>
    <t>34 388 916,67</t>
  </si>
  <si>
    <t>92 464 342,59</t>
  </si>
  <si>
    <t>1 945 827,16</t>
  </si>
  <si>
    <t>25 384 761</t>
  </si>
  <si>
    <t>89,30%</t>
  </si>
  <si>
    <t>294 144 151,23</t>
  </si>
  <si>
    <t>268,90%</t>
  </si>
  <si>
    <t>24 118 734,11</t>
  </si>
  <si>
    <t>145 086 500,23</t>
  </si>
  <si>
    <t>2 757 219,22</t>
  </si>
  <si>
    <t>26 515 774,72</t>
  </si>
  <si>
    <t>267 774 843</t>
  </si>
  <si>
    <t>171 003 454,79</t>
  </si>
  <si>
    <t>9 052 246,59</t>
  </si>
  <si>
    <t>17 647 907,51</t>
  </si>
  <si>
    <t>10 129 621,74</t>
  </si>
  <si>
    <t>12 106 081,88</t>
  </si>
  <si>
    <t>141 731 576</t>
  </si>
  <si>
    <t>-8,60%</t>
  </si>
  <si>
    <t>50 300 310,89</t>
  </si>
  <si>
    <t>57,40%</t>
  </si>
  <si>
    <t>173 153,24</t>
  </si>
  <si>
    <t>2 903 962,76</t>
  </si>
  <si>
    <t>1 181 837,03</t>
  </si>
  <si>
    <t>320 965,56</t>
  </si>
  <si>
    <t>6 582 524</t>
  </si>
  <si>
    <t>112,20%</t>
  </si>
  <si>
    <t>11 429 955,94</t>
  </si>
  <si>
    <t>40,70%</t>
  </si>
  <si>
    <t>7 768 667,48</t>
  </si>
  <si>
    <t>51 118 728,74</t>
  </si>
  <si>
    <t>674 016,83</t>
  </si>
  <si>
    <t>8 121 804,14</t>
  </si>
  <si>
    <t>84 969 468</t>
  </si>
  <si>
    <t>40 952 933,68</t>
  </si>
  <si>
    <t>6 734 923,30</t>
  </si>
  <si>
    <t>24 363 504,61</t>
  </si>
  <si>
    <t>9 371 527,92</t>
  </si>
  <si>
    <t>2 885 361,95</t>
  </si>
  <si>
    <t>90 006 247</t>
  </si>
  <si>
    <t>11 534 735,01</t>
  </si>
  <si>
    <t>38,50%</t>
  </si>
  <si>
    <t>33 946 823,95</t>
  </si>
  <si>
    <t>82 893 259,42</t>
  </si>
  <si>
    <t>24 865 915,57</t>
  </si>
  <si>
    <t>27 151 601,27</t>
  </si>
  <si>
    <t>255 162 076</t>
  </si>
  <si>
    <t>504,90%</t>
  </si>
  <si>
    <t>212 673 554,58</t>
  </si>
  <si>
    <t>30,00%</t>
  </si>
  <si>
    <t>-11 067 860,00</t>
  </si>
  <si>
    <t>-4 787 410,00</t>
  </si>
  <si>
    <t>8 441 160,00</t>
  </si>
  <si>
    <t>-8 936 450,00</t>
  </si>
  <si>
    <t>9 909 864</t>
  </si>
  <si>
    <t>118,80%</t>
  </si>
  <si>
    <t>1 788 640,00</t>
  </si>
  <si>
    <t>1 901 105,09</t>
  </si>
  <si>
    <t>16 550 021,25</t>
  </si>
  <si>
    <t>8 104 297,82</t>
  </si>
  <si>
    <t>2 501 786,90</t>
  </si>
  <si>
    <t>39 668 467</t>
  </si>
  <si>
    <t>-116,40%</t>
  </si>
  <si>
    <t>15 345 935,08</t>
  </si>
  <si>
    <t>49,00%</t>
  </si>
  <si>
    <t>24 864 730,62</t>
  </si>
  <si>
    <t>166 451 644,15</t>
  </si>
  <si>
    <t>178 656,56</t>
  </si>
  <si>
    <t>26 959 376,27</t>
  </si>
  <si>
    <t>344 375 594</t>
  </si>
  <si>
    <t>-6,60%</t>
  </si>
  <si>
    <t>138 273 648,73</t>
  </si>
  <si>
    <t>283 061 607,82</t>
  </si>
  <si>
    <t>30 367 446,25</t>
  </si>
  <si>
    <t>318 716 873</t>
  </si>
  <si>
    <t>162 269 310,21</t>
  </si>
  <si>
    <t>1 353 133,42</t>
  </si>
  <si>
    <t>27 373 706,22</t>
  </si>
  <si>
    <t>2 050 248,12</t>
  </si>
  <si>
    <t>28 247 513</t>
  </si>
  <si>
    <t>34 436 856,66</t>
  </si>
  <si>
    <t>490 079,36</t>
  </si>
  <si>
    <t>5 845 129,14</t>
  </si>
  <si>
    <t>6 400 910,54</t>
  </si>
  <si>
    <t>472 480,04</t>
  </si>
  <si>
    <t>4 913 425</t>
  </si>
  <si>
    <t>-202,60%</t>
  </si>
  <si>
    <t>5 150 518,01</t>
  </si>
  <si>
    <t>109,50%</t>
  </si>
  <si>
    <t>647 001,00</t>
  </si>
  <si>
    <t>33 906 043,17</t>
  </si>
  <si>
    <t>4 524 768,06</t>
  </si>
  <si>
    <t>1 390 281,57</t>
  </si>
  <si>
    <t>7 328 651</t>
  </si>
  <si>
    <t>13 316 253,83</t>
  </si>
  <si>
    <t>13,30%</t>
  </si>
  <si>
    <t>-22 200,00</t>
  </si>
  <si>
    <t>-6 670,00</t>
  </si>
  <si>
    <t>-22 250,00</t>
  </si>
  <si>
    <t>220,80%</t>
  </si>
  <si>
    <t>16 950,00</t>
  </si>
  <si>
    <t>124 050,63</t>
  </si>
  <si>
    <t>2 297 930,87</t>
  </si>
  <si>
    <t>137 585,20</t>
  </si>
  <si>
    <t>164 934,27</t>
  </si>
  <si>
    <t>12 293 596</t>
  </si>
  <si>
    <t>3 692 660,66</t>
  </si>
  <si>
    <t>5 777 316,72</t>
  </si>
  <si>
    <t>41 684 967,94</t>
  </si>
  <si>
    <t>1 843 002,66</t>
  </si>
  <si>
    <t>7 439 329,90</t>
  </si>
  <si>
    <t>69 837 313</t>
  </si>
  <si>
    <t>133,50%</t>
  </si>
  <si>
    <t>55 763 521,79</t>
  </si>
  <si>
    <t>4,40%</t>
  </si>
  <si>
    <t>327 361,25</t>
  </si>
  <si>
    <t>1 027 519,47</t>
  </si>
  <si>
    <t>527 227,36</t>
  </si>
  <si>
    <t>457 607,11</t>
  </si>
  <si>
    <t>5 497 601</t>
  </si>
  <si>
    <t>-37,90%</t>
  </si>
  <si>
    <t>7 930 537,97</t>
  </si>
  <si>
    <t>51,30%</t>
  </si>
  <si>
    <t>850 548</t>
  </si>
  <si>
    <t>4 745 783,99</t>
  </si>
  <si>
    <t>45 117 425,04</t>
  </si>
  <si>
    <t>14 293 372,05</t>
  </si>
  <si>
    <t>7 440 426,49</t>
  </si>
  <si>
    <t>140 118 790</t>
  </si>
  <si>
    <t>41 180 729,55</t>
  </si>
  <si>
    <t>430 308,27</t>
  </si>
  <si>
    <t>3 783 237,20</t>
  </si>
  <si>
    <t>11 083 300,18</t>
  </si>
  <si>
    <t>973 592,05</t>
  </si>
  <si>
    <t>100 578 811</t>
  </si>
  <si>
    <t>33 852 445,41</t>
  </si>
  <si>
    <t>293,00%</t>
  </si>
  <si>
    <t>31 000,49</t>
  </si>
  <si>
    <t>1 474 805,26</t>
  </si>
  <si>
    <t>556 682,08</t>
  </si>
  <si>
    <t>94 462,03</t>
  </si>
  <si>
    <t>1 558 751</t>
  </si>
  <si>
    <t>16 311 745,37</t>
  </si>
  <si>
    <t>37,70%</t>
  </si>
  <si>
    <t>281 753,00</t>
  </si>
  <si>
    <t>2 043 493,15</t>
  </si>
  <si>
    <t>3 940 806,93</t>
  </si>
  <si>
    <t>520 740,58</t>
  </si>
  <si>
    <t>13 586 176</t>
  </si>
  <si>
    <t>4 860 295,38</t>
  </si>
  <si>
    <t>192,80%</t>
  </si>
  <si>
    <t>9 434 518,01</t>
  </si>
  <si>
    <t>34 244 279,45</t>
  </si>
  <si>
    <t>23 358 568,65</t>
  </si>
  <si>
    <t>13 927 458,62</t>
  </si>
  <si>
    <t>145 964 566</t>
  </si>
  <si>
    <t>60 635 589,09</t>
  </si>
  <si>
    <t>2 727 048</t>
  </si>
  <si>
    <t>299 525,32</t>
  </si>
  <si>
    <t>213 145,08</t>
  </si>
  <si>
    <t>1 270 277,51</t>
  </si>
  <si>
    <t>522 748,30</t>
  </si>
  <si>
    <t>9 321 017</t>
  </si>
  <si>
    <t>4 480 830,09</t>
  </si>
  <si>
    <t>596,00%</t>
  </si>
  <si>
    <t>73 953,26</t>
  </si>
  <si>
    <t>265 433,30</t>
  </si>
  <si>
    <t>365 153,36</t>
  </si>
  <si>
    <t>137 913,83</t>
  </si>
  <si>
    <t>4 198 656</t>
  </si>
  <si>
    <t>1 351 314,51</t>
  </si>
  <si>
    <t>137,60%</t>
  </si>
  <si>
    <t>-3 280 280,95</t>
  </si>
  <si>
    <t>41 457 030,25</t>
  </si>
  <si>
    <t>20 722 967,74</t>
  </si>
  <si>
    <t>602 914,56</t>
  </si>
  <si>
    <t>106 931 335</t>
  </si>
  <si>
    <t>117 653 332,01</t>
  </si>
  <si>
    <t>183 781,67</t>
  </si>
  <si>
    <t>144 620 377,26</t>
  </si>
  <si>
    <t>90 690 386,39</t>
  </si>
  <si>
    <t>515 781,66</t>
  </si>
  <si>
    <t>131 679 535</t>
  </si>
  <si>
    <t>-398,10%</t>
  </si>
  <si>
    <t>2 148 746,97</t>
  </si>
  <si>
    <t>62,70%</t>
  </si>
  <si>
    <t>291 005,36</t>
  </si>
  <si>
    <t>733 824,25</t>
  </si>
  <si>
    <t>1 278 310,61</t>
  </si>
  <si>
    <t>458 775,56</t>
  </si>
  <si>
    <t>9 275 132</t>
  </si>
  <si>
    <t>2 330 720,55</t>
  </si>
  <si>
    <t>174,20%</t>
  </si>
  <si>
    <t>Assumptions</t>
  </si>
  <si>
    <t>Prospects:</t>
  </si>
  <si>
    <t>Links:</t>
  </si>
  <si>
    <t xml:space="preserve">Average </t>
  </si>
  <si>
    <t>Short Term Forecast</t>
  </si>
  <si>
    <t>Long Term Forecast</t>
  </si>
  <si>
    <t>Revenue growth</t>
  </si>
  <si>
    <t>Modelling Factors</t>
  </si>
  <si>
    <t>Last 5 Years</t>
  </si>
  <si>
    <t>Reference</t>
  </si>
  <si>
    <t>% PPE</t>
  </si>
  <si>
    <t>% IA</t>
  </si>
  <si>
    <t>% Revenue</t>
  </si>
  <si>
    <t>% EBT</t>
  </si>
  <si>
    <t>% Debt</t>
  </si>
  <si>
    <t xml:space="preserve">% Cash </t>
  </si>
  <si>
    <t xml:space="preserve">% Change in Revenues </t>
  </si>
  <si>
    <t xml:space="preserve">CAPEX </t>
  </si>
  <si>
    <t>% Net Income</t>
  </si>
  <si>
    <t>% EBITDA</t>
  </si>
  <si>
    <t>Forecasts</t>
  </si>
  <si>
    <t>REVENUES</t>
  </si>
  <si>
    <t>Luxury Fashion CAGR (2024 - 2028)</t>
  </si>
  <si>
    <t>Average growth (total)</t>
  </si>
  <si>
    <t>Annual Growth short-term(2024-2028)</t>
  </si>
  <si>
    <t>Average growth (5Y)</t>
  </si>
  <si>
    <t>Annual Growth long-term (2028-2034)</t>
  </si>
  <si>
    <t>Average growth (3Y)</t>
  </si>
  <si>
    <t>Annual Growth long-term (2034-2040)</t>
  </si>
  <si>
    <t>years</t>
  </si>
  <si>
    <t>Growth forecast (%)</t>
  </si>
  <si>
    <t>in millions</t>
  </si>
  <si>
    <t>Revenue forecast</t>
  </si>
  <si>
    <t>Revenue Growth (%)</t>
  </si>
  <si>
    <t>Revenues Moncler</t>
  </si>
  <si>
    <t>Revenue Growth (%) Moncler</t>
  </si>
  <si>
    <t>Revenues Stone Island</t>
  </si>
  <si>
    <t>Revenue Growth (%) Srone Island</t>
  </si>
  <si>
    <t>billion usd</t>
  </si>
  <si>
    <t>Luxury Fashion market revenues</t>
  </si>
  <si>
    <t>Luxury Fashion market revenue growth</t>
  </si>
  <si>
    <t>Luxury Fashion market revenue growth (%)</t>
  </si>
  <si>
    <t>EBIT (as a % of revenues)</t>
  </si>
  <si>
    <t>Average (total)</t>
  </si>
  <si>
    <t>Average (5Y)</t>
  </si>
  <si>
    <t>Average (3Y)</t>
  </si>
  <si>
    <t>pós aquisição Stone Island</t>
  </si>
  <si>
    <t>Average (pre-covid)</t>
  </si>
  <si>
    <t>EBIT forecast (% of revenues)</t>
  </si>
  <si>
    <t>EBIT forecast</t>
  </si>
  <si>
    <t>WORKING CAPITAL FLOWS (CCC)</t>
  </si>
  <si>
    <t>Cash Conversion Cycle (CCC) = Days of Inventory on Hand (DOH) + Days Sales Outstanding (DSO) - Days Payable Outstanding (DPO)</t>
  </si>
  <si>
    <t>DOH = Inventory / COGS *365</t>
  </si>
  <si>
    <t>DSO = Ac. Receivable / Revenue * 365</t>
  </si>
  <si>
    <t>DPO = Ac. Payable / COGS * 365</t>
  </si>
  <si>
    <t>DOH</t>
  </si>
  <si>
    <t>DSO</t>
  </si>
  <si>
    <t>DPO</t>
  </si>
  <si>
    <t>CCC</t>
  </si>
  <si>
    <t>Average 3y</t>
  </si>
  <si>
    <t>Average 5y</t>
  </si>
  <si>
    <t>Average Total</t>
  </si>
  <si>
    <t>Observation</t>
  </si>
  <si>
    <t>ST multiple</t>
  </si>
  <si>
    <t>LT multiple</t>
  </si>
  <si>
    <t>Increasing trend</t>
  </si>
  <si>
    <t>Decreasing trend</t>
  </si>
  <si>
    <t>COGS as a % of revenues</t>
  </si>
  <si>
    <t>% revenues</t>
  </si>
  <si>
    <t>Average (5y)</t>
  </si>
  <si>
    <t>Average (3y)</t>
  </si>
  <si>
    <t>COGS forecast (as a % of revenues)</t>
  </si>
  <si>
    <t xml:space="preserve">DSO </t>
  </si>
  <si>
    <t>Accounts Receivable forecast</t>
  </si>
  <si>
    <t>Accounts Payable forecast</t>
  </si>
  <si>
    <t>Cash Conversion Cycle</t>
  </si>
  <si>
    <t xml:space="preserve">DOH </t>
  </si>
  <si>
    <t>Inventory forecast</t>
  </si>
  <si>
    <t>Non-cash Net Working Capital</t>
  </si>
  <si>
    <t>Working Capital Flows Forecast</t>
  </si>
  <si>
    <t>Interest Expense on Lease Liabs., Suppl.</t>
  </si>
  <si>
    <t>Leases</t>
  </si>
  <si>
    <t>Leases Forecast</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</si>
  <si>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</si>
  <si>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</si>
  <si>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</si>
  <si>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</si>
  <si>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</si>
  <si>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</si>
  <si>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</si>
  <si>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</si>
  <si>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</si>
  <si>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</si>
  <si>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</si>
  <si>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</si>
  <si>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</si>
  <si>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</si>
  <si>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</si>
  <si>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</si>
  <si>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</si>
  <si>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</si>
  <si>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</si>
  <si>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</si>
  <si>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</si>
  <si>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</si>
  <si>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</si>
  <si>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</si>
  <si>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</si>
  <si>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</si>
  <si>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</si>
  <si>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</si>
  <si>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</si>
  <si>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</si>
  <si>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</si>
  <si>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</si>
  <si>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</si>
  <si>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</si>
  <si>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</si>
  <si>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</si>
  <si>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</si>
  <si>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</si>
  <si>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</si>
  <si>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</si>
  <si>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</si>
  <si>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</si>
  <si>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</si>
  <si>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</si>
  <si>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</si>
  <si>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</si>
  <si>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</si>
  <si>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</si>
  <si>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</si>
  <si>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</si>
  <si>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</si>
  <si>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</si>
  <si>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</si>
  <si>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</si>
  <si>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</si>
  <si>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</si>
  <si>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</si>
  <si>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</si>
  <si>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</si>
  <si>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</si>
  <si>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</si>
  <si>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</si>
  <si>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</si>
  <si>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</si>
  <si>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</si>
  <si>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</si>
  <si>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</si>
  <si>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(x1000)</t>
  </si>
  <si>
    <t>Weighted Average Shares (Diluted NI)</t>
  </si>
  <si>
    <t>Net gains (losses) from ForEx</t>
  </si>
  <si>
    <t>Total Comprehensive Income</t>
  </si>
  <si>
    <t>cash flows</t>
  </si>
  <si>
    <t>NWC</t>
  </si>
  <si>
    <t>(net of cash&amp;equivalents only)</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</si>
  <si>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</si>
  <si>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</si>
  <si>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</si>
  <si>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</si>
  <si>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</si>
  <si>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</si>
  <si>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</si>
  <si>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</si>
  <si>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</si>
  <si>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</si>
  <si>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</si>
  <si>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</si>
  <si>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</si>
  <si>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</si>
  <si>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</si>
  <si>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</si>
  <si>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</si>
  <si>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</si>
  <si>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</si>
  <si>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</si>
  <si>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</si>
  <si>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</si>
  <si>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</si>
  <si>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</si>
  <si>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</si>
  <si>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</si>
  <si>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</si>
  <si>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</si>
  <si>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</si>
  <si>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</si>
  <si>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</si>
  <si>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</si>
  <si>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</si>
  <si>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</si>
  <si>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</si>
  <si>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</si>
  <si>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</si>
  <si>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</si>
  <si>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</si>
  <si>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</si>
  <si>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</si>
  <si>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</si>
  <si>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</si>
  <si>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</si>
  <si>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</si>
  <si>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</si>
  <si>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</si>
  <si>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</si>
  <si>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</si>
  <si>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</si>
  <si>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</si>
  <si>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</si>
  <si>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</si>
  <si>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Moncler SpA | Balance Sheet                                18-Mar-2024 15:26</t>
  </si>
  <si>
    <t>Industry - Annual Standardised in Millions of Euros</t>
  </si>
  <si>
    <t>Earnings Quality Score</t>
  </si>
  <si>
    <t>77 </t>
  </si>
  <si>
    <t>42 </t>
  </si>
  <si>
    <t>64 </t>
  </si>
  <si>
    <t>56 </t>
  </si>
  <si>
    <t>97 </t>
  </si>
  <si>
    <t>96 </t>
  </si>
  <si>
    <t>95 </t>
  </si>
  <si>
    <t>82 </t>
  </si>
  <si>
    <t>85 </t>
  </si>
  <si>
    <t>Period End Date</t>
  </si>
  <si>
    <t>31-Dec-2022 </t>
  </si>
  <si>
    <t>31-Dec-2021 </t>
  </si>
  <si>
    <t>31-Dec-2020 </t>
  </si>
  <si>
    <t>31-Dec-2019 </t>
  </si>
  <si>
    <t>31-Dec-2018 </t>
  </si>
  <si>
    <t>31-Dec-2017 </t>
  </si>
  <si>
    <t>31-Dec-2016 </t>
  </si>
  <si>
    <t>31-Dec-2015 </t>
  </si>
  <si>
    <t>31-Dec-2014 </t>
  </si>
  <si>
    <t>31-Dec-2013 </t>
  </si>
  <si>
    <t>Update Type</t>
  </si>
  <si>
    <t>Updated </t>
  </si>
  <si>
    <t>Statement Date</t>
  </si>
  <si>
    <t>Reporting Unit</t>
  </si>
  <si>
    <t>Thousands </t>
  </si>
  <si>
    <t>Update Date</t>
  </si>
  <si>
    <t>10-Aug-2023 </t>
  </si>
  <si>
    <t>Reporting Currency</t>
  </si>
  <si>
    <t>Euro </t>
  </si>
  <si>
    <t>ARS </t>
  </si>
  <si>
    <t>Source Date</t>
  </si>
  <si>
    <t>27-Mar-2023 </t>
  </si>
  <si>
    <t>30-Mar-2022 </t>
  </si>
  <si>
    <t>15-Mar-2021 </t>
  </si>
  <si>
    <t>19-Mar-2020 </t>
  </si>
  <si>
    <t>25-Mar-2019 </t>
  </si>
  <si>
    <t>26-Mar-2018 </t>
  </si>
  <si>
    <t>29-Mar-2017 </t>
  </si>
  <si>
    <t>14-Apr-2016 </t>
  </si>
  <si>
    <t>01-Apr-2015 </t>
  </si>
  <si>
    <t>14-Apr-2014 </t>
  </si>
  <si>
    <t>Original Announcement Date</t>
  </si>
  <si>
    <t>28-Feb-2023 17:08 </t>
  </si>
  <si>
    <t>24-Feb-2022 19:57 </t>
  </si>
  <si>
    <t>18-Feb-2021 17:42 </t>
  </si>
  <si>
    <t>10-Feb-2020 16:55 </t>
  </si>
  <si>
    <t>28-Feb-2019 19:44 </t>
  </si>
  <si>
    <t>26-Feb-2018 11:00 </t>
  </si>
  <si>
    <t>28-Feb-2017 11:00 </t>
  </si>
  <si>
    <t>03-Mar-2016 11:00 </t>
  </si>
  <si>
    <t>04-Mar-2015 11:00 </t>
  </si>
  <si>
    <t>24-Feb-2014 11:00 </t>
  </si>
  <si>
    <t>Complete Statement</t>
  </si>
  <si>
    <t>Complete </t>
  </si>
  <si>
    <t>Flash Update</t>
  </si>
  <si>
    <t>No </t>
  </si>
  <si>
    <t>Consolidated</t>
  </si>
  <si>
    <t>Yes </t>
  </si>
  <si>
    <t>Auditor Name</t>
  </si>
  <si>
    <t>Deloitte &amp; Touche SpA </t>
  </si>
  <si>
    <t>KPMG SpA </t>
  </si>
  <si>
    <t>Auditor Opinion</t>
  </si>
  <si>
    <t>Unqualified </t>
  </si>
  <si>
    <t>Unqualified with Explanation </t>
  </si>
  <si>
    <t>Accounting Standard</t>
  </si>
  <si>
    <t>International Financial Reporting Stand. </t>
  </si>
  <si>
    <t>Assets (€ Millions)</t>
  </si>
  <si>
    <t>Cash and Short Term Investments</t>
  </si>
  <si>
    <t>Cash</t>
  </si>
  <si>
    <t>--</t>
  </si>
  <si>
    <t>Cash &amp; Equivalents</t>
  </si>
  <si>
    <t>Short Term Investments</t>
  </si>
  <si>
    <t>Accounts Receivable - Trade, Net</t>
  </si>
  <si>
    <t>Accounts Receivable - Trade, Gross</t>
  </si>
  <si>
    <t>Provision for Doubtful Accounts</t>
  </si>
  <si>
    <t>Total Receivables, Net</t>
  </si>
  <si>
    <t>Receivables - Other</t>
  </si>
  <si>
    <t>Total Inventory</t>
  </si>
  <si>
    <t>Inventories - Finished Goods</t>
  </si>
  <si>
    <t>Inventories - Work In Progress</t>
  </si>
  <si>
    <t>Inventories - Raw Materials</t>
  </si>
  <si>
    <t>Inventories - Other</t>
  </si>
  <si>
    <t>Prepaid Expenses</t>
  </si>
  <si>
    <t>Total Current Assets</t>
  </si>
  <si>
    <t>Property/Plant/Equipment, Total - Gross</t>
  </si>
  <si>
    <t>Buildings - Gross</t>
  </si>
  <si>
    <t>Land/Improvements - Gross</t>
  </si>
  <si>
    <t>Machinery/Equipment - Gross</t>
  </si>
  <si>
    <t>Construction in Progress - Gross</t>
  </si>
  <si>
    <t>Other Property/Plant/Equipment - Gross</t>
  </si>
  <si>
    <t>Property/Plant/Equipment, Total - Net</t>
  </si>
  <si>
    <t>Accumulated Depreciation, Total</t>
  </si>
  <si>
    <t>Goodwill, Net</t>
  </si>
  <si>
    <t>Goodwill - Gross</t>
  </si>
  <si>
    <t>Accumulated Goodwill Amortization</t>
  </si>
  <si>
    <t>Intangibles, Net</t>
  </si>
  <si>
    <t>Intangibles - Gross</t>
  </si>
  <si>
    <t>Accumulated Intangible Amortization</t>
  </si>
  <si>
    <t>Long Term Investments</t>
  </si>
  <si>
    <t>LT Investment - Affiliate Companies</t>
  </si>
  <si>
    <t>LT Investments - Other</t>
  </si>
  <si>
    <t>Note Receivable - Long Term</t>
  </si>
  <si>
    <t>Other Long Term Assets, Total</t>
  </si>
  <si>
    <t>Deferred Charges</t>
  </si>
  <si>
    <t>Defered Income Tax - Long Term Asset</t>
  </si>
  <si>
    <t>Other Long Term Assets</t>
  </si>
  <si>
    <t>Liabilities (€ Millions)</t>
  </si>
  <si>
    <t>Accounts Payable</t>
  </si>
  <si>
    <t>Accrued Expenses</t>
  </si>
  <si>
    <t>Notes Payable/Short Term Debt</t>
  </si>
  <si>
    <t>Current Port. of LT Debt/Capital Leases</t>
  </si>
  <si>
    <t>Other Current liabilities, Total</t>
  </si>
  <si>
    <t>Customer Advances</t>
  </si>
  <si>
    <t>Income Taxes Payable</t>
  </si>
  <si>
    <t>Other Payables</t>
  </si>
  <si>
    <t>Total Current Liabilities</t>
  </si>
  <si>
    <t>Total Long Term Debt</t>
  </si>
  <si>
    <t>Long Term Debt</t>
  </si>
  <si>
    <t>Capital Lease Obligations</t>
  </si>
  <si>
    <t>Deferred Income Tax</t>
  </si>
  <si>
    <t>Deferred Income Tax - LT Liability</t>
  </si>
  <si>
    <t>Other Liabilities, Total</t>
  </si>
  <si>
    <t>Reserves</t>
  </si>
  <si>
    <t>Pension Benefits - Underfunded</t>
  </si>
  <si>
    <t>Other Long Term Liabilities</t>
  </si>
  <si>
    <t>Shareholders Equity (€ Millions)</t>
  </si>
  <si>
    <t>Common Stock, Total</t>
  </si>
  <si>
    <t>Common Stock</t>
  </si>
  <si>
    <t>Additional Paid-In Capital</t>
  </si>
  <si>
    <t>Retained Earnings (Accumulated Deficit)</t>
  </si>
  <si>
    <t>Other Equity, Total</t>
  </si>
  <si>
    <t>Translation Adjustment</t>
  </si>
  <si>
    <t>Other Comprehensive Income</t>
  </si>
  <si>
    <t>Total Liabilities &amp; Shareholders' Equity</t>
  </si>
  <si>
    <t>Supplemental (€ Millions)</t>
  </si>
  <si>
    <t>Total Common Shares Outstanding</t>
  </si>
  <si>
    <t>Shares Outs - Common Stock Primary Issue</t>
  </si>
  <si>
    <t>Treas Shares - Common Stock Prmry Issue</t>
  </si>
  <si>
    <t>Minority Interest - Non Redeemable</t>
  </si>
  <si>
    <t>Total Equity &amp; Minority Interest</t>
  </si>
  <si>
    <t>Full-Time Employees</t>
  </si>
  <si>
    <t>Goodwill - Net</t>
  </si>
  <si>
    <t>Accumulated Goodwill Amortization Suppl.</t>
  </si>
  <si>
    <t>Accumulated Intangible Amort, Suppl.</t>
  </si>
  <si>
    <t>Deferred Revenue - Current</t>
  </si>
  <si>
    <t>Deferred Revenue - Long Term</t>
  </si>
  <si>
    <t>Curr. Port. of LT Capital Leases, Suppl.</t>
  </si>
  <si>
    <t>Total Current Assets less Inventory</t>
  </si>
  <si>
    <t>Net Debt Incl. Pref.Stock &amp; Min.Interest</t>
  </si>
  <si>
    <t>Tangible Book Value, Common Equity</t>
  </si>
  <si>
    <t>Debt &amp; Lease, Pension Items (€ Millions)</t>
  </si>
  <si>
    <t>Total Long Term Debt, Supplemental</t>
  </si>
  <si>
    <t>Long Term Debt Maturing within 1 Year</t>
  </si>
  <si>
    <t>Long Term Debt Maturing in Year 2</t>
  </si>
  <si>
    <t>Long Term Debt Maturing in Year 3</t>
  </si>
  <si>
    <t>Long Term Debt Maturing in Year 4</t>
  </si>
  <si>
    <t>Long Term Debt Maturing in Year 5</t>
  </si>
  <si>
    <t>Long Term Debt Maturing in 2-3 Years</t>
  </si>
  <si>
    <t>Long Term Debt Maturing in 4-5 Years</t>
  </si>
  <si>
    <t>Long Term Debt Matur. in Year 6 &amp; Beyond</t>
  </si>
  <si>
    <t>Total Capital Leases, Supplemental</t>
  </si>
  <si>
    <t>Capital Lease Payments Due in Year 1</t>
  </si>
  <si>
    <t>Capital Lease Payments Due in Year 2</t>
  </si>
  <si>
    <t>Capital Lease Payments Due in Year 3</t>
  </si>
  <si>
    <t>Capital Lease Payments Due in Year 4</t>
  </si>
  <si>
    <t>Capital Lease Payments Due in Year 5</t>
  </si>
  <si>
    <t>Capital Lease Payments Due in 2-3 Years</t>
  </si>
  <si>
    <t>Capital Lease Payments Due in 4-5 Years</t>
  </si>
  <si>
    <t>Cap. Lease Pymts. Due in Year 6 &amp; Beyond</t>
  </si>
  <si>
    <t>Total Operating Leases, Supplemental</t>
  </si>
  <si>
    <t>Operating Lease Payments Due in Year 1</t>
  </si>
  <si>
    <t>Operating Lease Payments Due in Year 2</t>
  </si>
  <si>
    <t>Operating Lease Payments Due in Year 3</t>
  </si>
  <si>
    <t>Operating Lease Payments Due in Year 4</t>
  </si>
  <si>
    <t>Operating Lease Payments Due in Year 5</t>
  </si>
  <si>
    <t>Operating Lease Pymts. Due in 2-3 Years</t>
  </si>
  <si>
    <t>Operating Lease Pymts. Due in 4-5 Years</t>
  </si>
  <si>
    <t>Oper. Lse. Pymts. Due in Year 6 &amp; Beyond</t>
  </si>
  <si>
    <t>Moncler SpA | Income Statement                                18-Mar-2024 15:26</t>
  </si>
  <si>
    <t>Period Length</t>
  </si>
  <si>
    <t>12 Months </t>
  </si>
  <si>
    <t>28-Mar-2023 </t>
  </si>
  <si>
    <t>01-Feb-2023 </t>
  </si>
  <si>
    <t>01-Aug-2022 </t>
  </si>
  <si>
    <t>02-Apr-2019 </t>
  </si>
  <si>
    <t>01-Apr-2017 </t>
  </si>
  <si>
    <t>21-Mar-2017 </t>
  </si>
  <si>
    <t>Revenue</t>
  </si>
  <si>
    <t>Total Revenue</t>
  </si>
  <si>
    <t>Cost of Revenue, Total</t>
  </si>
  <si>
    <t>Cost of Revenue</t>
  </si>
  <si>
    <t>Selling/General/Admin. Expenses, Total</t>
  </si>
  <si>
    <t>Selling/General/Administrative Expense</t>
  </si>
  <si>
    <t>Labor &amp; Related Expense</t>
  </si>
  <si>
    <t>Advertising Expense</t>
  </si>
  <si>
    <t>Depreciation/Amortization</t>
  </si>
  <si>
    <t>Depreciation</t>
  </si>
  <si>
    <t>Unusual Expense (Income)</t>
  </si>
  <si>
    <t>Other Unusual Expense (Income)</t>
  </si>
  <si>
    <t>Total Operating Expense</t>
  </si>
  <si>
    <t>Interest Expense, Net Non-Operating</t>
  </si>
  <si>
    <t>Interest Expense - Non-Operating</t>
  </si>
  <si>
    <t>Interest/Invest Income - Non-Operating</t>
  </si>
  <si>
    <t>Interest Income - Non-Operating</t>
  </si>
  <si>
    <t>Investment Income - Non-Operating</t>
  </si>
  <si>
    <t>Interest Inc.(Exp.),Net-Non-Op., Total</t>
  </si>
  <si>
    <t>Other, Net</t>
  </si>
  <si>
    <t>Other Non-Operating Income (Expense)</t>
  </si>
  <si>
    <t>Net Income Before Taxes</t>
  </si>
  <si>
    <t>Provision for Income Taxes</t>
  </si>
  <si>
    <t>Net Income After Taxes</t>
  </si>
  <si>
    <t>Net Income Before Extra. Items</t>
  </si>
  <si>
    <t>Discontinued Operations</t>
  </si>
  <si>
    <t>Total Extraordinary Items</t>
  </si>
  <si>
    <t>Income Available to Com Excl ExtraOrd</t>
  </si>
  <si>
    <t>Income Available to Com Incl ExtraOrd</t>
  </si>
  <si>
    <t>Basic Weighted Average Shares</t>
  </si>
  <si>
    <t>Basic EPS Excluding Extraordinary Items</t>
  </si>
  <si>
    <t>Basic EPS Including Extraordinary Items</t>
  </si>
  <si>
    <t>Diluted Net Income</t>
  </si>
  <si>
    <t>Diluted Weighted Average Shares</t>
  </si>
  <si>
    <t>Diluted EPS Excluding ExtraOrd Items</t>
  </si>
  <si>
    <t>Diluted EPS Including ExtraOrd Items</t>
  </si>
  <si>
    <t>DPS - Common Stock Primary Issue</t>
  </si>
  <si>
    <t>Gross Dividends - Common Stock</t>
  </si>
  <si>
    <t>Total Special Items</t>
  </si>
  <si>
    <t>Normalized Income Before Taxes</t>
  </si>
  <si>
    <t>Effect of Special Items on Income Taxes</t>
  </si>
  <si>
    <t>Inc Tax Ex Impact of Sp Items</t>
  </si>
  <si>
    <t>Normalized Income After Taxes</t>
  </si>
  <si>
    <t>Normalized Inc. Avail to Com.</t>
  </si>
  <si>
    <t>Basic Normalized EPS</t>
  </si>
  <si>
    <t>Diluted Normalized EPS</t>
  </si>
  <si>
    <t>Amort of Intangibles, Supplemental</t>
  </si>
  <si>
    <t>Depreciation, Supplemental</t>
  </si>
  <si>
    <t>Depreciation of Right-of-Use Assets,Sup.</t>
  </si>
  <si>
    <t>Interest Expense, Supplemental</t>
  </si>
  <si>
    <t>Rental Expense, Supplemental</t>
  </si>
  <si>
    <t>Labor &amp; Related Expense Suppl.</t>
  </si>
  <si>
    <t>Stock-Based Compensation, Supplemental</t>
  </si>
  <si>
    <t>Advertising Expense, Supplemental</t>
  </si>
  <si>
    <t>Minority Interest, Supplemental</t>
  </si>
  <si>
    <t>Audit Fees</t>
  </si>
  <si>
    <t>Audit-Related Fees</t>
  </si>
  <si>
    <t>All Other Fees</t>
  </si>
  <si>
    <t>Normalized EBIT</t>
  </si>
  <si>
    <t>Normalized EBITDA</t>
  </si>
  <si>
    <t>Tax &amp; Pension Items (€ Millions)</t>
  </si>
  <si>
    <t>Current Tax - Total</t>
  </si>
  <si>
    <t>Deferred Tax - Total</t>
  </si>
  <si>
    <t>Deferred Tax - Domestic</t>
  </si>
  <si>
    <t>Income Tax - Total</t>
  </si>
  <si>
    <t>Dividends and Capital Changes</t>
  </si>
  <si>
    <t>Moncler Ord Shs</t>
  </si>
  <si>
    <t>Cash Dividend</t>
  </si>
  <si>
    <t>€1.12 F</t>
  </si>
  <si>
    <t>€0.60 F</t>
  </si>
  <si>
    <t>€0.45 F</t>
  </si>
  <si>
    <t>€0.55 F</t>
  </si>
  <si>
    <t>€0.40 F</t>
  </si>
  <si>
    <t>€0.28 F</t>
  </si>
  <si>
    <t>€0.18 F</t>
  </si>
  <si>
    <t>€0.14 F</t>
  </si>
  <si>
    <t>€0.12 F</t>
  </si>
  <si>
    <t>€0.10 F</t>
  </si>
  <si>
    <t>(31-Dec) Pd.End </t>
  </si>
  <si>
    <t>€0.00 F</t>
  </si>
  <si>
    <t>Buyback</t>
  </si>
  <si>
    <t>1x</t>
  </si>
  <si>
    <t>(22-Apr) </t>
  </si>
  <si>
    <t>(01-Aug) </t>
  </si>
  <si>
    <t>(02-Feb) </t>
  </si>
  <si>
    <t>(16-Apr) </t>
  </si>
  <si>
    <t>(09-Apr) </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</si>
  <si>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</si>
  <si>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</si>
  <si>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</si>
  <si>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</si>
  <si>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</si>
  <si>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</si>
  <si>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</si>
  <si>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</si>
  <si>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</si>
  <si>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</si>
  <si>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</si>
  <si>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</si>
  <si>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</si>
  <si>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</si>
  <si>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</si>
  <si>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</si>
  <si>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</si>
  <si>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</si>
  <si>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</si>
  <si>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</si>
  <si>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</si>
  <si>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</si>
  <si>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</si>
  <si>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</si>
  <si>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</si>
  <si>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</si>
  <si>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</si>
  <si>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</si>
  <si>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</si>
  <si>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</si>
  <si>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</si>
  <si>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</si>
  <si>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</si>
  <si>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</si>
  <si>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</si>
  <si>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</si>
  <si>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</si>
  <si>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</si>
  <si>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</si>
  <si>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</si>
  <si>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</si>
  <si>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</si>
  <si>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</si>
  <si>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</si>
  <si>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</si>
  <si>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</si>
  <si>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</si>
  <si>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</si>
  <si>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</si>
  <si>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</si>
  <si>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</si>
  <si>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</si>
  <si>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</si>
  <si>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</si>
  <si>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</si>
  <si>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</si>
  <si>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</si>
  <si>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</si>
  <si>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</si>
  <si>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</si>
  <si>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</si>
  <si>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</si>
  <si>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</si>
  <si>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</si>
  <si>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</si>
  <si>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</si>
  <si>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</si>
  <si>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</si>
  <si>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</si>
  <si>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</si>
  <si>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</si>
  <si>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</si>
  <si>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</si>
  <si>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</si>
  <si>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</si>
  <si>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</si>
  <si>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</si>
  <si>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</si>
  <si>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</si>
  <si>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</si>
  <si>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</si>
  <si>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</si>
  <si>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</si>
  <si>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</si>
  <si>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</si>
  <si>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</si>
  <si>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</si>
  <si>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</si>
  <si>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</si>
  <si>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</si>
  <si>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</si>
  <si>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</si>
  <si>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</si>
  <si>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</si>
  <si>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</si>
  <si>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</si>
  <si>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</si>
  <si>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</si>
  <si>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</si>
  <si>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</si>
  <si>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</si>
  <si>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</si>
  <si>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</si>
  <si>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</si>
  <si>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</si>
  <si>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</si>
  <si>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</si>
  <si>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</si>
  <si>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</si>
  <si>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</si>
  <si>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</si>
  <si>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</si>
  <si>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</si>
  <si>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</si>
  <si>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</si>
  <si>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</si>
  <si>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</si>
  <si>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</si>
  <si>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</si>
  <si>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</si>
  <si>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</si>
  <si>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</si>
  <si>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</si>
  <si>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</si>
  <si>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</si>
  <si>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</si>
  <si>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</si>
  <si>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</si>
  <si>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</si>
  <si>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</si>
  <si>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</si>
  <si>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</si>
  <si>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</si>
  <si>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</si>
  <si>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</si>
  <si>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</si>
  <si>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</si>
  <si>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</si>
  <si>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</si>
  <si>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</si>
  <si>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</si>
  <si>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</si>
  <si>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</si>
  <si>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</si>
  <si>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</si>
  <si>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</si>
  <si>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</si>
  <si>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</si>
  <si>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</si>
  <si>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</si>
  <si>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</si>
  <si>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</si>
  <si>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</si>
  <si>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</si>
  <si>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</si>
  <si>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</si>
  <si>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</si>
  <si>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</si>
  <si>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</si>
  <si>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</si>
  <si>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</si>
  <si>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</si>
  <si>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Moncler SpA | Cash Flow                                18-Mar-2024 15:26</t>
  </si>
  <si>
    <t>26-Oct-2023 </t>
  </si>
  <si>
    <t>17-Jan-2020 </t>
  </si>
  <si>
    <t>Cash Flow-Operating Activities (€ Millions)</t>
  </si>
  <si>
    <t>Net Income/Starting Line</t>
  </si>
  <si>
    <t>Depreciation/Depletion</t>
  </si>
  <si>
    <t>Amortization</t>
  </si>
  <si>
    <t>Amortization of Intangibles</t>
  </si>
  <si>
    <t>Non-Cash Items</t>
  </si>
  <si>
    <t>Unusual Items</t>
  </si>
  <si>
    <t>Other Non-Cash Items</t>
  </si>
  <si>
    <t>Changes in Working Capital</t>
  </si>
  <si>
    <t>Inventories</t>
  </si>
  <si>
    <t>Other Assets &amp; Liabilities, Net</t>
  </si>
  <si>
    <t>Other Operating Cash Flow</t>
  </si>
  <si>
    <t>Cash from Operating Activities</t>
  </si>
  <si>
    <t>Cash Flow-Investing Activities (€ Millions)</t>
  </si>
  <si>
    <t>Capital Expenditures</t>
  </si>
  <si>
    <t>Purchase of Fixed Assets</t>
  </si>
  <si>
    <t>Other Investing Cash Flow Items, Total</t>
  </si>
  <si>
    <t>Acquisition of Business</t>
  </si>
  <si>
    <t>Sale of Fixed Assets</t>
  </si>
  <si>
    <t>Other Investing Cash Flow</t>
  </si>
  <si>
    <t>Cash from Investing Activities</t>
  </si>
  <si>
    <t>Cash Flow-Financing Activities (€ Millions)</t>
  </si>
  <si>
    <t>Financing Cash Flow Items</t>
  </si>
  <si>
    <t>Other Financing Cash Flow</t>
  </si>
  <si>
    <t>Total Cash Dividends Paid</t>
  </si>
  <si>
    <t>Cash Dividends Paid - Common</t>
  </si>
  <si>
    <t>Issuance (Retirement) of Stock, Net</t>
  </si>
  <si>
    <t>Common Stock, Net</t>
  </si>
  <si>
    <t>Issuance (Retirement) of Debt, Net</t>
  </si>
  <si>
    <t>Short Term Debt, Net</t>
  </si>
  <si>
    <t>Long Term Debt Issued</t>
  </si>
  <si>
    <t>Long Term Debt Reduction</t>
  </si>
  <si>
    <t>Long Term Debt, Net</t>
  </si>
  <si>
    <t>Cash from Financing Activities</t>
  </si>
  <si>
    <t>Foreign Exchange Effects</t>
  </si>
  <si>
    <t>Net Change in Cash</t>
  </si>
  <si>
    <t>Net Cash - Beginning Balance</t>
  </si>
  <si>
    <t>Net Cash - Ending Balance</t>
  </si>
  <si>
    <t>Cash Interest Paid</t>
  </si>
  <si>
    <t>Cash Taxes Paid</t>
  </si>
  <si>
    <t>Lease liability Reduced, Supplemental</t>
  </si>
  <si>
    <t>Share Based Payments, Supplemental</t>
  </si>
  <si>
    <t>Net Changes in Working Capital</t>
  </si>
  <si>
    <t>Free Cash 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</si>
</sst>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4">
    <numFmt numFmtId="176" formatCode="_(* #,##0.00_);_(* \(#,##0.00\);_(* &quot;-&quot;??_);_(@_)"/>
    <numFmt numFmtId="177" formatCode="_-&quot;$&quot;* #,##0.00_-;\-&quot;$&quot;* #,##0.00_-;_-&quot;$&quot;* &quot;-&quot;??_-;_-@_-"/>
    <numFmt numFmtId="178" formatCode="&quot;$&quot;#,##0.00"/>
    <numFmt numFmtId="179" formatCode="&quot;$&quot;#,##0"/>
    <numFmt numFmtId="180" formatCode="0.0%"/>
    <numFmt numFmtId="181" formatCode="0.0"/>
    <numFmt numFmtId="182" formatCode="#,##0.0"/>
    <numFmt numFmtId="183" formatCode="[$$-409]#,##0.00_ ;\-[$$-409]#,##0.00\ "/>
    <numFmt numFmtId="184" formatCode="[$$-409]#,##0"/>
    <numFmt numFmtId="185" formatCode="_-[$$-409]* #,##0.00_ ;_-[$$-409]* \-#,##0.00\ ;_-[$$-409]* &quot;-&quot;??_ ;_-@_ "/>
    <numFmt numFmtId="186" formatCode="0.000000"/>
    <numFmt numFmtId="187" formatCode="_([$$-409]* #,##0.00_);_([$$-409]* \(#,##0.00\);_([$$-409]* &quot;-&quot;??_);_(@_)"/>
    <numFmt numFmtId="188" formatCode="0.000%"/>
    <numFmt numFmtId="189" formatCode="_-* #,##0\ [$€-816]_-;\-* #,##0\ [$€-816]_-;_-* &quot;-&quot;??\ [$€-816]_-;_-@_-"/>
    <numFmt numFmtId="190" formatCode="&quot;€&quot;#,##0.00"/>
    <numFmt numFmtId="191" formatCode="#,##0.0_);[Red]\(#,##0.0\)"/>
    <numFmt numFmtId="192" formatCode="_([$€-2]\ * #,##0.00_);_([$€-2]\ * \(#,##0.00\);_([$€-2]\ * &quot;-&quot;??_);_(@_)"/>
    <numFmt numFmtId="193" formatCode="_-[$$-409]* #,##0.000_ ;_-[$$-409]* \-#,##0.000\ ;_-[$$-409]* &quot;-&quot;??_ ;_-@_ "/>
    <numFmt numFmtId="194" formatCode="_([$€-2]\ * #,##0_);_([$€-2]\ * \(#,##0\);_([$€-2]\ * &quot;-&quot;??_);_(@_)"/>
    <numFmt numFmtId="195" formatCode="#,##0.000"/>
    <numFmt numFmtId="196" formatCode="0.00_ ;[Red]\-0.00\ "/>
    <numFmt numFmtId="197" formatCode="0.0000"/>
    <numFmt numFmtId="198" formatCode="0.000"/>
    <numFmt numFmtId="199" formatCode="0.00000"/>
  </numFmts>
  <fonts count="10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11"/>
      <color theme="0"/>
      <name val="Calibri"/>
      <family val="2"/>
      <scheme val="minor"/>
    </font>
    <font>
      <b/>
      <sz val="14"/>
      <color theme="0"/>
      <name val="Calibri"/>
      <family val="2"/>
      <scheme val="minor"/>
    </font>
    <font>
      <sz val="11"/>
      <color rgb="FF444444"/>
      <name val="Calibri"/>
      <family val="2"/>
      <charset val="1"/>
    </font>
    <font>
      <b/>
      <sz val="8"/>
      <color rgb="FF000000"/>
      <name val="Tahoma"/>
      <family val="2"/>
    </font>
    <font>
      <sz val="10"/>
      <color theme="1"/>
      <name val="Calibri"/>
      <family val="2"/>
      <scheme val="minor"/>
    </font>
    <font>
      <b/>
      <sz val="10"/>
      <color theme="1"/>
      <name val="Calibri"/>
      <family val="2"/>
      <scheme val="minor"/>
    </font>
    <font>
      <b/>
      <sz val="11"/>
      <color rgb="FF333333"/>
      <name val="Calibri"/>
      <family val="2"/>
      <scheme val="minor"/>
    </font>
    <font>
      <b/>
      <sz val="11"/>
      <color rgb="FFFFFFFF"/>
      <name val="Calibri"/>
      <family val="2"/>
      <scheme val="minor"/>
    </font>
    <font>
      <sz val="9"/>
      <color rgb="FF000000"/>
      <name val="Arial"/>
      <family val="2"/>
    </font>
    <font>
      <i/>
      <sz val="10"/>
      <color rgb="FF000000"/>
      <name val="Arial"/>
      <family val="2"/>
    </font>
    <font>
      <sz val="14"/>
      <color rgb="FF000000"/>
      <name val="Arial"/>
      <family val="2"/>
    </font>
    <font>
      <sz val="10"/>
      <color rgb="FF000000"/>
      <name val="ArialMT"/>
      <charset val="1"/>
    </font>
    <font>
      <i/>
      <sz val="9"/>
      <name val="Arial"/>
      <family val="2"/>
    </font>
    <font>
      <u/>
      <sz val="10"/>
      <color theme="10"/>
      <name val="Arial"/>
      <family val="2"/>
    </font>
    <font>
      <sz val="11"/>
      <color rgb="FF000000"/>
      <name val="Aptos Narrow"/>
      <family val="2"/>
    </font>
    <font>
      <sz val="11"/>
      <color rgb="FF000000"/>
      <name val="Arial"/>
      <family val="2"/>
    </font>
    <font>
      <sz val="10"/>
      <color rgb="FFFFFF00"/>
      <name val="Arial"/>
      <family val="2"/>
    </font>
    <font>
      <b/>
      <sz val="9"/>
      <color indexed="81"/>
      <name val="Tahoma"/>
      <family val="2"/>
    </font>
    <font>
      <sz val="9"/>
      <color indexed="81"/>
      <name val="Tahoma"/>
      <family val="2"/>
    </font>
    <font>
      <sz val="8"/>
      <name val="Arial"/>
      <family val="2"/>
    </font>
    <font>
      <sz val="11"/>
      <color rgb="FF000000"/>
      <name val="Aptos Narrow"/>
      <charset val="1"/>
    </font>
    <font>
      <sz val="11"/>
      <color rgb="FF000000"/>
      <name val="Arial"/>
    </font>
    <font>
      <sz val="11"/>
      <name val="Arial"/>
    </font>
  </fonts>
  <fills count="73">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ABC4EA"/>
        <bgColor indexed="64"/>
      </patternFill>
    </fill>
    <fill>
      <patternFill patternType="solid">
        <fgColor rgb="FFF5F6FA"/>
        <bgColor indexed="64"/>
      </patternFill>
    </fill>
    <fill>
      <patternFill patternType="solid">
        <fgColor rgb="FFA2D09C"/>
        <bgColor indexed="64"/>
      </patternFill>
    </fill>
    <fill>
      <patternFill patternType="solid">
        <fgColor rgb="FFE0E0E0"/>
        <bgColor indexed="64"/>
      </patternFill>
    </fill>
    <fill>
      <patternFill patternType="solid">
        <fgColor rgb="FF309724"/>
        <bgColor indexed="64"/>
      </patternFill>
    </fill>
    <fill>
      <patternFill patternType="solid">
        <fgColor rgb="FFC8D7DE"/>
        <bgColor indexed="64"/>
      </patternFill>
    </fill>
    <fill>
      <patternFill patternType="solid">
        <fgColor rgb="FFE9EFF6"/>
        <bgColor indexed="64"/>
      </patternFill>
    </fill>
    <fill>
      <patternFill patternType="solid">
        <fgColor rgb="FFF2F4F9"/>
        <bgColor indexed="64"/>
      </patternFill>
    </fill>
    <fill>
      <patternFill patternType="solid">
        <fgColor theme="5" tint="0.59999389629810485"/>
        <bgColor indexed="64"/>
      </patternFill>
    </fill>
    <fill>
      <patternFill patternType="solid">
        <fgColor rgb="FF000000"/>
        <bgColor rgb="FF000000"/>
      </patternFill>
    </fill>
    <fill>
      <patternFill patternType="solid">
        <fgColor rgb="FFB7DEE8"/>
        <bgColor rgb="FF000000"/>
      </patternFill>
    </fill>
    <fill>
      <patternFill patternType="solid">
        <fgColor rgb="FFDCE6F1"/>
        <bgColor rgb="FF000000"/>
      </patternFill>
    </fill>
    <fill>
      <patternFill patternType="solid">
        <fgColor rgb="FFC5D9F1"/>
        <bgColor rgb="FF000000"/>
      </patternFill>
    </fill>
    <fill>
      <patternFill patternType="solid">
        <fgColor rgb="FF8FDBFD"/>
        <bgColor indexed="64"/>
      </patternFill>
    </fill>
    <fill>
      <patternFill patternType="solid">
        <fgColor rgb="FF75B9F4"/>
        <bgColor indexed="64"/>
      </patternFill>
    </fill>
    <fill>
      <patternFill patternType="solid">
        <fgColor rgb="FFFFA5D6"/>
        <bgColor indexed="64"/>
      </patternFill>
    </fill>
    <fill>
      <patternFill patternType="solid">
        <fgColor rgb="FFFCD5B4"/>
        <bgColor rgb="FF000000"/>
      </patternFill>
    </fill>
    <fill>
      <patternFill patternType="solid">
        <fgColor rgb="FFF2CB2E"/>
        <bgColor indexed="64"/>
      </patternFill>
    </fill>
    <fill>
      <patternFill patternType="solid">
        <fgColor rgb="FFFAAD55"/>
        <bgColor indexed="64"/>
      </patternFill>
    </fill>
    <fill>
      <patternFill patternType="solid">
        <fgColor rgb="FF31869B"/>
        <bgColor indexed="64"/>
      </patternFill>
    </fill>
    <fill>
      <patternFill patternType="solid">
        <fgColor rgb="FFE26B0A"/>
        <bgColor indexed="64"/>
      </patternFill>
    </fill>
    <fill>
      <patternFill patternType="solid">
        <fgColor rgb="FFFFFFFF"/>
        <bgColor rgb="FF000000"/>
      </patternFill>
    </fill>
    <fill>
      <patternFill patternType="solid">
        <fgColor rgb="FFC6EDFF"/>
        <bgColor indexed="64"/>
      </patternFill>
    </fill>
    <fill>
      <patternFill patternType="solid">
        <fgColor rgb="FFB8CCE4"/>
        <bgColor rgb="FF000000"/>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DE9D9"/>
        <bgColor indexed="64"/>
      </patternFill>
    </fill>
  </fills>
  <borders count="319">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top style="medium">
        <color rgb="FF1F497D"/>
      </top>
      <bottom/>
      <diagonal/>
    </border>
    <border>
      <left style="medium">
        <color rgb="FF1F497D"/>
      </left>
      <right/>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top/>
      <bottom style="thin">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rgb="FFFFFFFF"/>
      </left>
      <right style="medium">
        <color rgb="FFFFFFFF"/>
      </right>
      <top style="medium">
        <color rgb="FFFFFFFF"/>
      </top>
      <bottom style="medium">
        <color rgb="FFFFFFFF"/>
      </bottom>
      <diagonal/>
    </border>
    <border>
      <left/>
      <right style="medium">
        <color rgb="FFCCCCCC"/>
      </right>
      <top style="medium">
        <color rgb="FFC1C1C1"/>
      </top>
      <bottom style="medium">
        <color rgb="FFC1C1C1"/>
      </bottom>
      <diagonal/>
    </border>
    <border>
      <left/>
      <right/>
      <top style="medium">
        <color rgb="FFC1C1C1"/>
      </top>
      <bottom style="medium">
        <color rgb="FFC1C1C1"/>
      </bottom>
      <diagonal/>
    </border>
    <border>
      <left/>
      <right style="medium">
        <color rgb="FFCCCCCC"/>
      </right>
      <top style="medium">
        <color rgb="FFE5EBF4"/>
      </top>
      <bottom/>
      <diagonal/>
    </border>
    <border>
      <left/>
      <right/>
      <top style="medium">
        <color rgb="FFE5EBF4"/>
      </top>
      <bottom/>
      <diagonal/>
    </border>
    <border>
      <left style="medium">
        <color rgb="FFFFFFFF"/>
      </left>
      <right/>
      <top style="medium">
        <color rgb="FFFFFFFF"/>
      </top>
      <bottom style="medium">
        <color rgb="FFC1C1C1"/>
      </bottom>
      <diagonal/>
    </border>
    <border>
      <left/>
      <right style="medium">
        <color rgb="FFFFFFFF"/>
      </right>
      <top style="medium">
        <color rgb="FFFFFFFF"/>
      </top>
      <bottom style="medium">
        <color rgb="FFC1C1C1"/>
      </bottom>
      <diagonal/>
    </border>
    <border>
      <left/>
      <right/>
      <top style="medium">
        <color rgb="FFC1C1C1"/>
      </top>
      <bottom style="medium">
        <color rgb="FFE5EBF4"/>
      </bottom>
      <diagonal/>
    </border>
    <border>
      <left/>
      <right style="medium">
        <color rgb="FFCCCCCC"/>
      </right>
      <top style="medium">
        <color rgb="FFC1C1C1"/>
      </top>
      <bottom style="medium">
        <color rgb="FFE5EBF4"/>
      </bottom>
      <diagonal/>
    </border>
    <border>
      <left/>
      <right/>
      <top style="medium">
        <color rgb="FFE5EBF4"/>
      </top>
      <bottom style="medium">
        <color rgb="FFE5EBF4"/>
      </bottom>
      <diagonal/>
    </border>
    <border>
      <left/>
      <right style="medium">
        <color rgb="FFCCCCCC"/>
      </right>
      <top style="medium">
        <color rgb="FFE5EBF4"/>
      </top>
      <bottom style="medium">
        <color rgb="FFE5EBF4"/>
      </bottom>
      <diagonal/>
    </border>
    <border>
      <left/>
      <right/>
      <top/>
      <bottom style="medium">
        <color rgb="FFE5EBF4"/>
      </bottom>
      <diagonal/>
    </border>
    <border>
      <left/>
      <right style="medium">
        <color rgb="FFCCCCCC"/>
      </right>
      <top/>
      <bottom/>
      <diagonal/>
    </border>
    <border>
      <left style="medium">
        <color rgb="FFCCCCCC"/>
      </left>
      <right/>
      <top style="medium">
        <color rgb="FFE5EBF4"/>
      </top>
      <bottom/>
      <diagonal/>
    </border>
    <border>
      <left/>
      <right style="medium">
        <color rgb="FFCCCCCC"/>
      </right>
      <top/>
      <bottom style="medium">
        <color rgb="FFE5EBF4"/>
      </bottom>
      <diagonal/>
    </border>
    <border>
      <left style="medium">
        <color rgb="FFCCCCCC"/>
      </left>
      <right/>
      <top/>
      <bottom/>
      <diagonal/>
    </border>
    <border>
      <left style="medium">
        <color rgb="FFCCCCCC"/>
      </left>
      <right/>
      <top/>
      <bottom style="medium">
        <color rgb="FFE5EBF4"/>
      </bottom>
      <diagonal/>
    </border>
    <border>
      <left style="medium">
        <color theme="3"/>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medium">
        <color theme="3"/>
      </left>
      <right/>
      <top/>
      <bottom style="thin">
        <color theme="0" tint="-0.249977111117893"/>
      </bottom>
      <diagonal/>
    </border>
    <border>
      <left style="medium">
        <color theme="3"/>
      </left>
      <right/>
      <top style="thin">
        <color theme="0" tint="-0.249977111117893"/>
      </top>
      <bottom style="thin">
        <color theme="0" tint="-0.249977111117893"/>
      </bottom>
      <diagonal/>
    </border>
    <border>
      <left style="medium">
        <color theme="1" tint="0.24994659260841701"/>
      </left>
      <right style="medium">
        <color theme="1" tint="0.24994659260841701"/>
      </right>
      <top style="thin">
        <color rgb="FF000000"/>
      </top>
      <bottom style="medium">
        <color theme="1" tint="0.24994659260841701"/>
      </bottom>
      <diagonal/>
    </border>
    <border>
      <left style="medium">
        <color theme="1" tint="0.24994659260841701"/>
      </left>
      <right style="medium">
        <color theme="1" tint="0.24994659260841701"/>
      </right>
      <top style="medium">
        <color theme="1" tint="0.24994659260841701"/>
      </top>
      <bottom/>
      <diagonal/>
    </border>
    <border>
      <left style="medium">
        <color rgb="FF000000"/>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style="medium">
        <color theme="3"/>
      </right>
      <top style="medium">
        <color rgb="FF000000"/>
      </top>
      <bottom style="medium">
        <color rgb="FF000000"/>
      </bottom>
      <diagonal/>
    </border>
    <border>
      <left style="medium">
        <color rgb="FF000000"/>
      </left>
      <right style="medium">
        <color rgb="FF1F497D"/>
      </right>
      <top style="medium">
        <color rgb="FF000000"/>
      </top>
      <bottom style="thin">
        <color theme="0" tint="-0.24994659260841701"/>
      </bottom>
      <diagonal/>
    </border>
    <border>
      <left style="medium">
        <color rgb="FF1F497D"/>
      </left>
      <right style="medium">
        <color rgb="FF1F497D"/>
      </right>
      <top style="medium">
        <color rgb="FF000000"/>
      </top>
      <bottom style="thin">
        <color theme="0" tint="-0.24994659260841701"/>
      </bottom>
      <diagonal/>
    </border>
    <border>
      <left style="medium">
        <color rgb="FF1F497D"/>
      </left>
      <right style="medium">
        <color rgb="FF000000"/>
      </right>
      <top style="medium">
        <color rgb="FF000000"/>
      </top>
      <bottom style="thin">
        <color theme="0" tint="-0.24994659260841701"/>
      </bottom>
      <diagonal/>
    </border>
    <border>
      <left style="medium">
        <color rgb="FF000000"/>
      </left>
      <right/>
      <top style="medium">
        <color rgb="FFE5EBF4"/>
      </top>
      <bottom/>
      <diagonal/>
    </border>
    <border>
      <left/>
      <right style="medium">
        <color rgb="FF000000"/>
      </right>
      <top style="medium">
        <color rgb="FFE5EBF4"/>
      </top>
      <bottom/>
      <diagonal/>
    </border>
    <border>
      <left/>
      <right style="medium">
        <color rgb="FF1F497D"/>
      </right>
      <top style="thin">
        <color theme="0" tint="-0.24994659260841701"/>
      </top>
      <bottom/>
      <diagonal/>
    </border>
    <border>
      <left style="medium">
        <color rgb="FF1F497D"/>
      </left>
      <right/>
      <top style="medium">
        <color rgb="FF000000"/>
      </top>
      <bottom style="thin">
        <color theme="0" tint="-0.24994659260841701"/>
      </bottom>
      <diagonal/>
    </border>
    <border>
      <left style="medium">
        <color rgb="FF000000"/>
      </left>
      <right/>
      <top style="medium">
        <color rgb="FF1F497D"/>
      </top>
      <bottom style="medium">
        <color rgb="FF000000"/>
      </bottom>
      <diagonal/>
    </border>
    <border>
      <left/>
      <right/>
      <top style="medium">
        <color rgb="FF1F497D"/>
      </top>
      <bottom style="medium">
        <color rgb="FF000000"/>
      </bottom>
      <diagonal/>
    </border>
    <border>
      <left/>
      <right style="medium">
        <color rgb="FF000000"/>
      </right>
      <top style="medium">
        <color rgb="FF1F497D"/>
      </top>
      <bottom style="medium">
        <color rgb="FF000000"/>
      </bottom>
      <diagonal/>
    </border>
    <border>
      <left style="medium">
        <color rgb="FF000000"/>
      </left>
      <right style="thin">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1F497D"/>
      </left>
      <right style="thin">
        <color rgb="FF000000"/>
      </right>
      <top style="medium">
        <color rgb="FF1F497D"/>
      </top>
      <bottom style="medium">
        <color rgb="FF1F497D"/>
      </bottom>
      <diagonal/>
    </border>
    <border>
      <left/>
      <right style="thin">
        <color rgb="FF000000"/>
      </right>
      <top style="medium">
        <color rgb="FFE5EBF4"/>
      </top>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medium">
        <color rgb="FF000000"/>
      </bottom>
      <diagonal/>
    </border>
    <border>
      <left/>
      <right style="thin">
        <color rgb="FF000000"/>
      </right>
      <top/>
      <bottom style="medium">
        <color rgb="FF000000"/>
      </bottom>
      <diagonal/>
    </border>
    <border>
      <left style="medium">
        <color rgb="FF000000"/>
      </left>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1F497D"/>
      </left>
      <right/>
      <top style="medium">
        <color rgb="FF1F497D"/>
      </top>
      <bottom style="medium">
        <color rgb="FF000000"/>
      </bottom>
      <diagonal/>
    </border>
    <border>
      <left style="medium">
        <color rgb="FF1F497D"/>
      </left>
      <right/>
      <top style="thin">
        <color theme="0" tint="-0.24994659260841701"/>
      </top>
      <bottom/>
      <diagonal/>
    </border>
    <border>
      <left style="medium">
        <color rgb="FF000000"/>
      </left>
      <right style="thin">
        <color rgb="FF000000"/>
      </right>
      <top style="thin">
        <color rgb="FF000000"/>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diagonal/>
    </border>
    <border>
      <left style="thin">
        <color rgb="FF000000"/>
      </left>
      <right/>
      <top style="medium">
        <color rgb="FF000000"/>
      </top>
      <bottom style="medium">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indexed="64"/>
      </left>
      <right style="medium">
        <color rgb="FF000000"/>
      </right>
      <top style="medium">
        <color indexed="64"/>
      </top>
      <bottom style="thin">
        <color indexed="64"/>
      </bottom>
      <diagonal/>
    </border>
    <border>
      <left style="thin">
        <color indexed="64"/>
      </left>
      <right style="medium">
        <color rgb="FF000000"/>
      </right>
      <top style="thin">
        <color indexed="64"/>
      </top>
      <bottom style="thin">
        <color indexed="64"/>
      </bottom>
      <diagonal/>
    </border>
    <border>
      <left style="thin">
        <color indexed="64"/>
      </left>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indexed="64"/>
      </left>
      <right/>
      <top style="medium">
        <color indexed="64"/>
      </top>
      <bottom style="medium">
        <color rgb="FF000000"/>
      </bottom>
      <diagonal/>
    </border>
    <border>
      <left style="medium">
        <color indexed="64"/>
      </left>
      <right/>
      <top/>
      <bottom style="thin">
        <color indexed="64"/>
      </bottom>
      <diagonal/>
    </border>
    <border>
      <left style="medium">
        <color indexed="64"/>
      </left>
      <right/>
      <top/>
      <bottom style="medium">
        <color indexed="64"/>
      </bottom>
      <diagonal/>
    </border>
    <border>
      <left/>
      <right style="thin">
        <color indexed="64"/>
      </right>
      <top style="thin">
        <color indexed="64"/>
      </top>
      <bottom style="medium">
        <color rgb="FF000000"/>
      </bottom>
      <diagonal/>
    </border>
    <border>
      <left style="thin">
        <color rgb="FFCCCCCC"/>
      </left>
      <right style="thin">
        <color rgb="FF000000"/>
      </right>
      <top style="thin">
        <color rgb="FFCCCCCC"/>
      </top>
      <bottom style="thin">
        <color rgb="FFCCCCCC"/>
      </bottom>
      <diagonal/>
    </border>
    <border>
      <left style="thin">
        <color rgb="FF000000"/>
      </left>
      <right/>
      <top style="thin">
        <color rgb="FFCCCCCC"/>
      </top>
      <bottom style="thin">
        <color rgb="FFCCCCCC"/>
      </bottom>
      <diagonal/>
    </border>
    <border>
      <left/>
      <right style="thin">
        <color rgb="FF000000"/>
      </right>
      <top style="thin">
        <color rgb="FFCCCCCC"/>
      </top>
      <bottom style="thin">
        <color rgb="FFCCCCCC"/>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theme="0" tint="-0.24994659260841701"/>
      </right>
      <top style="thin">
        <color theme="0" tint="-0.24994659260841701"/>
      </top>
      <bottom style="thin">
        <color theme="0" tint="-0.24994659260841701"/>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CCCCCC"/>
      </left>
      <right style="thin">
        <color rgb="FF000000"/>
      </right>
      <top style="thin">
        <color rgb="FFCCCCCC"/>
      </top>
      <bottom/>
      <diagonal/>
    </border>
    <border>
      <left style="thin">
        <color rgb="FFCCCCCC"/>
      </left>
      <right style="thin">
        <color rgb="FF000000"/>
      </right>
      <top/>
      <bottom style="thin">
        <color rgb="FFCCCCCC"/>
      </bottom>
      <diagonal/>
    </border>
    <border>
      <left style="thin">
        <color rgb="FF000000"/>
      </left>
      <right style="thin">
        <color rgb="FF000000"/>
      </right>
      <top style="thin">
        <color rgb="FFCCCCCC"/>
      </top>
      <bottom/>
      <diagonal/>
    </border>
  </borders>
  <cellStyleXfs count="34">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82"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177" fontId="22" fillId="0" borderId="0" applyFont="0" applyFill="0" applyBorder="0" applyAlignment="0" applyProtection="0"/>
    <xf numFmtId="177"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0" fontId="92" fillId="0" borderId="0" applyNumberFormat="0" applyFill="0" applyBorder="0" applyAlignment="0" applyProtection="0"/>
  </cellStyleXfs>
  <cellXfs count="1418">
    <xf numFmtId="0" fontId="0" fillId="0" borderId="0" xfId="0"/>
    <xf numFmtId="9" fontId="0" fillId="0" borderId="0" xfId="15" applyFont="1" applyAlignment="1">
      <alignment horizontal="center"/>
    </xf>
    <xf numFmtId="0" fontId="0" fillId="0" borderId="0" xfId="0" applyAlignment="1">
      <alignment horizontal="center"/>
    </xf>
    <xf numFmtId="179" fontId="0" fillId="0" borderId="0" xfId="0" applyNumberFormat="1"/>
    <xf numFmtId="10" fontId="0" fillId="0" borderId="0" xfId="0" applyNumberFormat="1" applyAlignment="1">
      <alignment horizontal="center"/>
    </xf>
    <xf numFmtId="180"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79" fontId="13" fillId="0" borderId="0" xfId="0" applyNumberFormat="1" applyFont="1" applyAlignment="1">
      <alignment horizontal="center"/>
    </xf>
    <xf numFmtId="9" fontId="13" fillId="0" borderId="0" xfId="15" applyFont="1"/>
    <xf numFmtId="9" fontId="8" fillId="8" borderId="19" xfId="15" applyFont="1" applyFill="1" applyBorder="1" applyAlignment="1">
      <alignment horizontal="center"/>
    </xf>
    <xf numFmtId="0" fontId="8" fillId="8" borderId="26" xfId="0" applyFont="1" applyFill="1" applyBorder="1" applyAlignment="1">
      <alignment horizontal="center" vertic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82" fontId="35" fillId="0" borderId="0" xfId="0" applyNumberFormat="1" applyFont="1" applyAlignment="1">
      <alignment horizontal="center"/>
    </xf>
    <xf numFmtId="9" fontId="0" fillId="8" borderId="19" xfId="15" applyFont="1" applyFill="1" applyBorder="1" applyAlignment="1">
      <alignment horizontal="center"/>
    </xf>
    <xf numFmtId="0" fontId="38" fillId="0" borderId="0" xfId="0" applyFont="1"/>
    <xf numFmtId="0" fontId="39" fillId="0" borderId="0" xfId="0" applyFont="1"/>
    <xf numFmtId="0" fontId="40" fillId="0" borderId="0" xfId="0" applyFont="1" applyAlignment="1">
      <alignment horizontal="center"/>
    </xf>
    <xf numFmtId="181"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4" xfId="0" applyNumberFormat="1" applyFill="1" applyBorder="1" applyAlignment="1">
      <alignment horizontal="center"/>
    </xf>
    <xf numFmtId="180" fontId="13" fillId="26" borderId="1" xfId="15" applyNumberFormat="1" applyFont="1" applyFill="1" applyBorder="1" applyAlignment="1">
      <alignment horizontal="center"/>
    </xf>
    <xf numFmtId="180" fontId="13" fillId="26" borderId="44" xfId="15" applyNumberFormat="1" applyFont="1" applyFill="1" applyBorder="1" applyAlignment="1">
      <alignment horizontal="center"/>
    </xf>
    <xf numFmtId="3" fontId="0" fillId="25" borderId="1" xfId="15" applyNumberFormat="1" applyFont="1" applyFill="1" applyBorder="1" applyAlignment="1">
      <alignment horizontal="center"/>
    </xf>
    <xf numFmtId="3" fontId="0" fillId="25" borderId="44" xfId="15" applyNumberFormat="1" applyFont="1" applyFill="1" applyBorder="1" applyAlignment="1">
      <alignment horizontal="center"/>
    </xf>
    <xf numFmtId="3" fontId="13" fillId="27" borderId="1" xfId="15" applyNumberFormat="1" applyFont="1" applyFill="1" applyBorder="1" applyAlignment="1">
      <alignment horizontal="center"/>
    </xf>
    <xf numFmtId="3" fontId="0" fillId="0" borderId="0" xfId="0" applyNumberFormat="1" applyAlignment="1">
      <alignment horizontal="center"/>
    </xf>
    <xf numFmtId="181" fontId="0" fillId="0" borderId="0" xfId="0" applyNumberFormat="1" applyAlignment="1">
      <alignment horizontal="center"/>
    </xf>
    <xf numFmtId="0" fontId="35" fillId="19" borderId="0" xfId="0" applyFont="1" applyFill="1" applyAlignment="1">
      <alignment horizontal="center"/>
    </xf>
    <xf numFmtId="180" fontId="35" fillId="19" borderId="0" xfId="0" applyNumberFormat="1" applyFont="1" applyFill="1" applyAlignment="1">
      <alignment horizontal="center"/>
    </xf>
    <xf numFmtId="9" fontId="35" fillId="0" borderId="0" xfId="15" applyFont="1" applyFill="1" applyAlignment="1">
      <alignment horizontal="center"/>
    </xf>
    <xf numFmtId="180" fontId="35" fillId="0" borderId="0" xfId="15" applyNumberFormat="1" applyFont="1" applyFill="1" applyAlignment="1">
      <alignment horizontal="center"/>
    </xf>
    <xf numFmtId="9" fontId="35" fillId="0" borderId="0" xfId="21" applyFont="1" applyFill="1" applyAlignment="1">
      <alignment horizontal="center"/>
    </xf>
    <xf numFmtId="180" fontId="33" fillId="24" borderId="19" xfId="15" applyNumberFormat="1" applyFont="1" applyFill="1" applyBorder="1" applyAlignment="1">
      <alignment horizontal="center"/>
    </xf>
    <xf numFmtId="0" fontId="13" fillId="0" borderId="37" xfId="0" applyFont="1" applyBorder="1"/>
    <xf numFmtId="0" fontId="17" fillId="5" borderId="8" xfId="4" applyFill="1" applyBorder="1" applyAlignment="1"/>
    <xf numFmtId="0" fontId="8" fillId="0" borderId="0" xfId="25"/>
    <xf numFmtId="0" fontId="27" fillId="5" borderId="7" xfId="25" applyFont="1" applyFill="1" applyBorder="1" applyAlignment="1">
      <alignment horizontal="center"/>
    </xf>
    <xf numFmtId="0" fontId="27" fillId="5" borderId="11" xfId="25" applyFont="1" applyFill="1" applyBorder="1" applyAlignment="1">
      <alignment horizontal="center"/>
    </xf>
    <xf numFmtId="0" fontId="29" fillId="3" borderId="10" xfId="10" applyFont="1" applyBorder="1"/>
    <xf numFmtId="0" fontId="8" fillId="0" borderId="0" xfId="25"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7" applyFont="1"/>
    <xf numFmtId="0" fontId="30" fillId="0" borderId="0" xfId="33" applyFont="1" applyAlignment="1" applyProtection="1"/>
    <xf numFmtId="0" fontId="27" fillId="29" borderId="0" xfId="25"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5"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3" xfId="0" applyFont="1" applyBorder="1"/>
    <xf numFmtId="0" fontId="13" fillId="0" borderId="1" xfId="0" applyFont="1" applyBorder="1"/>
    <xf numFmtId="0" fontId="13" fillId="0" borderId="44" xfId="0" applyFont="1" applyBorder="1"/>
    <xf numFmtId="0" fontId="0" fillId="8" borderId="0" xfId="0" applyFill="1"/>
    <xf numFmtId="0" fontId="35" fillId="19" borderId="0" xfId="0" applyFont="1" applyFill="1" applyAlignment="1">
      <alignment horizontal="left" indent="1"/>
    </xf>
    <xf numFmtId="182"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1" xfId="15" applyFont="1" applyFill="1" applyBorder="1" applyAlignment="1">
      <alignment horizontal="center"/>
    </xf>
    <xf numFmtId="9" fontId="8" fillId="8" borderId="51" xfId="15" applyFont="1" applyFill="1" applyBorder="1" applyAlignment="1">
      <alignment horizontal="center"/>
    </xf>
    <xf numFmtId="0" fontId="13" fillId="0" borderId="51" xfId="0" applyFont="1" applyBorder="1" applyAlignment="1">
      <alignment horizontal="center"/>
    </xf>
    <xf numFmtId="180" fontId="33" fillId="24" borderId="51" xfId="15" applyNumberFormat="1" applyFont="1" applyFill="1" applyBorder="1" applyAlignment="1">
      <alignment horizontal="center"/>
    </xf>
    <xf numFmtId="0" fontId="27" fillId="32" borderId="19" xfId="0" applyFont="1" applyFill="1" applyBorder="1" applyAlignment="1">
      <alignment horizontal="center" vertical="center" wrapText="1"/>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0" fontId="27" fillId="32" borderId="51" xfId="0" applyFont="1" applyFill="1" applyBorder="1" applyAlignment="1">
      <alignment horizontal="center"/>
    </xf>
    <xf numFmtId="3" fontId="8" fillId="0" borderId="0" xfId="0" applyNumberFormat="1" applyFont="1"/>
    <xf numFmtId="0" fontId="8" fillId="17" borderId="43" xfId="0" applyFont="1" applyFill="1" applyBorder="1"/>
    <xf numFmtId="0" fontId="8" fillId="0" borderId="43" xfId="0" applyFont="1" applyBorder="1" applyAlignment="1">
      <alignment horizontal="left" indent="1"/>
    </xf>
    <xf numFmtId="0" fontId="8" fillId="0" borderId="43" xfId="0" applyFont="1" applyBorder="1" applyAlignment="1">
      <alignment horizontal="left"/>
    </xf>
    <xf numFmtId="0" fontId="8" fillId="17" borderId="43" xfId="0" applyFont="1" applyFill="1" applyBorder="1" applyAlignment="1">
      <alignment horizontal="left" indent="1"/>
    </xf>
    <xf numFmtId="0" fontId="13" fillId="0" borderId="43" xfId="0" applyFont="1" applyBorder="1" applyAlignment="1">
      <alignment horizontal="left"/>
    </xf>
    <xf numFmtId="0" fontId="13" fillId="17" borderId="43" xfId="0" applyFont="1" applyFill="1" applyBorder="1"/>
    <xf numFmtId="0" fontId="8" fillId="0" borderId="43" xfId="0" applyFont="1" applyBorder="1"/>
    <xf numFmtId="9" fontId="8" fillId="24" borderId="19" xfId="15" applyFont="1" applyFill="1" applyBorder="1" applyAlignment="1">
      <alignment horizontal="center"/>
    </xf>
    <xf numFmtId="179"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1" xfId="15" applyFont="1" applyFill="1" applyBorder="1" applyAlignment="1">
      <alignment horizontal="center"/>
    </xf>
    <xf numFmtId="0" fontId="8" fillId="7" borderId="19" xfId="0" applyFont="1" applyFill="1" applyBorder="1"/>
    <xf numFmtId="9" fontId="8" fillId="7" borderId="19" xfId="15" applyFont="1" applyFill="1" applyBorder="1" applyAlignment="1">
      <alignment horizontal="center"/>
    </xf>
    <xf numFmtId="180" fontId="8" fillId="7" borderId="19" xfId="15" applyNumberFormat="1" applyFont="1" applyFill="1" applyBorder="1" applyAlignment="1">
      <alignment horizontal="center"/>
    </xf>
    <xf numFmtId="9" fontId="8" fillId="7" borderId="19" xfId="15" applyFont="1" applyFill="1" applyBorder="1"/>
    <xf numFmtId="0" fontId="47" fillId="32" borderId="51" xfId="0" applyFont="1" applyFill="1" applyBorder="1" applyAlignment="1">
      <alignment horizontal="center"/>
    </xf>
    <xf numFmtId="0" fontId="48" fillId="32" borderId="51" xfId="0" applyFont="1" applyFill="1" applyBorder="1" applyAlignment="1">
      <alignment horizontal="center"/>
    </xf>
    <xf numFmtId="0" fontId="0" fillId="0" borderId="49" xfId="0" applyBorder="1"/>
    <xf numFmtId="0" fontId="0" fillId="0" borderId="67" xfId="0" applyBorder="1"/>
    <xf numFmtId="9" fontId="0" fillId="0" borderId="78" xfId="15" applyFont="1" applyBorder="1"/>
    <xf numFmtId="179" fontId="0" fillId="0" borderId="76" xfId="0" applyNumberFormat="1" applyBorder="1" applyAlignment="1">
      <alignment horizontal="center"/>
    </xf>
    <xf numFmtId="0" fontId="0" fillId="33" borderId="79" xfId="0" applyFill="1" applyBorder="1"/>
    <xf numFmtId="0" fontId="13" fillId="8" borderId="39" xfId="0" applyFont="1" applyFill="1" applyBorder="1" applyAlignment="1">
      <alignment horizontal="center"/>
    </xf>
    <xf numFmtId="9" fontId="0" fillId="0" borderId="82" xfId="15" applyFont="1" applyBorder="1"/>
    <xf numFmtId="0" fontId="13" fillId="0" borderId="82" xfId="0" applyFont="1" applyBorder="1"/>
    <xf numFmtId="0" fontId="13" fillId="14" borderId="65" xfId="0" applyFont="1" applyFill="1" applyBorder="1" applyAlignment="1">
      <alignment horizontal="center"/>
    </xf>
    <xf numFmtId="9" fontId="13" fillId="14" borderId="65" xfId="15" applyFont="1" applyFill="1" applyBorder="1" applyAlignment="1">
      <alignment horizontal="center"/>
    </xf>
    <xf numFmtId="0" fontId="13" fillId="0" borderId="65" xfId="0" applyFont="1" applyBorder="1" applyAlignment="1">
      <alignment horizontal="center"/>
    </xf>
    <xf numFmtId="179" fontId="0" fillId="0" borderId="83" xfId="0" applyNumberFormat="1" applyBorder="1" applyAlignment="1">
      <alignment horizontal="center"/>
    </xf>
    <xf numFmtId="0" fontId="13" fillId="0" borderId="84" xfId="0" applyFont="1" applyBorder="1"/>
    <xf numFmtId="0" fontId="0" fillId="0" borderId="50" xfId="0" applyBorder="1"/>
    <xf numFmtId="0" fontId="0" fillId="0" borderId="71" xfId="0" applyBorder="1"/>
    <xf numFmtId="0" fontId="0" fillId="0" borderId="72" xfId="0" applyBorder="1"/>
    <xf numFmtId="9" fontId="0" fillId="0" borderId="0" xfId="0" applyNumberFormat="1"/>
    <xf numFmtId="0" fontId="13" fillId="14" borderId="81" xfId="0" applyFont="1" applyFill="1" applyBorder="1" applyAlignment="1">
      <alignment horizontal="center"/>
    </xf>
    <xf numFmtId="0" fontId="0" fillId="33" borderId="68" xfId="0" applyFill="1" applyBorder="1"/>
    <xf numFmtId="0" fontId="0" fillId="33" borderId="70" xfId="0" applyFill="1" applyBorder="1"/>
    <xf numFmtId="0" fontId="13" fillId="0" borderId="68" xfId="0" applyFont="1" applyBorder="1" applyAlignment="1">
      <alignment horizontal="center"/>
    </xf>
    <xf numFmtId="179" fontId="0" fillId="0" borderId="77" xfId="0" applyNumberFormat="1" applyBorder="1" applyAlignment="1">
      <alignment horizontal="center"/>
    </xf>
    <xf numFmtId="0" fontId="13" fillId="8" borderId="9" xfId="0" applyFont="1" applyFill="1" applyBorder="1" applyAlignment="1">
      <alignment horizontal="center"/>
    </xf>
    <xf numFmtId="184" fontId="0" fillId="0" borderId="85" xfId="0" applyNumberFormat="1" applyBorder="1" applyAlignment="1">
      <alignment horizontal="center"/>
    </xf>
    <xf numFmtId="0" fontId="0" fillId="31" borderId="69" xfId="0" applyFill="1" applyBorder="1"/>
    <xf numFmtId="0" fontId="27" fillId="31" borderId="69" xfId="0" applyFont="1" applyFill="1" applyBorder="1" applyAlignment="1">
      <alignment horizontal="left"/>
    </xf>
    <xf numFmtId="9" fontId="0" fillId="31" borderId="69" xfId="15" applyFont="1" applyFill="1" applyBorder="1" applyAlignment="1">
      <alignment horizontal="center" vertical="center"/>
    </xf>
    <xf numFmtId="183" fontId="27" fillId="31" borderId="70" xfId="0" applyNumberFormat="1" applyFont="1" applyFill="1" applyBorder="1" applyAlignment="1">
      <alignment horizontal="center" vertical="center"/>
    </xf>
    <xf numFmtId="0" fontId="13" fillId="17" borderId="91" xfId="0" applyFont="1" applyFill="1" applyBorder="1"/>
    <xf numFmtId="0" fontId="13" fillId="17" borderId="93" xfId="0" applyFont="1" applyFill="1" applyBorder="1"/>
    <xf numFmtId="0" fontId="27" fillId="32" borderId="96" xfId="0" applyFont="1" applyFill="1" applyBorder="1" applyAlignment="1">
      <alignment horizontal="center"/>
    </xf>
    <xf numFmtId="0" fontId="0" fillId="32" borderId="97" xfId="0" applyFill="1" applyBorder="1"/>
    <xf numFmtId="0" fontId="0" fillId="32" borderId="98" xfId="0" applyFill="1" applyBorder="1"/>
    <xf numFmtId="0" fontId="27" fillId="32" borderId="91" xfId="0" applyFont="1" applyFill="1" applyBorder="1" applyAlignment="1">
      <alignment horizontal="center"/>
    </xf>
    <xf numFmtId="0" fontId="13" fillId="0" borderId="89" xfId="0" applyFont="1" applyBorder="1" applyAlignment="1">
      <alignment horizontal="left" vertical="center"/>
    </xf>
    <xf numFmtId="0" fontId="46" fillId="5" borderId="68" xfId="0" applyFont="1" applyFill="1" applyBorder="1" applyAlignment="1">
      <alignment horizontal="left" vertical="center"/>
    </xf>
    <xf numFmtId="0" fontId="46" fillId="31" borderId="68" xfId="0" applyFont="1" applyFill="1" applyBorder="1" applyAlignment="1">
      <alignment horizontal="left" vertical="center"/>
    </xf>
    <xf numFmtId="0" fontId="46" fillId="13" borderId="70" xfId="0" applyFont="1" applyFill="1" applyBorder="1" applyAlignment="1">
      <alignment horizontal="center"/>
    </xf>
    <xf numFmtId="0" fontId="13" fillId="8" borderId="89" xfId="0" applyFont="1" applyFill="1" applyBorder="1" applyAlignment="1">
      <alignment horizontal="left" vertical="center"/>
    </xf>
    <xf numFmtId="0" fontId="13" fillId="8" borderId="91" xfId="0" applyFont="1" applyFill="1" applyBorder="1" applyAlignment="1">
      <alignment horizontal="left" vertical="center"/>
    </xf>
    <xf numFmtId="0" fontId="0" fillId="31" borderId="69" xfId="0" applyFill="1" applyBorder="1" applyAlignment="1">
      <alignment horizontal="center"/>
    </xf>
    <xf numFmtId="0" fontId="8" fillId="0" borderId="66" xfId="0" applyFont="1" applyBorder="1"/>
    <xf numFmtId="0" fontId="49" fillId="5" borderId="64" xfId="0" applyFont="1" applyFill="1" applyBorder="1" applyAlignment="1">
      <alignment horizontal="center"/>
    </xf>
    <xf numFmtId="0" fontId="49" fillId="5" borderId="64" xfId="0" applyFont="1" applyFill="1" applyBorder="1"/>
    <xf numFmtId="0" fontId="0" fillId="0" borderId="64" xfId="0" applyBorder="1"/>
    <xf numFmtId="0" fontId="29" fillId="0" borderId="10" xfId="25" applyFont="1" applyBorder="1" applyAlignment="1">
      <alignment horizontal="center"/>
    </xf>
    <xf numFmtId="0" fontId="29" fillId="0" borderId="16" xfId="25" applyFont="1" applyBorder="1" applyAlignment="1">
      <alignment horizontal="center"/>
    </xf>
    <xf numFmtId="0" fontId="29" fillId="0" borderId="10" xfId="25" applyFont="1" applyBorder="1" applyAlignment="1">
      <alignment horizontal="center" vertical="center"/>
    </xf>
    <xf numFmtId="0" fontId="29" fillId="0" borderId="16" xfId="25" applyFont="1" applyBorder="1" applyAlignment="1">
      <alignment horizontal="center" vertical="center"/>
    </xf>
    <xf numFmtId="0" fontId="29" fillId="0" borderId="14" xfId="25" applyFont="1" applyBorder="1" applyAlignment="1">
      <alignment horizontal="center"/>
    </xf>
    <xf numFmtId="0" fontId="29" fillId="0" borderId="17" xfId="25" applyFont="1" applyBorder="1" applyAlignment="1">
      <alignment horizontal="center"/>
    </xf>
    <xf numFmtId="0" fontId="50" fillId="5" borderId="102" xfId="4" applyFont="1" applyFill="1" applyBorder="1" applyAlignment="1">
      <alignment horizontal="center" vertical="center"/>
    </xf>
    <xf numFmtId="0" fontId="50" fillId="5" borderId="102" xfId="3" applyFont="1" applyFill="1" applyBorder="1" applyAlignment="1">
      <alignment horizontal="center" vertical="center" wrapText="1"/>
    </xf>
    <xf numFmtId="0" fontId="50" fillId="5" borderId="102" xfId="3" applyFont="1" applyFill="1" applyBorder="1" applyAlignment="1">
      <alignment horizontal="center" vertical="center"/>
    </xf>
    <xf numFmtId="0" fontId="8" fillId="3" borderId="102" xfId="10" applyFont="1" applyBorder="1" applyAlignment="1">
      <alignment horizontal="center" vertical="center"/>
    </xf>
    <xf numFmtId="182" fontId="8" fillId="8" borderId="102" xfId="6" applyFont="1" applyFill="1" applyBorder="1" applyAlignment="1">
      <alignment horizontal="right" vertical="center" wrapText="1"/>
    </xf>
    <xf numFmtId="0" fontId="29" fillId="3" borderId="102" xfId="10" applyFont="1" applyBorder="1" applyAlignment="1">
      <alignment vertical="center"/>
    </xf>
    <xf numFmtId="182" fontId="8" fillId="3" borderId="102" xfId="6" applyFont="1" applyBorder="1" applyAlignment="1">
      <alignment horizontal="right" vertical="center" wrapText="1"/>
    </xf>
    <xf numFmtId="0" fontId="29" fillId="3" borderId="102" xfId="10" applyFont="1" applyBorder="1" applyAlignment="1">
      <alignment horizontal="center" vertical="center"/>
    </xf>
    <xf numFmtId="3" fontId="13" fillId="34" borderId="104" xfId="5" applyFont="1" applyFill="1" applyBorder="1" applyAlignment="1">
      <alignment horizontal="center" vertical="center"/>
    </xf>
    <xf numFmtId="0" fontId="13" fillId="0" borderId="0" xfId="25" applyFont="1" applyAlignment="1">
      <alignment vertical="center"/>
    </xf>
    <xf numFmtId="0" fontId="8" fillId="12" borderId="0" xfId="25" applyFill="1" applyAlignment="1">
      <alignment vertical="center"/>
    </xf>
    <xf numFmtId="0" fontId="28" fillId="0" borderId="102" xfId="9" applyFont="1" applyFill="1" applyBorder="1" applyAlignment="1">
      <alignment horizontal="center" vertical="center"/>
    </xf>
    <xf numFmtId="3" fontId="51" fillId="34" borderId="103" xfId="5" applyFont="1" applyFill="1" applyBorder="1" applyAlignment="1">
      <alignment horizontal="right" vertical="center"/>
    </xf>
    <xf numFmtId="3" fontId="51" fillId="34" borderId="104" xfId="5" applyFont="1" applyFill="1" applyBorder="1" applyAlignment="1">
      <alignment horizontal="right" vertical="center"/>
    </xf>
    <xf numFmtId="3" fontId="51" fillId="34" borderId="105" xfId="5" applyFont="1" applyFill="1" applyBorder="1" applyAlignment="1">
      <alignment horizontal="right" vertical="center"/>
    </xf>
    <xf numFmtId="182" fontId="8" fillId="3" borderId="102" xfId="6" applyFont="1" applyBorder="1" applyAlignment="1">
      <alignment horizontal="center" vertical="center"/>
    </xf>
    <xf numFmtId="4" fontId="32" fillId="0" borderId="102" xfId="7" applyFont="1" applyFill="1" applyBorder="1" applyAlignment="1">
      <alignment horizontal="right" vertical="center"/>
    </xf>
    <xf numFmtId="0" fontId="0" fillId="34" borderId="104" xfId="0" applyFill="1" applyBorder="1" applyAlignment="1">
      <alignment horizontal="center" vertical="center"/>
    </xf>
    <xf numFmtId="4" fontId="8" fillId="34" borderId="104" xfId="7" applyFont="1" applyFill="1" applyBorder="1" applyAlignment="1">
      <alignment horizontal="right" vertical="center"/>
    </xf>
    <xf numFmtId="3" fontId="13" fillId="34" borderId="105" xfId="5" applyFont="1" applyFill="1" applyBorder="1" applyAlignment="1">
      <alignment horizontal="right" vertical="center" wrapText="1"/>
    </xf>
    <xf numFmtId="4" fontId="8" fillId="8" borderId="102" xfId="7" applyFont="1" applyFill="1" applyBorder="1" applyAlignment="1">
      <alignment horizontal="right" vertical="center" wrapText="1"/>
    </xf>
    <xf numFmtId="4" fontId="8" fillId="3" borderId="102" xfId="7" applyFont="1" applyBorder="1" applyAlignment="1">
      <alignment horizontal="center" vertical="center"/>
    </xf>
    <xf numFmtId="4" fontId="8" fillId="3" borderId="102" xfId="7" applyFont="1" applyBorder="1" applyAlignment="1">
      <alignment horizontal="right" vertical="center" wrapText="1"/>
    </xf>
    <xf numFmtId="0" fontId="29" fillId="0" borderId="102" xfId="10" applyFont="1" applyFill="1" applyBorder="1" applyAlignment="1">
      <alignment vertical="center"/>
    </xf>
    <xf numFmtId="0" fontId="8" fillId="0" borderId="102" xfId="10" applyFont="1" applyFill="1" applyBorder="1" applyAlignment="1">
      <alignment horizontal="center" vertical="center"/>
    </xf>
    <xf numFmtId="0" fontId="8" fillId="0" borderId="102" xfId="26" applyFont="1" applyBorder="1" applyAlignment="1">
      <alignment horizontal="right" vertical="center" wrapText="1"/>
    </xf>
    <xf numFmtId="3" fontId="13" fillId="34" borderId="103" xfId="5" applyFont="1" applyFill="1" applyBorder="1" applyAlignment="1">
      <alignment horizontal="right" vertical="center"/>
    </xf>
    <xf numFmtId="4" fontId="8" fillId="6" borderId="102" xfId="7" applyFont="1" applyFill="1" applyBorder="1" applyAlignment="1">
      <alignment horizontal="right" vertical="center"/>
    </xf>
    <xf numFmtId="4" fontId="8" fillId="6" borderId="102" xfId="7" applyFont="1" applyFill="1" applyBorder="1" applyAlignment="1">
      <alignment horizontal="center" vertical="center"/>
    </xf>
    <xf numFmtId="4" fontId="8" fillId="0" borderId="102" xfId="7" applyFont="1" applyFill="1" applyBorder="1" applyAlignment="1">
      <alignment horizontal="right" vertical="center" wrapText="1"/>
    </xf>
    <xf numFmtId="0" fontId="29" fillId="3" borderId="102" xfId="10" applyFont="1" applyBorder="1" applyAlignment="1">
      <alignment vertical="center" wrapText="1"/>
    </xf>
    <xf numFmtId="4" fontId="8" fillId="0" borderId="102" xfId="7" applyFont="1" applyFill="1" applyBorder="1" applyAlignment="1">
      <alignment horizontal="center" vertical="center"/>
    </xf>
    <xf numFmtId="0" fontId="50" fillId="32" borderId="102" xfId="3" applyFont="1" applyFill="1" applyBorder="1" applyAlignment="1">
      <alignment horizontal="center" vertical="center" wrapText="1"/>
    </xf>
    <xf numFmtId="0" fontId="8" fillId="0" borderId="102" xfId="25" applyBorder="1"/>
    <xf numFmtId="0" fontId="8" fillId="0" borderId="102" xfId="25" applyBorder="1" applyAlignment="1">
      <alignment vertical="center"/>
    </xf>
    <xf numFmtId="0" fontId="35" fillId="12" borderId="102" xfId="25" applyFont="1" applyFill="1" applyBorder="1" applyAlignment="1">
      <alignment horizontal="center" vertical="center"/>
    </xf>
    <xf numFmtId="0" fontId="53" fillId="0" borderId="0" xfId="0" applyFont="1"/>
    <xf numFmtId="0" fontId="55"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5" fillId="0" borderId="38" xfId="0" applyFont="1" applyBorder="1" applyAlignment="1">
      <alignment horizontal="center"/>
    </xf>
    <xf numFmtId="0" fontId="55" fillId="0" borderId="36" xfId="0" applyFont="1" applyBorder="1" applyAlignment="1">
      <alignment horizontal="center"/>
    </xf>
    <xf numFmtId="0" fontId="55" fillId="0" borderId="32" xfId="0" applyFont="1" applyBorder="1"/>
    <xf numFmtId="0" fontId="55" fillId="0" borderId="107" xfId="0" applyFont="1" applyBorder="1" applyAlignment="1">
      <alignment horizontal="center" vertical="center"/>
    </xf>
    <xf numFmtId="0" fontId="55" fillId="0" borderId="111" xfId="0" applyFont="1" applyBorder="1" applyAlignment="1">
      <alignment horizontal="center" vertical="center"/>
    </xf>
    <xf numFmtId="0" fontId="13" fillId="12" borderId="114" xfId="0" applyFont="1" applyFill="1" applyBorder="1" applyAlignment="1">
      <alignment horizontal="center"/>
    </xf>
    <xf numFmtId="0" fontId="55" fillId="12" borderId="114" xfId="0" applyFont="1" applyFill="1" applyBorder="1"/>
    <xf numFmtId="0" fontId="55" fillId="12" borderId="120" xfId="0" applyFont="1" applyFill="1" applyBorder="1"/>
    <xf numFmtId="0" fontId="53" fillId="12" borderId="120" xfId="0" applyFont="1" applyFill="1" applyBorder="1"/>
    <xf numFmtId="10" fontId="0" fillId="0" borderId="117" xfId="0" applyNumberFormat="1" applyBorder="1" applyAlignment="1">
      <alignment horizontal="center" vertical="center"/>
    </xf>
    <xf numFmtId="10" fontId="0" fillId="0" borderId="121" xfId="0" applyNumberFormat="1" applyBorder="1" applyAlignment="1">
      <alignment horizontal="center" vertical="center"/>
    </xf>
    <xf numFmtId="10" fontId="0" fillId="0" borderId="122" xfId="0" applyNumberFormat="1" applyBorder="1" applyAlignment="1">
      <alignment horizontal="center" vertical="center"/>
    </xf>
    <xf numFmtId="10" fontId="0" fillId="0" borderId="123" xfId="0" applyNumberFormat="1" applyBorder="1" applyAlignment="1">
      <alignment horizontal="center" vertical="center"/>
    </xf>
    <xf numFmtId="0" fontId="55" fillId="0" borderId="124" xfId="0" applyFont="1" applyBorder="1" applyAlignment="1">
      <alignment horizontal="center" vertical="center"/>
    </xf>
    <xf numFmtId="0" fontId="55" fillId="0" borderId="125" xfId="0" applyFont="1" applyBorder="1" applyAlignment="1">
      <alignment horizontal="center" vertical="center"/>
    </xf>
    <xf numFmtId="0" fontId="27" fillId="5" borderId="8" xfId="25" applyFont="1" applyFill="1" applyBorder="1" applyAlignment="1">
      <alignment horizontal="center"/>
    </xf>
    <xf numFmtId="0" fontId="53" fillId="8" borderId="0" xfId="0" applyFont="1" applyFill="1"/>
    <xf numFmtId="0" fontId="8" fillId="37" borderId="32" xfId="0" applyFont="1" applyFill="1" applyBorder="1"/>
    <xf numFmtId="0" fontId="55" fillId="0" borderId="130" xfId="0" applyFont="1" applyBorder="1" applyAlignment="1">
      <alignment horizontal="center"/>
    </xf>
    <xf numFmtId="0" fontId="53" fillId="12" borderId="131" xfId="0" applyFont="1" applyFill="1" applyBorder="1" applyAlignment="1">
      <alignment horizontal="center"/>
    </xf>
    <xf numFmtId="0" fontId="8" fillId="39" borderId="131" xfId="0" applyFont="1" applyFill="1" applyBorder="1"/>
    <xf numFmtId="0" fontId="8" fillId="39" borderId="0" xfId="0" applyFont="1" applyFill="1"/>
    <xf numFmtId="0" fontId="13" fillId="41" borderId="32" xfId="0" quotePrefix="1" applyFont="1" applyFill="1" applyBorder="1"/>
    <xf numFmtId="0" fontId="13" fillId="41" borderId="0" xfId="0" quotePrefix="1" applyFont="1" applyFill="1"/>
    <xf numFmtId="0" fontId="53" fillId="39" borderId="0" xfId="0" applyFont="1" applyFill="1"/>
    <xf numFmtId="0" fontId="13" fillId="0" borderId="146" xfId="0" applyFont="1" applyBorder="1" applyAlignment="1">
      <alignment horizontal="center"/>
    </xf>
    <xf numFmtId="0" fontId="13" fillId="0" borderId="40" xfId="0" applyFont="1" applyBorder="1" applyAlignment="1">
      <alignment horizontal="center"/>
    </xf>
    <xf numFmtId="0" fontId="13" fillId="0" borderId="147" xfId="0" applyFont="1" applyBorder="1" applyAlignment="1">
      <alignment horizontal="center"/>
    </xf>
    <xf numFmtId="0" fontId="13" fillId="0" borderId="138" xfId="0" applyFont="1" applyBorder="1" applyAlignment="1">
      <alignment horizontal="center"/>
    </xf>
    <xf numFmtId="0" fontId="8" fillId="39" borderId="115" xfId="0" applyFont="1" applyFill="1" applyBorder="1"/>
    <xf numFmtId="14" fontId="13" fillId="0" borderId="21" xfId="0" applyNumberFormat="1" applyFont="1" applyBorder="1" applyAlignment="1">
      <alignment horizontal="center" vertical="center"/>
    </xf>
    <xf numFmtId="0" fontId="8" fillId="0" borderId="56" xfId="0" applyFont="1" applyBorder="1" applyAlignment="1">
      <alignment horizontal="center" vertical="center"/>
    </xf>
    <xf numFmtId="0" fontId="39" fillId="8" borderId="23" xfId="0" applyFont="1" applyFill="1" applyBorder="1" applyAlignment="1">
      <alignment horizontal="left" vertical="center" wrapText="1"/>
    </xf>
    <xf numFmtId="10" fontId="0" fillId="0" borderId="0" xfId="15" applyNumberFormat="1" applyFont="1"/>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80" fontId="33" fillId="42" borderId="141" xfId="29" applyNumberFormat="1" applyFont="1" applyFill="1" applyBorder="1" applyAlignment="1">
      <alignment horizontal="center" vertical="center"/>
    </xf>
    <xf numFmtId="0" fontId="61" fillId="0" borderId="45" xfId="0" applyFont="1" applyBorder="1" applyAlignment="1">
      <alignment horizontal="center" vertical="center"/>
    </xf>
    <xf numFmtId="9" fontId="38" fillId="0" borderId="0" xfId="15" applyFont="1"/>
    <xf numFmtId="9" fontId="0" fillId="0" borderId="83" xfId="0" applyNumberFormat="1" applyBorder="1" applyAlignment="1">
      <alignment horizontal="center"/>
    </xf>
    <xf numFmtId="3" fontId="0" fillId="0" borderId="0" xfId="0" applyNumberFormat="1"/>
    <xf numFmtId="10" fontId="0" fillId="0" borderId="0" xfId="0" applyNumberFormat="1"/>
    <xf numFmtId="4" fontId="32" fillId="12" borderId="102"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9" borderId="102" xfId="7" applyFont="1" applyFill="1" applyBorder="1" applyAlignment="1">
      <alignment horizontal="right" vertical="center"/>
    </xf>
    <xf numFmtId="4" fontId="32" fillId="28" borderId="102" xfId="7" applyFont="1" applyFill="1" applyBorder="1" applyAlignment="1">
      <alignment horizontal="right" vertical="center"/>
    </xf>
    <xf numFmtId="4" fontId="25" fillId="12" borderId="102" xfId="7" applyFont="1" applyFill="1" applyBorder="1" applyAlignment="1">
      <alignment horizontal="right" vertical="center"/>
    </xf>
    <xf numFmtId="1" fontId="58" fillId="41" borderId="134" xfId="0" applyNumberFormat="1" applyFont="1" applyFill="1" applyBorder="1" applyAlignment="1">
      <alignment horizontal="center" vertical="center"/>
    </xf>
    <xf numFmtId="1" fontId="53" fillId="40" borderId="38" xfId="0" applyNumberFormat="1" applyFont="1" applyFill="1" applyBorder="1" applyAlignment="1">
      <alignment horizontal="center" vertical="center"/>
    </xf>
    <xf numFmtId="4" fontId="5" fillId="0" borderId="45" xfId="28" applyNumberFormat="1" applyBorder="1" applyAlignment="1">
      <alignment horizontal="center"/>
    </xf>
    <xf numFmtId="0" fontId="26" fillId="0" borderId="0" xfId="0" applyFont="1" applyAlignment="1">
      <alignment horizontal="center"/>
    </xf>
    <xf numFmtId="0" fontId="65" fillId="0" borderId="0" xfId="0" applyFont="1"/>
    <xf numFmtId="0" fontId="0" fillId="0" borderId="45" xfId="0" applyBorder="1"/>
    <xf numFmtId="0" fontId="64" fillId="0" borderId="0" xfId="0" applyFont="1"/>
    <xf numFmtId="3" fontId="53" fillId="0" borderId="38" xfId="0" applyNumberFormat="1" applyFont="1" applyBorder="1" applyAlignment="1">
      <alignment horizontal="center" vertical="center"/>
    </xf>
    <xf numFmtId="180" fontId="33" fillId="38" borderId="45" xfId="15" applyNumberFormat="1" applyFont="1" applyFill="1" applyBorder="1" applyAlignment="1">
      <alignment horizontal="center" vertical="center"/>
    </xf>
    <xf numFmtId="3" fontId="61" fillId="0" borderId="45" xfId="0" applyNumberFormat="1" applyFont="1" applyBorder="1" applyAlignment="1">
      <alignment horizontal="center" vertical="center"/>
    </xf>
    <xf numFmtId="3" fontId="61" fillId="38" borderId="45" xfId="0" applyNumberFormat="1" applyFont="1" applyFill="1" applyBorder="1" applyAlignment="1">
      <alignment horizontal="center" vertical="center"/>
    </xf>
    <xf numFmtId="1" fontId="58" fillId="0" borderId="45" xfId="0" applyNumberFormat="1" applyFont="1" applyBorder="1" applyAlignment="1">
      <alignment horizontal="center" vertical="center"/>
    </xf>
    <xf numFmtId="1" fontId="58" fillId="0" borderId="143" xfId="0" applyNumberFormat="1" applyFont="1" applyBorder="1" applyAlignment="1">
      <alignment horizontal="center" vertical="center"/>
    </xf>
    <xf numFmtId="1" fontId="58" fillId="0" borderId="134" xfId="0" applyNumberFormat="1" applyFont="1" applyBorder="1" applyAlignment="1">
      <alignment horizontal="center" vertical="center"/>
    </xf>
    <xf numFmtId="1" fontId="58" fillId="41" borderId="45" xfId="0" applyNumberFormat="1" applyFont="1" applyFill="1" applyBorder="1" applyAlignment="1">
      <alignment horizontal="center" vertical="center"/>
    </xf>
    <xf numFmtId="1" fontId="58" fillId="41" borderId="143" xfId="0" applyNumberFormat="1" applyFont="1" applyFill="1" applyBorder="1" applyAlignment="1">
      <alignment horizontal="center" vertical="center"/>
    </xf>
    <xf numFmtId="1" fontId="53" fillId="40" borderId="45" xfId="0" applyNumberFormat="1" applyFont="1" applyFill="1" applyBorder="1" applyAlignment="1">
      <alignment horizontal="center" vertical="center"/>
    </xf>
    <xf numFmtId="1" fontId="53" fillId="40" borderId="141" xfId="0" applyNumberFormat="1" applyFont="1" applyFill="1" applyBorder="1" applyAlignment="1">
      <alignment horizontal="center" vertical="center"/>
    </xf>
    <xf numFmtId="1" fontId="53" fillId="40" borderId="143" xfId="0" applyNumberFormat="1" applyFont="1" applyFill="1" applyBorder="1" applyAlignment="1">
      <alignment horizontal="center" vertical="center"/>
    </xf>
    <xf numFmtId="1" fontId="53" fillId="40" borderId="159" xfId="0" applyNumberFormat="1" applyFont="1" applyFill="1" applyBorder="1" applyAlignment="1">
      <alignment horizontal="center" vertical="center"/>
    </xf>
    <xf numFmtId="1" fontId="53" fillId="40" borderId="43" xfId="0" applyNumberFormat="1" applyFont="1" applyFill="1" applyBorder="1" applyAlignment="1">
      <alignment horizontal="center" vertical="center"/>
    </xf>
    <xf numFmtId="1" fontId="53" fillId="40" borderId="160" xfId="0" applyNumberFormat="1" applyFont="1" applyFill="1" applyBorder="1" applyAlignment="1">
      <alignment horizontal="center" vertical="center"/>
    </xf>
    <xf numFmtId="1" fontId="0" fillId="0" borderId="45" xfId="0" applyNumberFormat="1" applyBorder="1" applyAlignment="1">
      <alignment horizontal="center" vertical="center"/>
    </xf>
    <xf numFmtId="1" fontId="0" fillId="0" borderId="140" xfId="0" applyNumberFormat="1" applyBorder="1" applyAlignment="1">
      <alignment horizontal="center" vertical="center"/>
    </xf>
    <xf numFmtId="1" fontId="0" fillId="0" borderId="141" xfId="0" applyNumberFormat="1" applyBorder="1" applyAlignment="1">
      <alignment horizontal="center" vertical="center"/>
    </xf>
    <xf numFmtId="1" fontId="0" fillId="0" borderId="142" xfId="0" applyNumberFormat="1" applyBorder="1" applyAlignment="1">
      <alignment horizontal="center" vertical="center"/>
    </xf>
    <xf numFmtId="1" fontId="0" fillId="0" borderId="143" xfId="0" applyNumberFormat="1" applyBorder="1" applyAlignment="1">
      <alignment horizontal="center" vertical="center"/>
    </xf>
    <xf numFmtId="1" fontId="0" fillId="0" borderId="134" xfId="0" applyNumberFormat="1" applyBorder="1" applyAlignment="1">
      <alignment horizontal="center" vertical="center"/>
    </xf>
    <xf numFmtId="1" fontId="53" fillId="40" borderId="132" xfId="0" applyNumberFormat="1" applyFont="1" applyFill="1" applyBorder="1" applyAlignment="1">
      <alignment horizontal="center" vertical="center"/>
    </xf>
    <xf numFmtId="1" fontId="53" fillId="40" borderId="133" xfId="0" applyNumberFormat="1" applyFont="1" applyFill="1" applyBorder="1" applyAlignment="1">
      <alignment horizontal="center" vertical="center"/>
    </xf>
    <xf numFmtId="1" fontId="53" fillId="40" borderId="135" xfId="0" applyNumberFormat="1" applyFont="1" applyFill="1" applyBorder="1" applyAlignment="1">
      <alignment horizontal="center" vertical="center"/>
    </xf>
    <xf numFmtId="1" fontId="53" fillId="40" borderId="136" xfId="0" applyNumberFormat="1" applyFont="1" applyFill="1" applyBorder="1" applyAlignment="1">
      <alignment horizontal="center" vertical="center"/>
    </xf>
    <xf numFmtId="1" fontId="53" fillId="40" borderId="137" xfId="0" applyNumberFormat="1" applyFont="1" applyFill="1" applyBorder="1" applyAlignment="1">
      <alignment horizontal="center" vertical="center"/>
    </xf>
    <xf numFmtId="4" fontId="5" fillId="0" borderId="143" xfId="28" applyNumberFormat="1" applyBorder="1" applyAlignment="1">
      <alignment horizontal="center"/>
    </xf>
    <xf numFmtId="4" fontId="5" fillId="0" borderId="134" xfId="28" applyNumberFormat="1" applyBorder="1" applyAlignment="1">
      <alignment horizontal="center"/>
    </xf>
    <xf numFmtId="9" fontId="0" fillId="0" borderId="0" xfId="15" applyFont="1" applyBorder="1" applyAlignment="1">
      <alignment horizontal="left"/>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0" applyNumberFormat="1" applyFont="1" applyFill="1" applyAlignment="1">
      <alignment horizontal="center" vertical="center"/>
    </xf>
    <xf numFmtId="3" fontId="36" fillId="19" borderId="0" xfId="20"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82" fontId="23" fillId="0" borderId="0" xfId="0" applyNumberFormat="1" applyFont="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0" fontId="34" fillId="8" borderId="19" xfId="0" applyFont="1" applyFill="1" applyBorder="1" applyAlignment="1">
      <alignment horizontal="center" vertical="center" wrapText="1"/>
    </xf>
    <xf numFmtId="0" fontId="46" fillId="9" borderId="68" xfId="0" applyFont="1" applyFill="1" applyBorder="1" applyAlignment="1">
      <alignment horizontal="center" vertical="center" wrapText="1"/>
    </xf>
    <xf numFmtId="0" fontId="46" fillId="10" borderId="69" xfId="0" applyFont="1" applyFill="1" applyBorder="1" applyAlignment="1">
      <alignment horizontal="center" vertical="center" wrapText="1"/>
    </xf>
    <xf numFmtId="0" fontId="46" fillId="11" borderId="69" xfId="0" applyFont="1" applyFill="1" applyBorder="1" applyAlignment="1">
      <alignment horizontal="center" vertical="center" wrapText="1"/>
    </xf>
    <xf numFmtId="0" fontId="46" fillId="15" borderId="69" xfId="0" applyFont="1" applyFill="1" applyBorder="1" applyAlignment="1">
      <alignment horizontal="center" vertical="center" wrapText="1"/>
    </xf>
    <xf numFmtId="0" fontId="46" fillId="23" borderId="88" xfId="0" applyFont="1" applyFill="1" applyBorder="1" applyAlignment="1">
      <alignment horizontal="center" vertical="center" wrapText="1"/>
    </xf>
    <xf numFmtId="0" fontId="46" fillId="16" borderId="69" xfId="0" applyFont="1" applyFill="1" applyBorder="1" applyAlignment="1">
      <alignment horizontal="center" vertical="center" wrapText="1"/>
    </xf>
    <xf numFmtId="0" fontId="55"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3" xfId="0" applyNumberFormat="1" applyFont="1" applyBorder="1" applyAlignment="1">
      <alignment horizontal="center" vertical="center"/>
    </xf>
    <xf numFmtId="0" fontId="0" fillId="0" borderId="0" xfId="0" applyAlignment="1">
      <alignment horizontal="left"/>
    </xf>
    <xf numFmtId="2" fontId="8" fillId="24" borderId="51" xfId="0" applyNumberFormat="1" applyFont="1" applyFill="1" applyBorder="1" applyAlignment="1">
      <alignment horizontal="center"/>
    </xf>
    <xf numFmtId="2" fontId="33" fillId="24" borderId="51" xfId="15" applyNumberFormat="1" applyFont="1" applyFill="1" applyBorder="1" applyAlignment="1">
      <alignment horizontal="center"/>
    </xf>
    <xf numFmtId="0" fontId="8" fillId="7" borderId="161" xfId="0" applyFont="1" applyFill="1" applyBorder="1"/>
    <xf numFmtId="0" fontId="27" fillId="32" borderId="61" xfId="0" applyFont="1" applyFill="1" applyBorder="1" applyAlignment="1">
      <alignment horizontal="center"/>
    </xf>
    <xf numFmtId="0" fontId="13" fillId="0" borderId="61" xfId="0" applyFont="1" applyBorder="1" applyAlignment="1">
      <alignment horizontal="center"/>
    </xf>
    <xf numFmtId="2" fontId="33" fillId="24" borderId="61" xfId="15" applyNumberFormat="1" applyFont="1" applyFill="1" applyBorder="1" applyAlignment="1">
      <alignment horizontal="center"/>
    </xf>
    <xf numFmtId="10" fontId="63" fillId="8" borderId="61" xfId="0" applyNumberFormat="1" applyFont="1" applyFill="1" applyBorder="1" applyAlignment="1">
      <alignment horizontal="center"/>
    </xf>
    <xf numFmtId="0" fontId="8" fillId="0" borderId="0" xfId="0" applyFont="1" applyAlignment="1">
      <alignment horizontal="center"/>
    </xf>
    <xf numFmtId="10" fontId="8" fillId="0" borderId="113"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8" fillId="40" borderId="144" xfId="0" applyNumberFormat="1" applyFont="1" applyFill="1" applyBorder="1" applyAlignment="1">
      <alignment horizontal="center" vertical="center"/>
    </xf>
    <xf numFmtId="1" fontId="58" fillId="40" borderId="157" xfId="0" applyNumberFormat="1" applyFont="1" applyFill="1" applyBorder="1" applyAlignment="1">
      <alignment horizontal="center" vertical="center"/>
    </xf>
    <xf numFmtId="0" fontId="0" fillId="0" borderId="45" xfId="0" applyBorder="1" applyAlignment="1">
      <alignment horizontal="center"/>
    </xf>
    <xf numFmtId="179" fontId="0" fillId="0" borderId="45" xfId="0" applyNumberFormat="1" applyBorder="1" applyAlignment="1">
      <alignment horizontal="center"/>
    </xf>
    <xf numFmtId="180" fontId="64" fillId="0" borderId="45" xfId="15" applyNumberFormat="1" applyFont="1" applyBorder="1" applyAlignment="1">
      <alignment horizontal="center"/>
    </xf>
    <xf numFmtId="0" fontId="64" fillId="0" borderId="45" xfId="0" applyFont="1" applyBorder="1"/>
    <xf numFmtId="178" fontId="64" fillId="0" borderId="45" xfId="0" applyNumberFormat="1" applyFont="1" applyBorder="1" applyAlignment="1">
      <alignment horizontal="center"/>
    </xf>
    <xf numFmtId="9" fontId="0" fillId="0" borderId="0" xfId="15" applyFont="1" applyAlignment="1">
      <alignment horizontal="left"/>
    </xf>
    <xf numFmtId="0" fontId="53" fillId="0" borderId="162" xfId="0" applyFont="1" applyBorder="1"/>
    <xf numFmtId="0" fontId="53" fillId="0" borderId="35" xfId="0" applyFont="1" applyBorder="1"/>
    <xf numFmtId="1" fontId="53" fillId="40" borderId="111" xfId="0" applyNumberFormat="1" applyFont="1" applyFill="1" applyBorder="1" applyAlignment="1">
      <alignment horizontal="center" vertical="center"/>
    </xf>
    <xf numFmtId="1" fontId="53" fillId="40" borderId="164" xfId="0" applyNumberFormat="1" applyFont="1" applyFill="1" applyBorder="1" applyAlignment="1">
      <alignment horizontal="center" vertical="center"/>
    </xf>
    <xf numFmtId="3" fontId="58" fillId="41" borderId="165" xfId="0" applyNumberFormat="1" applyFont="1" applyFill="1" applyBorder="1" applyAlignment="1">
      <alignment horizontal="center" vertical="center"/>
    </xf>
    <xf numFmtId="3" fontId="58" fillId="41" borderId="3" xfId="0" applyNumberFormat="1" applyFont="1" applyFill="1" applyBorder="1" applyAlignment="1">
      <alignment horizontal="center" vertical="center"/>
    </xf>
    <xf numFmtId="3" fontId="58" fillId="41" borderId="34" xfId="0" applyNumberFormat="1" applyFont="1" applyFill="1" applyBorder="1" applyAlignment="1">
      <alignment horizontal="center" vertical="center"/>
    </xf>
    <xf numFmtId="3" fontId="59" fillId="12" borderId="0" xfId="0" applyNumberFormat="1" applyFont="1" applyFill="1" applyAlignment="1">
      <alignment horizontal="center" vertical="center"/>
    </xf>
    <xf numFmtId="3" fontId="59" fillId="12" borderId="166" xfId="0" applyNumberFormat="1" applyFont="1" applyFill="1" applyBorder="1" applyAlignment="1">
      <alignment horizontal="center" vertical="center"/>
    </xf>
    <xf numFmtId="1" fontId="58" fillId="41" borderId="43" xfId="0" applyNumberFormat="1" applyFont="1" applyFill="1" applyBorder="1" applyAlignment="1">
      <alignment horizontal="center" vertical="center"/>
    </xf>
    <xf numFmtId="1" fontId="58" fillId="0" borderId="43" xfId="0" applyNumberFormat="1" applyFont="1" applyBorder="1" applyAlignment="1">
      <alignment horizontal="center" vertical="center"/>
    </xf>
    <xf numFmtId="0" fontId="0" fillId="37" borderId="32" xfId="0" applyFill="1" applyBorder="1"/>
    <xf numFmtId="0" fontId="64" fillId="0" borderId="0" xfId="28" applyFont="1" applyAlignment="1">
      <alignment horizontal="center" vertical="center"/>
    </xf>
    <xf numFmtId="0" fontId="5" fillId="0" borderId="0" xfId="28"/>
    <xf numFmtId="0" fontId="5" fillId="0" borderId="36" xfId="28" applyBorder="1"/>
    <xf numFmtId="0" fontId="53" fillId="0" borderId="167" xfId="0" applyFont="1" applyBorder="1"/>
    <xf numFmtId="0" fontId="55" fillId="0" borderId="109" xfId="0" applyFont="1" applyBorder="1" applyAlignment="1">
      <alignment horizontal="center" vertical="center"/>
    </xf>
    <xf numFmtId="0" fontId="55" fillId="0" borderId="110" xfId="0" applyFont="1" applyBorder="1" applyAlignment="1">
      <alignment horizontal="center" vertical="center"/>
    </xf>
    <xf numFmtId="0" fontId="53" fillId="0" borderId="168" xfId="0" applyFont="1" applyBorder="1"/>
    <xf numFmtId="0" fontId="53" fillId="0" borderId="108" xfId="0" applyFont="1" applyBorder="1" applyAlignment="1">
      <alignment horizontal="center" vertical="center"/>
    </xf>
    <xf numFmtId="0" fontId="53" fillId="0" borderId="169" xfId="0" applyFont="1" applyBorder="1"/>
    <xf numFmtId="10" fontId="0" fillId="0" borderId="0" xfId="0" applyNumberFormat="1" applyAlignment="1">
      <alignment horizontal="center" vertical="center"/>
    </xf>
    <xf numFmtId="0" fontId="53" fillId="0" borderId="108" xfId="0" applyFont="1" applyBorder="1"/>
    <xf numFmtId="0" fontId="55" fillId="0" borderId="45" xfId="0" applyFont="1" applyBorder="1"/>
    <xf numFmtId="9" fontId="23" fillId="0" borderId="0" xfId="15" applyFont="1" applyAlignment="1">
      <alignment horizontal="center" vertical="center"/>
    </xf>
    <xf numFmtId="1" fontId="58" fillId="41" borderId="132" xfId="0" applyNumberFormat="1" applyFont="1" applyFill="1" applyBorder="1" applyAlignment="1">
      <alignment horizontal="center" vertical="center"/>
    </xf>
    <xf numFmtId="1" fontId="58" fillId="41" borderId="2" xfId="0" applyNumberFormat="1" applyFont="1" applyFill="1" applyBorder="1" applyAlignment="1">
      <alignment horizontal="center" vertical="center"/>
    </xf>
    <xf numFmtId="1" fontId="58" fillId="41" borderId="37" xfId="0" applyNumberFormat="1" applyFont="1" applyFill="1" applyBorder="1" applyAlignment="1">
      <alignment horizontal="center" vertical="center"/>
    </xf>
    <xf numFmtId="1" fontId="58" fillId="41" borderId="163" xfId="0" applyNumberFormat="1" applyFont="1" applyFill="1" applyBorder="1" applyAlignment="1">
      <alignment horizontal="center" vertical="center"/>
    </xf>
    <xf numFmtId="3" fontId="0" fillId="0" borderId="45" xfId="0" applyNumberFormat="1" applyBorder="1" applyAlignment="1">
      <alignment horizontal="center" vertical="center"/>
    </xf>
    <xf numFmtId="3" fontId="0" fillId="0" borderId="134" xfId="0" applyNumberFormat="1" applyBorder="1" applyAlignment="1">
      <alignment horizontal="center" vertical="center"/>
    </xf>
    <xf numFmtId="180" fontId="38" fillId="0" borderId="0" xfId="0" applyNumberFormat="1" applyFont="1"/>
    <xf numFmtId="1" fontId="53" fillId="40" borderId="171" xfId="0" applyNumberFormat="1" applyFont="1" applyFill="1" applyBorder="1" applyAlignment="1">
      <alignment horizontal="center" vertical="center"/>
    </xf>
    <xf numFmtId="0" fontId="53" fillId="40" borderId="37" xfId="0" applyFont="1" applyFill="1" applyBorder="1" applyAlignment="1">
      <alignment horizontal="center" vertical="center"/>
    </xf>
    <xf numFmtId="1" fontId="0" fillId="0" borderId="172" xfId="0" applyNumberFormat="1" applyBorder="1" applyAlignment="1">
      <alignment horizontal="center" vertical="center"/>
    </xf>
    <xf numFmtId="1" fontId="0" fillId="0" borderId="44" xfId="0" applyNumberFormat="1" applyBorder="1" applyAlignment="1">
      <alignment horizontal="center" vertical="center"/>
    </xf>
    <xf numFmtId="2" fontId="0" fillId="24" borderId="61" xfId="0" applyNumberFormat="1" applyFill="1" applyBorder="1" applyAlignment="1">
      <alignment horizontal="center"/>
    </xf>
    <xf numFmtId="10" fontId="0" fillId="8" borderId="23" xfId="24" applyNumberFormat="1" applyFont="1" applyFill="1" applyBorder="1" applyAlignment="1">
      <alignment horizontal="center"/>
    </xf>
    <xf numFmtId="180" fontId="0" fillId="8" borderId="23" xfId="24" applyNumberFormat="1" applyFont="1" applyFill="1" applyBorder="1" applyAlignment="1">
      <alignment horizontal="center"/>
    </xf>
    <xf numFmtId="180" fontId="0" fillId="8" borderId="23" xfId="15" quotePrefix="1" applyNumberFormat="1" applyFont="1" applyFill="1" applyBorder="1" applyAlignment="1">
      <alignment horizontal="center"/>
    </xf>
    <xf numFmtId="181" fontId="0" fillId="24" borderId="23" xfId="0" applyNumberFormat="1" applyFill="1" applyBorder="1" applyAlignment="1">
      <alignment horizontal="center"/>
    </xf>
    <xf numFmtId="181" fontId="0" fillId="24" borderId="23" xfId="15" applyNumberFormat="1" applyFont="1" applyFill="1" applyBorder="1" applyAlignment="1">
      <alignment horizontal="center"/>
    </xf>
    <xf numFmtId="180" fontId="0" fillId="24" borderId="23" xfId="15" applyNumberFormat="1" applyFont="1" applyFill="1" applyBorder="1" applyAlignment="1">
      <alignment horizontal="center"/>
    </xf>
    <xf numFmtId="2" fontId="0" fillId="24" borderId="23" xfId="15" applyNumberFormat="1" applyFont="1" applyFill="1" applyBorder="1" applyAlignment="1">
      <alignment horizontal="center"/>
    </xf>
    <xf numFmtId="0" fontId="0" fillId="0" borderId="22" xfId="0" quotePrefix="1" applyBorder="1"/>
    <xf numFmtId="4" fontId="0" fillId="8" borderId="23" xfId="0" applyNumberFormat="1" applyFill="1" applyBorder="1" applyAlignment="1">
      <alignment horizontal="center"/>
    </xf>
    <xf numFmtId="0" fontId="0" fillId="0" borderId="22" xfId="0" applyBorder="1"/>
    <xf numFmtId="0" fontId="0" fillId="0" borderId="57" xfId="0" applyBorder="1" applyAlignment="1">
      <alignment horizontal="center" vertical="center"/>
    </xf>
    <xf numFmtId="186" fontId="0" fillId="0" borderId="0" xfId="0" applyNumberFormat="1" applyAlignment="1">
      <alignment horizontal="center"/>
    </xf>
    <xf numFmtId="1" fontId="58" fillId="0" borderId="132" xfId="0" applyNumberFormat="1" applyFont="1" applyBorder="1" applyAlignment="1">
      <alignment horizontal="center" vertical="center"/>
    </xf>
    <xf numFmtId="1" fontId="58" fillId="0" borderId="2" xfId="0" applyNumberFormat="1" applyFont="1" applyBorder="1" applyAlignment="1">
      <alignment horizontal="center" vertical="center"/>
    </xf>
    <xf numFmtId="1" fontId="58" fillId="0" borderId="163" xfId="0" applyNumberFormat="1" applyFont="1" applyBorder="1" applyAlignment="1">
      <alignment horizontal="center" vertical="center"/>
    </xf>
    <xf numFmtId="1" fontId="8" fillId="0" borderId="165" xfId="0" applyNumberFormat="1" applyFont="1" applyBorder="1" applyAlignment="1">
      <alignment horizontal="center" vertical="center"/>
    </xf>
    <xf numFmtId="10" fontId="70" fillId="35" borderId="102" xfId="25" applyNumberFormat="1" applyFont="1" applyFill="1" applyBorder="1"/>
    <xf numFmtId="185" fontId="8" fillId="0" borderId="102" xfId="25" applyNumberFormat="1" applyBorder="1"/>
    <xf numFmtId="180" fontId="53" fillId="0" borderId="0" xfId="15" applyNumberFormat="1" applyFont="1"/>
    <xf numFmtId="3" fontId="68" fillId="38" borderId="45" xfId="0" quotePrefix="1" applyNumberFormat="1" applyFont="1" applyFill="1" applyBorder="1" applyAlignment="1">
      <alignment horizontal="center" vertical="center"/>
    </xf>
    <xf numFmtId="3" fontId="25" fillId="38" borderId="45" xfId="0" applyNumberFormat="1" applyFont="1" applyFill="1" applyBorder="1" applyAlignment="1">
      <alignment horizontal="center" vertical="center"/>
    </xf>
    <xf numFmtId="1" fontId="8" fillId="0" borderId="3" xfId="0" applyNumberFormat="1" applyFont="1" applyBorder="1" applyAlignment="1">
      <alignment horizontal="center" vertical="center"/>
    </xf>
    <xf numFmtId="1" fontId="8" fillId="0" borderId="34" xfId="0" applyNumberFormat="1" applyFont="1" applyBorder="1" applyAlignment="1">
      <alignment horizontal="center" vertical="center"/>
    </xf>
    <xf numFmtId="1" fontId="8" fillId="0" borderId="170" xfId="0" applyNumberFormat="1" applyFont="1" applyBorder="1" applyAlignment="1">
      <alignment horizontal="center" vertical="center"/>
    </xf>
    <xf numFmtId="0" fontId="65" fillId="0" borderId="0" xfId="0" applyFont="1" applyAlignment="1">
      <alignment horizontal="center"/>
    </xf>
    <xf numFmtId="1" fontId="65" fillId="0" borderId="0" xfId="0" applyNumberFormat="1" applyFont="1" applyAlignment="1">
      <alignment horizontal="center"/>
    </xf>
    <xf numFmtId="1" fontId="71" fillId="0" borderId="0" xfId="0" applyNumberFormat="1" applyFont="1" applyAlignment="1">
      <alignment horizontal="left"/>
    </xf>
    <xf numFmtId="0" fontId="8" fillId="0" borderId="0" xfId="25" applyAlignment="1">
      <alignment vertical="center" wrapText="1"/>
    </xf>
    <xf numFmtId="3" fontId="51" fillId="34" borderId="104" xfId="5" applyFont="1" applyFill="1" applyBorder="1" applyAlignment="1">
      <alignment horizontal="right" vertical="center" wrapText="1"/>
    </xf>
    <xf numFmtId="4" fontId="8" fillId="34" borderId="104" xfId="7" applyFont="1" applyFill="1" applyBorder="1" applyAlignment="1">
      <alignment horizontal="right" vertical="center" wrapText="1"/>
    </xf>
    <xf numFmtId="4" fontId="32" fillId="0" borderId="102" xfId="7" applyFont="1" applyFill="1" applyBorder="1" applyAlignment="1">
      <alignment horizontal="right" vertical="center" wrapText="1"/>
    </xf>
    <xf numFmtId="0" fontId="8" fillId="0" borderId="102" xfId="10" applyFont="1" applyFill="1" applyBorder="1" applyAlignment="1">
      <alignment horizontal="right" vertical="center" wrapText="1"/>
    </xf>
    <xf numFmtId="0" fontId="20" fillId="0" borderId="0" xfId="8" applyFill="1" applyBorder="1" applyAlignment="1">
      <alignment wrapText="1"/>
    </xf>
    <xf numFmtId="0" fontId="8" fillId="0" borderId="0" xfId="25" applyAlignment="1">
      <alignment wrapText="1"/>
    </xf>
    <xf numFmtId="0" fontId="0" fillId="0" borderId="0" xfId="0" applyAlignment="1">
      <alignment wrapText="1"/>
    </xf>
    <xf numFmtId="0" fontId="0" fillId="0" borderId="0" xfId="25" applyFont="1"/>
    <xf numFmtId="2" fontId="8" fillId="0" borderId="0" xfId="25" applyNumberFormat="1"/>
    <xf numFmtId="2" fontId="0" fillId="0" borderId="0" xfId="25" applyNumberFormat="1" applyFont="1"/>
    <xf numFmtId="0" fontId="58" fillId="0" borderId="0" xfId="0" applyFont="1"/>
    <xf numFmtId="0" fontId="58" fillId="0" borderId="0" xfId="0" applyFont="1" applyAlignment="1">
      <alignment horizontal="center"/>
    </xf>
    <xf numFmtId="179" fontId="8" fillId="0" borderId="0" xfId="0" applyNumberFormat="1" applyFont="1"/>
    <xf numFmtId="178" fontId="8" fillId="0" borderId="0" xfId="0" applyNumberFormat="1" applyFont="1"/>
    <xf numFmtId="179" fontId="26" fillId="0" borderId="0" xfId="0" applyNumberFormat="1" applyFont="1"/>
    <xf numFmtId="180" fontId="8" fillId="24" borderId="19" xfId="15" applyNumberFormat="1" applyFont="1" applyFill="1" applyBorder="1" applyAlignment="1">
      <alignment horizontal="center"/>
    </xf>
    <xf numFmtId="0" fontId="46" fillId="9" borderId="68" xfId="0" applyFont="1" applyFill="1" applyBorder="1" applyAlignment="1">
      <alignment horizontal="center" vertical="center"/>
    </xf>
    <xf numFmtId="0" fontId="46" fillId="31" borderId="68" xfId="0" applyFont="1" applyFill="1" applyBorder="1" applyAlignment="1">
      <alignment horizontal="center" vertical="center"/>
    </xf>
    <xf numFmtId="4" fontId="25" fillId="9" borderId="102" xfId="7" applyFont="1" applyFill="1" applyBorder="1" applyAlignment="1">
      <alignment horizontal="right" vertical="center"/>
    </xf>
    <xf numFmtId="0" fontId="27" fillId="32" borderId="10" xfId="0" applyFont="1" applyFill="1" applyBorder="1" applyAlignment="1">
      <alignment horizontal="center"/>
    </xf>
    <xf numFmtId="0" fontId="0" fillId="8" borderId="176" xfId="0" applyFill="1" applyBorder="1" applyAlignment="1">
      <alignment vertical="center" wrapText="1"/>
    </xf>
    <xf numFmtId="0" fontId="0" fillId="8" borderId="173" xfId="0" applyFill="1" applyBorder="1" applyAlignment="1">
      <alignment vertical="center" wrapText="1"/>
    </xf>
    <xf numFmtId="0" fontId="46" fillId="5" borderId="115" xfId="0" applyFont="1" applyFill="1" applyBorder="1" applyAlignment="1">
      <alignment horizontal="center"/>
    </xf>
    <xf numFmtId="0" fontId="27" fillId="32" borderId="176" xfId="0" applyFont="1" applyFill="1" applyBorder="1" applyAlignment="1">
      <alignment horizontal="center"/>
    </xf>
    <xf numFmtId="0" fontId="0" fillId="8" borderId="176" xfId="0" applyFill="1" applyBorder="1" applyAlignment="1">
      <alignment horizontal="left"/>
    </xf>
    <xf numFmtId="0" fontId="0" fillId="8" borderId="173" xfId="0" applyFill="1" applyBorder="1" applyAlignment="1">
      <alignment horizontal="left"/>
    </xf>
    <xf numFmtId="0" fontId="13" fillId="17" borderId="90" xfId="0" applyFont="1" applyFill="1" applyBorder="1" applyAlignment="1">
      <alignment horizontal="left" vertical="center"/>
    </xf>
    <xf numFmtId="184" fontId="0" fillId="17" borderId="86" xfId="0" applyNumberFormat="1" applyFill="1" applyBorder="1" applyAlignment="1">
      <alignment horizontal="center"/>
    </xf>
    <xf numFmtId="0" fontId="13" fillId="17" borderId="91" xfId="0" applyFont="1" applyFill="1" applyBorder="1" applyAlignment="1">
      <alignment horizontal="left" vertical="center"/>
    </xf>
    <xf numFmtId="9" fontId="0" fillId="17" borderId="87" xfId="15" applyFont="1" applyFill="1" applyBorder="1" applyAlignment="1">
      <alignment horizontal="center"/>
    </xf>
    <xf numFmtId="9" fontId="8" fillId="17" borderId="86" xfId="15" applyFont="1" applyFill="1" applyBorder="1" applyAlignment="1">
      <alignment horizontal="center"/>
    </xf>
    <xf numFmtId="2" fontId="0" fillId="17" borderId="87" xfId="0" applyNumberFormat="1" applyFill="1" applyBorder="1" applyAlignment="1">
      <alignment horizontal="center"/>
    </xf>
    <xf numFmtId="0" fontId="13" fillId="17" borderId="89" xfId="0" applyFont="1" applyFill="1" applyBorder="1" applyAlignment="1">
      <alignment horizontal="left" vertical="center"/>
    </xf>
    <xf numFmtId="2" fontId="0" fillId="17" borderId="85" xfId="0" applyNumberFormat="1" applyFill="1" applyBorder="1" applyAlignment="1">
      <alignment horizontal="center"/>
    </xf>
    <xf numFmtId="181" fontId="0" fillId="17" borderId="87" xfId="0" applyNumberFormat="1" applyFill="1" applyBorder="1" applyAlignment="1">
      <alignment horizontal="center"/>
    </xf>
    <xf numFmtId="9" fontId="0" fillId="0" borderId="85" xfId="15" applyFont="1" applyFill="1" applyBorder="1" applyAlignment="1">
      <alignment horizontal="center"/>
    </xf>
    <xf numFmtId="0" fontId="13" fillId="0" borderId="91" xfId="0" applyFont="1" applyBorder="1" applyAlignment="1">
      <alignment horizontal="left" vertical="center"/>
    </xf>
    <xf numFmtId="9" fontId="0" fillId="0" borderId="87" xfId="15" applyFont="1" applyFill="1" applyBorder="1" applyAlignment="1">
      <alignment horizontal="center"/>
    </xf>
    <xf numFmtId="2" fontId="0" fillId="0" borderId="85" xfId="0" applyNumberFormat="1" applyBorder="1" applyAlignment="1">
      <alignment horizontal="center"/>
    </xf>
    <xf numFmtId="0" fontId="13" fillId="0" borderId="90" xfId="0" applyFont="1" applyBorder="1" applyAlignment="1">
      <alignment horizontal="left" vertical="center"/>
    </xf>
    <xf numFmtId="2" fontId="0" fillId="0" borderId="87" xfId="0" applyNumberFormat="1" applyBorder="1" applyAlignment="1">
      <alignment horizontal="center"/>
    </xf>
    <xf numFmtId="2" fontId="0" fillId="17" borderId="86" xfId="0" applyNumberFormat="1" applyFill="1" applyBorder="1" applyAlignment="1">
      <alignment horizontal="center"/>
    </xf>
    <xf numFmtId="0" fontId="14" fillId="17" borderId="91" xfId="0" applyFont="1" applyFill="1" applyBorder="1" applyAlignment="1">
      <alignment horizontal="left" vertical="center"/>
    </xf>
    <xf numFmtId="2" fontId="0" fillId="17" borderId="87" xfId="15" applyNumberFormat="1" applyFont="1" applyFill="1" applyBorder="1" applyAlignment="1">
      <alignment horizontal="center"/>
    </xf>
    <xf numFmtId="187" fontId="0" fillId="17" borderId="87" xfId="0" applyNumberFormat="1" applyFill="1" applyBorder="1" applyAlignment="1">
      <alignment horizontal="center"/>
    </xf>
    <xf numFmtId="0" fontId="13" fillId="0" borderId="93" xfId="0" applyFont="1" applyBorder="1" applyAlignment="1">
      <alignment horizontal="left" vertical="center"/>
    </xf>
    <xf numFmtId="9" fontId="0" fillId="0" borderId="94" xfId="15" applyFont="1" applyFill="1" applyBorder="1" applyAlignment="1">
      <alignment horizontal="center"/>
    </xf>
    <xf numFmtId="10" fontId="8" fillId="0" borderId="86" xfId="15" applyNumberFormat="1" applyFont="1" applyFill="1" applyBorder="1" applyAlignment="1">
      <alignment horizontal="center"/>
    </xf>
    <xf numFmtId="10" fontId="0" fillId="0" borderId="86" xfId="15" applyNumberFormat="1" applyFont="1" applyFill="1" applyBorder="1" applyAlignment="1">
      <alignment horizontal="center"/>
    </xf>
    <xf numFmtId="181" fontId="0" fillId="0" borderId="86" xfId="0" applyNumberFormat="1" applyBorder="1" applyAlignment="1">
      <alignment horizontal="center"/>
    </xf>
    <xf numFmtId="181" fontId="8" fillId="0" borderId="85" xfId="0" applyNumberFormat="1" applyFont="1" applyBorder="1" applyAlignment="1">
      <alignment horizontal="center"/>
    </xf>
    <xf numFmtId="181" fontId="0" fillId="0" borderId="85" xfId="0" applyNumberFormat="1" applyBorder="1" applyAlignment="1">
      <alignment horizontal="center"/>
    </xf>
    <xf numFmtId="2" fontId="0" fillId="0" borderId="86" xfId="0" applyNumberFormat="1" applyBorder="1" applyAlignment="1">
      <alignment horizontal="center"/>
    </xf>
    <xf numFmtId="181" fontId="0" fillId="0" borderId="87" xfId="0" applyNumberFormat="1" applyBorder="1" applyAlignment="1">
      <alignment horizontal="center"/>
    </xf>
    <xf numFmtId="180" fontId="0" fillId="0" borderId="85" xfId="15" applyNumberFormat="1" applyFont="1" applyFill="1" applyBorder="1" applyAlignment="1">
      <alignment horizontal="center"/>
    </xf>
    <xf numFmtId="184" fontId="26" fillId="18" borderId="193" xfId="0" applyNumberFormat="1" applyFont="1" applyFill="1" applyBorder="1" applyAlignment="1">
      <alignment horizontal="center"/>
    </xf>
    <xf numFmtId="184" fontId="26" fillId="18" borderId="194" xfId="0" applyNumberFormat="1" applyFont="1" applyFill="1" applyBorder="1" applyAlignment="1">
      <alignment horizontal="center"/>
    </xf>
    <xf numFmtId="9" fontId="26" fillId="31" borderId="70" xfId="15" applyFont="1" applyFill="1" applyBorder="1" applyAlignment="1">
      <alignment horizontal="center" vertical="center"/>
    </xf>
    <xf numFmtId="9" fontId="26" fillId="18" borderId="193" xfId="15" applyFont="1" applyFill="1" applyBorder="1" applyAlignment="1">
      <alignment horizontal="center"/>
    </xf>
    <xf numFmtId="9" fontId="26" fillId="18" borderId="92" xfId="15" applyFont="1" applyFill="1" applyBorder="1" applyAlignment="1">
      <alignment horizontal="center"/>
    </xf>
    <xf numFmtId="9" fontId="26" fillId="18" borderId="194" xfId="15" applyFont="1" applyFill="1" applyBorder="1" applyAlignment="1">
      <alignment horizontal="center"/>
    </xf>
    <xf numFmtId="0" fontId="26" fillId="31" borderId="70" xfId="0" applyFont="1" applyFill="1" applyBorder="1" applyAlignment="1">
      <alignment horizontal="center" vertical="center"/>
    </xf>
    <xf numFmtId="2" fontId="26" fillId="18" borderId="92" xfId="0" applyNumberFormat="1" applyFont="1" applyFill="1" applyBorder="1" applyAlignment="1">
      <alignment horizontal="center"/>
    </xf>
    <xf numFmtId="2" fontId="26" fillId="18" borderId="194" xfId="0" applyNumberFormat="1" applyFont="1" applyFill="1" applyBorder="1" applyAlignment="1">
      <alignment horizontal="center"/>
    </xf>
    <xf numFmtId="2" fontId="26" fillId="31" borderId="70" xfId="15" applyNumberFormat="1" applyFont="1" applyFill="1" applyBorder="1" applyAlignment="1">
      <alignment horizontal="center" vertical="center"/>
    </xf>
    <xf numFmtId="2" fontId="26" fillId="18" borderId="193" xfId="0" applyNumberFormat="1" applyFont="1" applyFill="1" applyBorder="1" applyAlignment="1">
      <alignment horizontal="center"/>
    </xf>
    <xf numFmtId="10" fontId="26" fillId="31" borderId="70" xfId="0" applyNumberFormat="1" applyFont="1" applyFill="1" applyBorder="1" applyAlignment="1">
      <alignment horizontal="center" vertical="center"/>
    </xf>
    <xf numFmtId="183" fontId="26" fillId="31" borderId="70" xfId="18" applyNumberFormat="1" applyFont="1" applyFill="1" applyBorder="1" applyAlignment="1">
      <alignment horizontal="center" vertical="center"/>
    </xf>
    <xf numFmtId="2" fontId="26" fillId="18" borderId="92" xfId="15" applyNumberFormat="1" applyFont="1" applyFill="1" applyBorder="1" applyAlignment="1">
      <alignment horizontal="center"/>
    </xf>
    <xf numFmtId="0" fontId="26" fillId="31" borderId="70" xfId="0" applyFont="1" applyFill="1" applyBorder="1" applyAlignment="1">
      <alignment horizontal="center"/>
    </xf>
    <xf numFmtId="9" fontId="26" fillId="18" borderId="72" xfId="15" applyFont="1" applyFill="1" applyBorder="1" applyAlignment="1">
      <alignment horizontal="center"/>
    </xf>
    <xf numFmtId="0" fontId="13" fillId="0" borderId="82" xfId="0" applyFont="1" applyBorder="1" applyAlignment="1">
      <alignment horizontal="left"/>
    </xf>
    <xf numFmtId="3" fontId="53" fillId="0" borderId="132" xfId="0" applyNumberFormat="1" applyFont="1" applyBorder="1" applyAlignment="1">
      <alignment horizontal="center" vertical="center"/>
    </xf>
    <xf numFmtId="3" fontId="53" fillId="8" borderId="133" xfId="0" applyNumberFormat="1" applyFont="1" applyFill="1" applyBorder="1" applyAlignment="1">
      <alignment horizontal="center" vertical="center"/>
    </xf>
    <xf numFmtId="0" fontId="53" fillId="0" borderId="196" xfId="0" applyFont="1" applyBorder="1"/>
    <xf numFmtId="4" fontId="5" fillId="0" borderId="197" xfId="28" applyNumberFormat="1" applyBorder="1" applyAlignment="1">
      <alignment horizontal="center"/>
    </xf>
    <xf numFmtId="0" fontId="53" fillId="0" borderId="42" xfId="0" applyFont="1" applyBorder="1"/>
    <xf numFmtId="10" fontId="5" fillId="0" borderId="0" xfId="28" quotePrefix="1" applyNumberFormat="1" applyAlignment="1">
      <alignment horizontal="right"/>
    </xf>
    <xf numFmtId="3" fontId="58" fillId="41" borderId="170" xfId="0" applyNumberFormat="1" applyFont="1" applyFill="1" applyBorder="1" applyAlignment="1">
      <alignment horizontal="center" vertical="center"/>
    </xf>
    <xf numFmtId="1" fontId="53" fillId="40" borderId="198" xfId="0" applyNumberFormat="1" applyFont="1" applyFill="1" applyBorder="1" applyAlignment="1">
      <alignment horizontal="center" vertical="center"/>
    </xf>
    <xf numFmtId="1" fontId="53" fillId="40" borderId="3" xfId="0" applyNumberFormat="1" applyFont="1" applyFill="1" applyBorder="1" applyAlignment="1">
      <alignment horizontal="center" vertical="center"/>
    </xf>
    <xf numFmtId="1" fontId="53" fillId="40" borderId="34" xfId="0" applyNumberFormat="1" applyFont="1" applyFill="1" applyBorder="1" applyAlignment="1">
      <alignment horizontal="center" vertical="center"/>
    </xf>
    <xf numFmtId="1" fontId="0" fillId="0" borderId="165" xfId="0" applyNumberFormat="1" applyBorder="1" applyAlignment="1">
      <alignment horizontal="center" vertical="center"/>
    </xf>
    <xf numFmtId="1" fontId="0" fillId="0" borderId="3" xfId="0" applyNumberFormat="1" applyBorder="1" applyAlignment="1">
      <alignment horizontal="center" vertical="center"/>
    </xf>
    <xf numFmtId="1" fontId="0" fillId="0" borderId="170" xfId="0" applyNumberFormat="1" applyBorder="1" applyAlignment="1">
      <alignment horizontal="center" vertical="center"/>
    </xf>
    <xf numFmtId="1" fontId="0" fillId="0" borderId="35" xfId="0" applyNumberFormat="1" applyBorder="1" applyAlignment="1">
      <alignment horizontal="center" vertical="center"/>
    </xf>
    <xf numFmtId="1" fontId="53" fillId="0" borderId="132" xfId="0" applyNumberFormat="1" applyFont="1" applyBorder="1" applyAlignment="1">
      <alignment horizontal="center" vertical="center"/>
    </xf>
    <xf numFmtId="1" fontId="53" fillId="0" borderId="2" xfId="0" applyNumberFormat="1" applyFont="1" applyBorder="1" applyAlignment="1">
      <alignment horizontal="center" vertical="center"/>
    </xf>
    <xf numFmtId="1" fontId="53" fillId="0" borderId="163" xfId="0" applyNumberFormat="1" applyFont="1" applyBorder="1" applyAlignment="1">
      <alignment horizontal="center" vertical="center"/>
    </xf>
    <xf numFmtId="4" fontId="5" fillId="0" borderId="170" xfId="28" applyNumberFormat="1" applyBorder="1" applyAlignment="1">
      <alignment horizontal="center"/>
    </xf>
    <xf numFmtId="4" fontId="5" fillId="0" borderId="165" xfId="28" applyNumberFormat="1" applyBorder="1" applyAlignment="1">
      <alignment horizontal="center"/>
    </xf>
    <xf numFmtId="4" fontId="5" fillId="0" borderId="3" xfId="28" applyNumberFormat="1" applyBorder="1" applyAlignment="1">
      <alignment horizontal="center"/>
    </xf>
    <xf numFmtId="0" fontId="27" fillId="0" borderId="0" xfId="25" applyFont="1" applyAlignment="1">
      <alignment horizontal="center" vertical="center"/>
    </xf>
    <xf numFmtId="4" fontId="25" fillId="0" borderId="0" xfId="7" applyFont="1" applyFill="1" applyBorder="1">
      <alignment horizontal="right"/>
    </xf>
    <xf numFmtId="0" fontId="46" fillId="31" borderId="65" xfId="0" applyFont="1" applyFill="1" applyBorder="1" applyAlignment="1">
      <alignment horizontal="left" vertical="center"/>
    </xf>
    <xf numFmtId="10" fontId="0" fillId="0" borderId="50" xfId="0" applyNumberFormat="1" applyBorder="1" applyAlignment="1">
      <alignment horizontal="center" vertical="center"/>
    </xf>
    <xf numFmtId="0" fontId="13" fillId="8" borderId="93" xfId="0" applyFont="1" applyFill="1" applyBorder="1" applyAlignment="1">
      <alignment horizontal="left" vertical="center"/>
    </xf>
    <xf numFmtId="10" fontId="0" fillId="8" borderId="94" xfId="15" applyNumberFormat="1" applyFont="1" applyFill="1" applyBorder="1" applyAlignment="1">
      <alignment horizontal="center" vertical="center"/>
    </xf>
    <xf numFmtId="0" fontId="46" fillId="0" borderId="0" xfId="0" applyFont="1" applyAlignment="1">
      <alignment horizontal="left" vertical="center"/>
    </xf>
    <xf numFmtId="10" fontId="0" fillId="0" borderId="0" xfId="15" applyNumberFormat="1" applyFont="1" applyFill="1" applyBorder="1" applyAlignment="1">
      <alignment horizontal="center" vertical="center"/>
    </xf>
    <xf numFmtId="0" fontId="57" fillId="36" borderId="72" xfId="0" applyFont="1" applyFill="1" applyBorder="1" applyAlignment="1">
      <alignment horizontal="center" vertical="center"/>
    </xf>
    <xf numFmtId="184" fontId="0" fillId="0" borderId="193" xfId="0" applyNumberFormat="1" applyBorder="1" applyAlignment="1">
      <alignment horizontal="center"/>
    </xf>
    <xf numFmtId="184" fontId="0" fillId="17" borderId="194" xfId="0" applyNumberFormat="1" applyFill="1" applyBorder="1" applyAlignment="1">
      <alignment horizontal="center"/>
    </xf>
    <xf numFmtId="0" fontId="0" fillId="31" borderId="70" xfId="0" applyFill="1" applyBorder="1" applyAlignment="1">
      <alignment horizontal="center"/>
    </xf>
    <xf numFmtId="9" fontId="0" fillId="0" borderId="193" xfId="15" applyFont="1" applyFill="1" applyBorder="1" applyAlignment="1">
      <alignment horizontal="center"/>
    </xf>
    <xf numFmtId="9" fontId="0" fillId="17" borderId="92" xfId="15" applyFont="1" applyFill="1" applyBorder="1" applyAlignment="1">
      <alignment horizontal="center"/>
    </xf>
    <xf numFmtId="9" fontId="0" fillId="0" borderId="92" xfId="15" applyFont="1" applyFill="1" applyBorder="1" applyAlignment="1">
      <alignment horizontal="center"/>
    </xf>
    <xf numFmtId="9" fontId="0" fillId="17" borderId="194" xfId="15" applyFont="1" applyFill="1" applyBorder="1" applyAlignment="1">
      <alignment horizontal="center"/>
    </xf>
    <xf numFmtId="2" fontId="0" fillId="0" borderId="193" xfId="0" applyNumberFormat="1" applyBorder="1" applyAlignment="1">
      <alignment horizontal="center"/>
    </xf>
    <xf numFmtId="2" fontId="0" fillId="17" borderId="92" xfId="0" applyNumberFormat="1" applyFill="1" applyBorder="1" applyAlignment="1">
      <alignment horizontal="center"/>
    </xf>
    <xf numFmtId="2" fontId="0" fillId="0" borderId="194" xfId="0" applyNumberFormat="1" applyBorder="1" applyAlignment="1">
      <alignment horizontal="center"/>
    </xf>
    <xf numFmtId="2" fontId="0" fillId="17" borderId="193" xfId="0" applyNumberFormat="1" applyFill="1" applyBorder="1" applyAlignment="1">
      <alignment horizontal="center"/>
    </xf>
    <xf numFmtId="2" fontId="0" fillId="0" borderId="92" xfId="0" applyNumberFormat="1" applyBorder="1" applyAlignment="1">
      <alignment horizontal="center"/>
    </xf>
    <xf numFmtId="2" fontId="0" fillId="17" borderId="194" xfId="0" applyNumberFormat="1" applyFill="1" applyBorder="1" applyAlignment="1">
      <alignment horizontal="center"/>
    </xf>
    <xf numFmtId="181" fontId="0" fillId="0" borderId="193" xfId="0" applyNumberFormat="1" applyBorder="1" applyAlignment="1">
      <alignment horizontal="center"/>
    </xf>
    <xf numFmtId="181" fontId="0" fillId="17" borderId="92" xfId="0" applyNumberFormat="1" applyFill="1" applyBorder="1" applyAlignment="1">
      <alignment horizontal="center"/>
    </xf>
    <xf numFmtId="181" fontId="0" fillId="0" borderId="92" xfId="0" applyNumberFormat="1" applyBorder="1" applyAlignment="1">
      <alignment horizontal="center"/>
    </xf>
    <xf numFmtId="181" fontId="0" fillId="0" borderId="194" xfId="0" applyNumberFormat="1" applyBorder="1" applyAlignment="1">
      <alignment horizontal="center"/>
    </xf>
    <xf numFmtId="180" fontId="0" fillId="0" borderId="193" xfId="15" applyNumberFormat="1" applyFont="1" applyFill="1" applyBorder="1" applyAlignment="1">
      <alignment horizontal="center"/>
    </xf>
    <xf numFmtId="2" fontId="0" fillId="17" borderId="92" xfId="15" applyNumberFormat="1" applyFont="1" applyFill="1" applyBorder="1" applyAlignment="1">
      <alignment horizontal="center"/>
    </xf>
    <xf numFmtId="10" fontId="0" fillId="0" borderId="194" xfId="15" applyNumberFormat="1" applyFont="1" applyFill="1" applyBorder="1" applyAlignment="1">
      <alignment horizontal="center"/>
    </xf>
    <xf numFmtId="10" fontId="0" fillId="17" borderId="92" xfId="15" applyNumberFormat="1" applyFont="1" applyFill="1" applyBorder="1" applyAlignment="1">
      <alignment horizontal="center" vertical="center"/>
    </xf>
    <xf numFmtId="187" fontId="0" fillId="8" borderId="92" xfId="0" applyNumberFormat="1" applyFill="1" applyBorder="1" applyAlignment="1">
      <alignment horizontal="right" vertical="center"/>
    </xf>
    <xf numFmtId="187" fontId="0" fillId="17" borderId="92" xfId="0" applyNumberFormat="1" applyFill="1" applyBorder="1" applyAlignment="1">
      <alignment horizontal="center"/>
    </xf>
    <xf numFmtId="9" fontId="0" fillId="0" borderId="95" xfId="15" applyFont="1" applyFill="1" applyBorder="1" applyAlignment="1">
      <alignment horizontal="center"/>
    </xf>
    <xf numFmtId="0" fontId="73" fillId="36" borderId="70" xfId="0" applyFont="1" applyFill="1" applyBorder="1" applyAlignment="1">
      <alignment horizontal="center" vertical="center" wrapText="1"/>
    </xf>
    <xf numFmtId="0" fontId="27" fillId="5" borderId="202" xfId="25" applyFont="1" applyFill="1" applyBorder="1" applyAlignment="1">
      <alignment horizontal="center" vertical="center"/>
    </xf>
    <xf numFmtId="4" fontId="25" fillId="28" borderId="203" xfId="7" applyFont="1" applyFill="1" applyBorder="1">
      <alignment horizontal="right"/>
    </xf>
    <xf numFmtId="4" fontId="8" fillId="12" borderId="203" xfId="7" applyFont="1" applyFill="1" applyBorder="1">
      <alignment horizontal="right"/>
    </xf>
    <xf numFmtId="4" fontId="32" fillId="9" borderId="204" xfId="7" applyFont="1" applyFill="1" applyBorder="1">
      <alignment horizontal="right"/>
    </xf>
    <xf numFmtId="0" fontId="57" fillId="36" borderId="0" xfId="23" applyFont="1" applyFill="1"/>
    <xf numFmtId="0" fontId="74" fillId="36" borderId="0" xfId="23" applyFont="1" applyFill="1" applyAlignment="1">
      <alignment horizontal="left" vertical="center"/>
    </xf>
    <xf numFmtId="0" fontId="74" fillId="36" borderId="0" xfId="23" applyFont="1" applyFill="1" applyAlignment="1">
      <alignment horizontal="center" vertical="center"/>
    </xf>
    <xf numFmtId="0" fontId="8" fillId="31" borderId="0" xfId="23" applyFill="1"/>
    <xf numFmtId="0" fontId="8" fillId="0" borderId="0" xfId="23"/>
    <xf numFmtId="10" fontId="0" fillId="0" borderId="0" xfId="15" applyNumberFormat="1" applyFont="1" applyAlignment="1">
      <alignment horizontal="left"/>
    </xf>
    <xf numFmtId="0" fontId="13" fillId="0" borderId="0" xfId="23" applyFont="1"/>
    <xf numFmtId="0" fontId="8" fillId="8" borderId="0" xfId="23" applyFill="1"/>
    <xf numFmtId="0" fontId="38" fillId="0" borderId="0" xfId="23" applyFont="1"/>
    <xf numFmtId="10" fontId="8" fillId="8" borderId="0" xfId="23" applyNumberFormat="1" applyFill="1"/>
    <xf numFmtId="0" fontId="8" fillId="0" borderId="0" xfId="23" applyAlignment="1">
      <alignment horizontal="left"/>
    </xf>
    <xf numFmtId="0" fontId="13" fillId="0" borderId="0" xfId="23" applyFont="1" applyAlignment="1">
      <alignment horizontal="center"/>
    </xf>
    <xf numFmtId="10" fontId="75" fillId="0" borderId="0" xfId="23" applyNumberFormat="1" applyFont="1" applyAlignment="1">
      <alignment horizontal="center"/>
    </xf>
    <xf numFmtId="10" fontId="8" fillId="0" borderId="0" xfId="23" applyNumberFormat="1"/>
    <xf numFmtId="180" fontId="0" fillId="0" borderId="0" xfId="15" applyNumberFormat="1" applyFont="1"/>
    <xf numFmtId="0" fontId="49" fillId="31" borderId="0" xfId="23" applyFont="1" applyFill="1"/>
    <xf numFmtId="180" fontId="38" fillId="0" borderId="0" xfId="23" applyNumberFormat="1" applyFont="1"/>
    <xf numFmtId="0" fontId="0" fillId="7" borderId="0" xfId="0" applyFill="1"/>
    <xf numFmtId="0" fontId="27" fillId="32" borderId="213" xfId="0" applyFont="1" applyFill="1" applyBorder="1" applyAlignment="1">
      <alignment horizontal="center"/>
    </xf>
    <xf numFmtId="0" fontId="0" fillId="0" borderId="213" xfId="0" applyBorder="1" applyAlignment="1">
      <alignment horizontal="center"/>
    </xf>
    <xf numFmtId="0" fontId="27" fillId="11" borderId="65" xfId="0" applyFont="1" applyFill="1" applyBorder="1" applyAlignment="1">
      <alignment horizontal="center" vertical="center" wrapText="1"/>
    </xf>
    <xf numFmtId="0" fontId="56" fillId="0" borderId="0" xfId="23" applyFont="1" applyAlignment="1">
      <alignment horizontal="center"/>
    </xf>
    <xf numFmtId="0" fontId="8" fillId="24" borderId="0" xfId="0" applyFont="1" applyFill="1" applyAlignment="1">
      <alignment horizontal="center" vertical="center"/>
    </xf>
    <xf numFmtId="188" fontId="76" fillId="45" borderId="0" xfId="15" applyNumberFormat="1" applyFont="1" applyFill="1" applyBorder="1" applyAlignment="1">
      <alignment horizontal="center"/>
    </xf>
    <xf numFmtId="0" fontId="57" fillId="0" borderId="0" xfId="23" applyFont="1"/>
    <xf numFmtId="0" fontId="74" fillId="0" borderId="0" xfId="23" applyFont="1" applyAlignment="1">
      <alignment horizontal="center" vertical="center"/>
    </xf>
    <xf numFmtId="0" fontId="75" fillId="0" borderId="0" xfId="0" applyFont="1" applyAlignment="1">
      <alignment horizontal="center"/>
    </xf>
    <xf numFmtId="0" fontId="8" fillId="8" borderId="0" xfId="23" applyFill="1" applyAlignment="1">
      <alignment horizontal="center" vertical="center"/>
    </xf>
    <xf numFmtId="0" fontId="13" fillId="8" borderId="0" xfId="23" applyFont="1" applyFill="1" applyAlignment="1">
      <alignment horizontal="center" vertical="center"/>
    </xf>
    <xf numFmtId="0" fontId="8" fillId="0" borderId="0" xfId="23" applyAlignment="1">
      <alignment horizontal="center" vertical="center"/>
    </xf>
    <xf numFmtId="0" fontId="78" fillId="5" borderId="102" xfId="4" applyFont="1" applyFill="1" applyBorder="1" applyAlignment="1">
      <alignment horizontal="center" vertical="center"/>
    </xf>
    <xf numFmtId="0" fontId="46" fillId="23" borderId="69" xfId="0" applyFont="1" applyFill="1" applyBorder="1" applyAlignment="1">
      <alignment horizontal="center" vertical="center" wrapText="1"/>
    </xf>
    <xf numFmtId="0" fontId="46" fillId="16" borderId="70" xfId="0" applyFont="1" applyFill="1" applyBorder="1" applyAlignment="1">
      <alignment horizontal="center" vertical="center" wrapText="1"/>
    </xf>
    <xf numFmtId="0" fontId="0" fillId="0" borderId="109" xfId="0" applyBorder="1" applyAlignment="1">
      <alignment horizontal="center"/>
    </xf>
    <xf numFmtId="0" fontId="64" fillId="35" borderId="108" xfId="0" applyFont="1" applyFill="1" applyBorder="1" applyAlignment="1">
      <alignment horizontal="center" vertical="center"/>
    </xf>
    <xf numFmtId="9" fontId="64" fillId="35" borderId="111" xfId="15" applyFont="1" applyFill="1" applyBorder="1" applyAlignment="1">
      <alignment horizontal="center" vertical="center" wrapText="1"/>
    </xf>
    <xf numFmtId="0" fontId="64" fillId="35" borderId="111" xfId="15" applyNumberFormat="1" applyFont="1" applyFill="1" applyBorder="1" applyAlignment="1">
      <alignment horizontal="center" vertical="center" wrapText="1"/>
    </xf>
    <xf numFmtId="189" fontId="64" fillId="35" borderId="111" xfId="15" applyNumberFormat="1" applyFont="1" applyFill="1" applyBorder="1" applyAlignment="1">
      <alignment horizontal="center" vertical="center" wrapText="1"/>
    </xf>
    <xf numFmtId="9" fontId="64" fillId="35" borderId="108" xfId="15" applyFont="1" applyFill="1" applyBorder="1" applyAlignment="1">
      <alignment horizontal="center" vertical="center" wrapText="1"/>
    </xf>
    <xf numFmtId="0" fontId="64" fillId="35" borderId="108" xfId="0" applyFont="1" applyFill="1" applyBorder="1" applyAlignment="1">
      <alignment horizontal="center" vertical="center" wrapText="1"/>
    </xf>
    <xf numFmtId="0" fontId="0" fillId="8" borderId="0" xfId="0" applyFill="1" applyAlignment="1">
      <alignment horizontal="center" vertical="center"/>
    </xf>
    <xf numFmtId="0" fontId="0" fillId="0" borderId="0" xfId="0" applyAlignment="1">
      <alignment vertical="center"/>
    </xf>
    <xf numFmtId="0" fontId="0" fillId="0" borderId="45" xfId="0" applyBorder="1" applyAlignment="1">
      <alignment horizontal="center" vertical="center"/>
    </xf>
    <xf numFmtId="2" fontId="0" fillId="0" borderId="45" xfId="0" applyNumberFormat="1" applyBorder="1" applyAlignment="1">
      <alignment horizontal="center" vertical="center"/>
    </xf>
    <xf numFmtId="0" fontId="81" fillId="0" borderId="45" xfId="0" applyFont="1" applyBorder="1" applyAlignment="1">
      <alignment horizontal="center" vertical="center"/>
    </xf>
    <xf numFmtId="9" fontId="77" fillId="35" borderId="45" xfId="15" applyFont="1" applyFill="1" applyBorder="1" applyAlignment="1">
      <alignment horizontal="center" vertical="center" wrapText="1"/>
    </xf>
    <xf numFmtId="0" fontId="13" fillId="0" borderId="0" xfId="0" applyFont="1" applyAlignment="1">
      <alignment horizontal="left" vertical="center"/>
    </xf>
    <xf numFmtId="0" fontId="26" fillId="8" borderId="0" xfId="0" applyFont="1" applyFill="1" applyAlignment="1">
      <alignment horizontal="center" vertical="center"/>
    </xf>
    <xf numFmtId="0" fontId="79" fillId="32" borderId="108" xfId="0" applyFont="1" applyFill="1" applyBorder="1" applyAlignment="1">
      <alignment horizontal="left" vertical="center"/>
    </xf>
    <xf numFmtId="0" fontId="0" fillId="0" borderId="109" xfId="0" applyBorder="1" applyAlignment="1">
      <alignment horizontal="center" vertical="center"/>
    </xf>
    <xf numFmtId="0" fontId="0" fillId="0" borderId="108" xfId="0" applyBorder="1" applyAlignment="1">
      <alignment horizontal="center" vertical="center"/>
    </xf>
    <xf numFmtId="0" fontId="27" fillId="32" borderId="0" xfId="0" applyFont="1" applyFill="1" applyAlignment="1">
      <alignment vertical="center"/>
    </xf>
    <xf numFmtId="0" fontId="0" fillId="0" borderId="167" xfId="0" applyBorder="1" applyAlignment="1">
      <alignment horizontal="center" vertical="center"/>
    </xf>
    <xf numFmtId="0" fontId="0" fillId="0" borderId="221" xfId="0" applyBorder="1" applyAlignment="1">
      <alignment horizontal="center" vertical="center"/>
    </xf>
    <xf numFmtId="0" fontId="0" fillId="0" borderId="112" xfId="0" applyBorder="1" applyAlignment="1">
      <alignment horizontal="center" vertical="center"/>
    </xf>
    <xf numFmtId="0" fontId="79" fillId="32" borderId="0" xfId="0" applyFont="1" applyFill="1" applyAlignment="1">
      <alignment horizontal="left" vertical="center"/>
    </xf>
    <xf numFmtId="0" fontId="0" fillId="0" borderId="223" xfId="0" applyBorder="1" applyAlignment="1">
      <alignment horizontal="center" vertical="center"/>
    </xf>
    <xf numFmtId="0" fontId="0" fillId="0" borderId="111" xfId="0" applyBorder="1" applyAlignment="1">
      <alignment horizontal="center" vertical="center"/>
    </xf>
    <xf numFmtId="0" fontId="0" fillId="0" borderId="171" xfId="0" applyBorder="1" applyAlignment="1">
      <alignment horizontal="center" vertical="center"/>
    </xf>
    <xf numFmtId="0" fontId="27" fillId="32" borderId="171" xfId="0" applyFont="1" applyFill="1" applyBorder="1" applyAlignment="1">
      <alignment vertical="center"/>
    </xf>
    <xf numFmtId="9" fontId="64" fillId="12" borderId="108" xfId="15" applyFont="1" applyFill="1" applyBorder="1" applyAlignment="1">
      <alignment horizontal="center" vertical="center" wrapText="1"/>
    </xf>
    <xf numFmtId="0" fontId="64" fillId="12" borderId="108" xfId="15" applyNumberFormat="1" applyFont="1" applyFill="1" applyBorder="1" applyAlignment="1">
      <alignment horizontal="center" vertical="center" wrapText="1"/>
    </xf>
    <xf numFmtId="9" fontId="77" fillId="12" borderId="45" xfId="15" applyFont="1" applyFill="1" applyBorder="1" applyAlignment="1">
      <alignment horizontal="center" vertical="center" wrapText="1"/>
    </xf>
    <xf numFmtId="3" fontId="1" fillId="42" borderId="43" xfId="29" applyNumberFormat="1" applyFont="1" applyFill="1" applyBorder="1" applyAlignment="1">
      <alignment horizontal="center" vertical="center"/>
    </xf>
    <xf numFmtId="190" fontId="8" fillId="0" borderId="87" xfId="0" applyNumberFormat="1" applyFont="1" applyBorder="1" applyAlignment="1">
      <alignment horizontal="center"/>
    </xf>
    <xf numFmtId="9" fontId="8" fillId="0" borderId="97" xfId="15" applyFont="1" applyBorder="1" applyAlignment="1">
      <alignment horizontal="center" vertical="center"/>
    </xf>
    <xf numFmtId="9" fontId="8" fillId="17" borderId="87" xfId="15" applyFont="1" applyFill="1" applyBorder="1" applyAlignment="1">
      <alignment horizontal="center" vertical="center"/>
    </xf>
    <xf numFmtId="10" fontId="35" fillId="19" borderId="0" xfId="15" applyNumberFormat="1" applyFont="1" applyFill="1" applyAlignment="1">
      <alignment horizontal="center"/>
    </xf>
    <xf numFmtId="180" fontId="35" fillId="19" borderId="0" xfId="15" applyNumberFormat="1" applyFont="1" applyFill="1" applyAlignment="1">
      <alignment horizontal="center"/>
    </xf>
    <xf numFmtId="10" fontId="35" fillId="19" borderId="0" xfId="0" applyNumberFormat="1" applyFont="1" applyFill="1" applyAlignment="1">
      <alignment horizontal="center"/>
    </xf>
    <xf numFmtId="0" fontId="1" fillId="0" borderId="45" xfId="0" applyFont="1" applyBorder="1"/>
    <xf numFmtId="178" fontId="1" fillId="0" borderId="45" xfId="0" applyNumberFormat="1" applyFont="1" applyBorder="1" applyAlignment="1">
      <alignment horizontal="center"/>
    </xf>
    <xf numFmtId="178" fontId="1" fillId="0" borderId="0" xfId="0" applyNumberFormat="1" applyFont="1" applyAlignment="1">
      <alignment horizontal="center"/>
    </xf>
    <xf numFmtId="4" fontId="5" fillId="0" borderId="163" xfId="28" applyNumberFormat="1" applyBorder="1" applyAlignment="1">
      <alignment horizontal="center"/>
    </xf>
    <xf numFmtId="3" fontId="5" fillId="0" borderId="143" xfId="28" applyNumberFormat="1" applyBorder="1" applyAlignment="1">
      <alignment horizontal="center"/>
    </xf>
    <xf numFmtId="3" fontId="5" fillId="0" borderId="45" xfId="28" applyNumberFormat="1" applyBorder="1" applyAlignment="1">
      <alignment horizontal="center"/>
    </xf>
    <xf numFmtId="3" fontId="5" fillId="0" borderId="134" xfId="28" applyNumberFormat="1" applyBorder="1" applyAlignment="1">
      <alignment horizontal="center"/>
    </xf>
    <xf numFmtId="1" fontId="53" fillId="0" borderId="140" xfId="0" applyNumberFormat="1" applyFont="1" applyBorder="1" applyAlignment="1">
      <alignment horizontal="center" vertical="center"/>
    </xf>
    <xf numFmtId="1" fontId="53" fillId="0" borderId="141" xfId="0" applyNumberFormat="1" applyFont="1" applyBorder="1" applyAlignment="1">
      <alignment horizontal="center" vertical="center"/>
    </xf>
    <xf numFmtId="1" fontId="53" fillId="0" borderId="142" xfId="0" applyNumberFormat="1" applyFont="1" applyBorder="1" applyAlignment="1">
      <alignment horizontal="center" vertical="center"/>
    </xf>
    <xf numFmtId="4" fontId="5" fillId="0" borderId="144" xfId="28" applyNumberFormat="1" applyBorder="1" applyAlignment="1">
      <alignment horizontal="center"/>
    </xf>
    <xf numFmtId="4" fontId="5" fillId="0" borderId="157" xfId="28" applyNumberFormat="1" applyBorder="1" applyAlignment="1">
      <alignment horizontal="center"/>
    </xf>
    <xf numFmtId="4" fontId="5" fillId="0" borderId="158" xfId="28" applyNumberFormat="1" applyBorder="1" applyAlignment="1">
      <alignment horizontal="center"/>
    </xf>
    <xf numFmtId="0" fontId="53" fillId="0" borderId="0" xfId="0" applyFont="1" applyAlignment="1">
      <alignment horizontal="center" vertical="center"/>
    </xf>
    <xf numFmtId="0" fontId="8" fillId="0" borderId="0" xfId="23" applyAlignment="1">
      <alignment horizontal="center"/>
    </xf>
    <xf numFmtId="0" fontId="64" fillId="0" borderId="45" xfId="28" applyFont="1" applyBorder="1"/>
    <xf numFmtId="0" fontId="13" fillId="0" borderId="45" xfId="0" applyFont="1" applyBorder="1"/>
    <xf numFmtId="0" fontId="82" fillId="0" borderId="0" xfId="0" applyFont="1"/>
    <xf numFmtId="0" fontId="83" fillId="0" borderId="0" xfId="0" applyFont="1"/>
    <xf numFmtId="0" fontId="84" fillId="46" borderId="227" xfId="0" applyFont="1" applyFill="1" applyBorder="1" applyAlignment="1">
      <alignment horizontal="left"/>
    </xf>
    <xf numFmtId="0" fontId="84" fillId="46" borderId="227" xfId="0" applyFont="1" applyFill="1" applyBorder="1" applyAlignment="1">
      <alignment horizontal="right"/>
    </xf>
    <xf numFmtId="0" fontId="64" fillId="47" borderId="228" xfId="0" applyFont="1" applyFill="1" applyBorder="1" applyAlignment="1">
      <alignment horizontal="left"/>
    </xf>
    <xf numFmtId="0" fontId="77" fillId="48" borderId="229" xfId="0" applyFont="1" applyFill="1" applyBorder="1" applyAlignment="1">
      <alignment horizontal="center" vertical="top"/>
    </xf>
    <xf numFmtId="0" fontId="85" fillId="49" borderId="229" xfId="0" applyFont="1" applyFill="1" applyBorder="1" applyAlignment="1">
      <alignment horizontal="center" vertical="top"/>
    </xf>
    <xf numFmtId="0" fontId="86" fillId="50" borderId="229" xfId="0" applyFont="1" applyFill="1" applyBorder="1" applyAlignment="1">
      <alignment horizontal="center" vertical="top"/>
    </xf>
    <xf numFmtId="0" fontId="83" fillId="47" borderId="230" xfId="0" applyFont="1" applyFill="1" applyBorder="1" applyAlignment="1">
      <alignment horizontal="right"/>
    </xf>
    <xf numFmtId="38" fontId="83" fillId="47" borderId="231" xfId="0" applyNumberFormat="1" applyFont="1" applyFill="1" applyBorder="1" applyAlignment="1">
      <alignment horizontal="right"/>
    </xf>
    <xf numFmtId="0" fontId="83" fillId="51" borderId="0" xfId="0" applyFont="1" applyFill="1" applyAlignment="1">
      <alignment horizontal="left"/>
    </xf>
    <xf numFmtId="0" fontId="83" fillId="52" borderId="230" xfId="0" applyFont="1" applyFill="1" applyBorder="1" applyAlignment="1">
      <alignment horizontal="left"/>
    </xf>
    <xf numFmtId="191" fontId="83" fillId="52" borderId="231" xfId="0" applyNumberFormat="1" applyFont="1" applyFill="1" applyBorder="1" applyAlignment="1">
      <alignment horizontal="right" wrapText="1"/>
    </xf>
    <xf numFmtId="0" fontId="83" fillId="53" borderId="230" xfId="0" applyFont="1" applyFill="1" applyBorder="1" applyAlignment="1">
      <alignment horizontal="left" indent="2"/>
    </xf>
    <xf numFmtId="191" fontId="83" fillId="47" borderId="231" xfId="0" applyNumberFormat="1" applyFont="1" applyFill="1" applyBorder="1" applyAlignment="1">
      <alignment horizontal="right" wrapText="1"/>
    </xf>
    <xf numFmtId="0" fontId="83" fillId="0" borderId="230" xfId="0" applyFont="1" applyBorder="1" applyAlignment="1">
      <alignment horizontal="left"/>
    </xf>
    <xf numFmtId="191" fontId="83" fillId="0" borderId="231" xfId="0" applyNumberFormat="1" applyFont="1" applyBorder="1" applyAlignment="1">
      <alignment horizontal="right" wrapText="1"/>
    </xf>
    <xf numFmtId="0" fontId="83" fillId="0" borderId="231" xfId="0" applyFont="1" applyBorder="1" applyAlignment="1">
      <alignment horizontal="left" wrapText="1"/>
    </xf>
    <xf numFmtId="38" fontId="83" fillId="0" borderId="231" xfId="0" applyNumberFormat="1" applyFont="1" applyBorder="1" applyAlignment="1">
      <alignment horizontal="right" wrapText="1"/>
    </xf>
    <xf numFmtId="0" fontId="83" fillId="0" borderId="0" xfId="0" applyFont="1" applyAlignment="1">
      <alignment wrapText="1"/>
    </xf>
    <xf numFmtId="40" fontId="83" fillId="0" borderId="231" xfId="0" applyNumberFormat="1" applyFont="1" applyBorder="1" applyAlignment="1">
      <alignment horizontal="right" wrapText="1"/>
    </xf>
    <xf numFmtId="0" fontId="0" fillId="51" borderId="0" xfId="0" applyFill="1" applyAlignment="1">
      <alignment horizontal="left" wrapText="1"/>
    </xf>
    <xf numFmtId="38" fontId="83" fillId="47" borderId="231" xfId="0" applyNumberFormat="1" applyFont="1" applyFill="1" applyBorder="1" applyAlignment="1">
      <alignment horizontal="right" wrapText="1"/>
    </xf>
    <xf numFmtId="38" fontId="83" fillId="47" borderId="0" xfId="0" applyNumberFormat="1" applyFont="1" applyFill="1" applyAlignment="1">
      <alignment horizontal="right" wrapText="1"/>
    </xf>
    <xf numFmtId="0" fontId="87" fillId="8" borderId="23" xfId="0" applyFont="1" applyFill="1" applyBorder="1" applyAlignment="1">
      <alignment horizontal="left" vertical="center" wrapText="1"/>
    </xf>
    <xf numFmtId="10" fontId="8" fillId="54" borderId="19" xfId="0" applyNumberFormat="1" applyFont="1" applyFill="1" applyBorder="1" applyAlignment="1">
      <alignment horizontal="center"/>
    </xf>
    <xf numFmtId="182" fontId="34" fillId="3" borderId="102" xfId="6" applyFont="1" applyBorder="1" applyAlignment="1">
      <alignment horizontal="right" vertical="center" wrapText="1"/>
    </xf>
    <xf numFmtId="4" fontId="34" fillId="8" borderId="102" xfId="7" applyFont="1" applyFill="1" applyBorder="1" applyAlignment="1">
      <alignment horizontal="right" vertical="center" wrapText="1"/>
    </xf>
    <xf numFmtId="4" fontId="34" fillId="0" borderId="102" xfId="7" applyFont="1" applyFill="1" applyBorder="1" applyAlignment="1">
      <alignment horizontal="right" vertical="center" wrapText="1"/>
    </xf>
    <xf numFmtId="4" fontId="8" fillId="3" borderId="249" xfId="7" applyFont="1" applyBorder="1" applyAlignment="1">
      <alignment horizontal="right" vertical="center" wrapText="1"/>
    </xf>
    <xf numFmtId="4" fontId="8" fillId="3" borderId="250" xfId="7" applyFont="1" applyBorder="1" applyAlignment="1">
      <alignment horizontal="right" vertical="center" wrapText="1"/>
    </xf>
    <xf numFmtId="192" fontId="0" fillId="0" borderId="87" xfId="0" applyNumberFormat="1" applyBorder="1" applyAlignment="1">
      <alignment horizontal="center"/>
    </xf>
    <xf numFmtId="192" fontId="0" fillId="32" borderId="87" xfId="0" applyNumberFormat="1" applyFill="1" applyBorder="1"/>
    <xf numFmtId="192" fontId="0" fillId="0" borderId="94" xfId="0" applyNumberFormat="1" applyBorder="1" applyAlignment="1">
      <alignment horizontal="center"/>
    </xf>
    <xf numFmtId="192" fontId="0" fillId="24" borderId="87" xfId="0" applyNumberFormat="1" applyFill="1" applyBorder="1" applyAlignment="1">
      <alignment horizontal="center"/>
    </xf>
    <xf numFmtId="192" fontId="0" fillId="0" borderId="92" xfId="0" applyNumberFormat="1" applyBorder="1" applyAlignment="1">
      <alignment horizontal="center"/>
    </xf>
    <xf numFmtId="192" fontId="34" fillId="24" borderId="87" xfId="0" applyNumberFormat="1" applyFont="1" applyFill="1" applyBorder="1" applyAlignment="1">
      <alignment horizontal="center"/>
    </xf>
    <xf numFmtId="192" fontId="0" fillId="0" borderId="87" xfId="0" applyNumberFormat="1" applyBorder="1" applyAlignment="1">
      <alignment horizontal="center" wrapText="1"/>
    </xf>
    <xf numFmtId="192" fontId="0" fillId="32" borderId="92" xfId="0" applyNumberFormat="1" applyFill="1" applyBorder="1"/>
    <xf numFmtId="192" fontId="0" fillId="24" borderId="94" xfId="0" applyNumberFormat="1" applyFill="1" applyBorder="1" applyAlignment="1">
      <alignment horizontal="center"/>
    </xf>
    <xf numFmtId="192" fontId="0" fillId="0" borderId="95" xfId="0" applyNumberFormat="1" applyBorder="1" applyAlignment="1">
      <alignment horizontal="center"/>
    </xf>
    <xf numFmtId="0" fontId="89" fillId="0" borderId="0" xfId="0" applyFont="1"/>
    <xf numFmtId="4" fontId="90" fillId="0" borderId="0" xfId="0" applyNumberFormat="1" applyFont="1" applyAlignment="1">
      <alignment wrapText="1"/>
    </xf>
    <xf numFmtId="193" fontId="8" fillId="0" borderId="102" xfId="25" applyNumberFormat="1" applyBorder="1"/>
    <xf numFmtId="191" fontId="83" fillId="0" borderId="231" xfId="0" applyNumberFormat="1" applyFont="1" applyBorder="1" applyAlignment="1">
      <alignment horizontal="right"/>
    </xf>
    <xf numFmtId="10" fontId="8" fillId="0" borderId="222" xfId="0" applyNumberFormat="1" applyFont="1" applyBorder="1"/>
    <xf numFmtId="0" fontId="75" fillId="0" borderId="0" xfId="0" applyFont="1"/>
    <xf numFmtId="0" fontId="0" fillId="0" borderId="251" xfId="0" applyBorder="1"/>
    <xf numFmtId="10" fontId="0" fillId="0" borderId="252" xfId="0" applyNumberFormat="1" applyBorder="1"/>
    <xf numFmtId="10" fontId="8" fillId="0" borderId="223" xfId="0" applyNumberFormat="1" applyFont="1" applyBorder="1"/>
    <xf numFmtId="0" fontId="0" fillId="0" borderId="253" xfId="0" applyBorder="1"/>
    <xf numFmtId="10" fontId="0" fillId="0" borderId="254" xfId="0" applyNumberFormat="1" applyBorder="1"/>
    <xf numFmtId="10" fontId="8" fillId="0" borderId="171" xfId="0" applyNumberFormat="1" applyFont="1" applyBorder="1"/>
    <xf numFmtId="0" fontId="13" fillId="57" borderId="108" xfId="0" applyFont="1" applyFill="1" applyBorder="1"/>
    <xf numFmtId="0" fontId="13" fillId="57" borderId="221" xfId="0" applyFont="1" applyFill="1" applyBorder="1"/>
    <xf numFmtId="0" fontId="13" fillId="57" borderId="222" xfId="0" applyFont="1" applyFill="1" applyBorder="1"/>
    <xf numFmtId="0" fontId="34" fillId="58" borderId="169" xfId="0" applyFont="1" applyFill="1" applyBorder="1"/>
    <xf numFmtId="10" fontId="8" fillId="0" borderId="107" xfId="0" applyNumberFormat="1" applyFont="1" applyBorder="1"/>
    <xf numFmtId="0" fontId="91" fillId="0" borderId="0" xfId="0" applyFont="1"/>
    <xf numFmtId="0" fontId="13" fillId="58" borderId="111" xfId="0" applyFont="1" applyFill="1" applyBorder="1"/>
    <xf numFmtId="4" fontId="8" fillId="0" borderId="171" xfId="0" applyNumberFormat="1" applyFont="1" applyBorder="1"/>
    <xf numFmtId="4" fontId="0" fillId="0" borderId="171" xfId="0" applyNumberFormat="1" applyBorder="1"/>
    <xf numFmtId="9" fontId="0" fillId="0" borderId="0" xfId="15" applyFont="1" applyBorder="1"/>
    <xf numFmtId="0" fontId="13" fillId="0" borderId="0" xfId="0" applyFont="1" applyAlignment="1">
      <alignment horizontal="left"/>
    </xf>
    <xf numFmtId="179" fontId="0" fillId="0" borderId="0" xfId="0" applyNumberFormat="1" applyAlignment="1">
      <alignment horizontal="center"/>
    </xf>
    <xf numFmtId="10" fontId="0" fillId="33" borderId="50" xfId="0" applyNumberFormat="1" applyFill="1" applyBorder="1"/>
    <xf numFmtId="9" fontId="0" fillId="0" borderId="257" xfId="0" applyNumberFormat="1" applyBorder="1"/>
    <xf numFmtId="9" fontId="0" fillId="0" borderId="80" xfId="15" applyFont="1" applyBorder="1"/>
    <xf numFmtId="0" fontId="13" fillId="0" borderId="258" xfId="0" applyFont="1" applyBorder="1" applyAlignment="1">
      <alignment horizontal="center"/>
    </xf>
    <xf numFmtId="0" fontId="13" fillId="0" borderId="259" xfId="0" applyFont="1" applyBorder="1" applyAlignment="1">
      <alignment horizontal="center"/>
    </xf>
    <xf numFmtId="0" fontId="13" fillId="0" borderId="260" xfId="0" applyFont="1" applyBorder="1" applyAlignment="1">
      <alignment horizontal="center"/>
    </xf>
    <xf numFmtId="191" fontId="83" fillId="0" borderId="261" xfId="0" applyNumberFormat="1" applyFont="1" applyBorder="1" applyAlignment="1">
      <alignment horizontal="right"/>
    </xf>
    <xf numFmtId="191" fontId="83" fillId="0" borderId="262" xfId="0" applyNumberFormat="1" applyFont="1" applyBorder="1" applyAlignment="1">
      <alignment horizontal="right"/>
    </xf>
    <xf numFmtId="179" fontId="13" fillId="0" borderId="130" xfId="0" applyNumberFormat="1" applyFont="1" applyBorder="1" applyAlignment="1">
      <alignment horizontal="center"/>
    </xf>
    <xf numFmtId="0" fontId="13" fillId="14" borderId="0" xfId="0" applyFont="1" applyFill="1" applyAlignment="1">
      <alignment horizontal="center"/>
    </xf>
    <xf numFmtId="0" fontId="13" fillId="0" borderId="73" xfId="0" applyFont="1" applyBorder="1" applyAlignment="1">
      <alignment horizontal="left"/>
    </xf>
    <xf numFmtId="0" fontId="13" fillId="0" borderId="195" xfId="0" applyFont="1" applyBorder="1" applyAlignment="1">
      <alignment horizontal="left"/>
    </xf>
    <xf numFmtId="0" fontId="13" fillId="0" borderId="173" xfId="0" applyFont="1" applyBorder="1" applyAlignment="1">
      <alignment horizontal="center"/>
    </xf>
    <xf numFmtId="0" fontId="0" fillId="33" borderId="50" xfId="0" applyFill="1" applyBorder="1"/>
    <xf numFmtId="179" fontId="0" fillId="0" borderId="263" xfId="0" applyNumberFormat="1" applyBorder="1" applyAlignment="1">
      <alignment horizontal="center"/>
    </xf>
    <xf numFmtId="0" fontId="13" fillId="0" borderId="80" xfId="0" applyFont="1" applyBorder="1"/>
    <xf numFmtId="179" fontId="0" fillId="0" borderId="50" xfId="0" applyNumberFormat="1" applyBorder="1" applyAlignment="1">
      <alignment horizontal="center"/>
    </xf>
    <xf numFmtId="9" fontId="8" fillId="0" borderId="0" xfId="0" applyNumberFormat="1" applyFont="1" applyAlignment="1">
      <alignment horizontal="center"/>
    </xf>
    <xf numFmtId="10" fontId="0" fillId="33" borderId="0" xfId="0" applyNumberFormat="1" applyFill="1"/>
    <xf numFmtId="9" fontId="8" fillId="0" borderId="264" xfId="0" applyNumberFormat="1" applyFont="1" applyBorder="1" applyAlignment="1">
      <alignment horizontal="center"/>
    </xf>
    <xf numFmtId="9" fontId="8" fillId="0" borderId="260" xfId="0" applyNumberFormat="1" applyFont="1" applyBorder="1" applyAlignment="1">
      <alignment horizontal="center"/>
    </xf>
    <xf numFmtId="9" fontId="13" fillId="0" borderId="265" xfId="0" applyNumberFormat="1" applyFont="1" applyBorder="1" applyAlignment="1">
      <alignment horizontal="center"/>
    </xf>
    <xf numFmtId="9" fontId="13" fillId="0" borderId="266" xfId="0" applyNumberFormat="1" applyFont="1" applyBorder="1" applyAlignment="1">
      <alignment horizontal="center"/>
    </xf>
    <xf numFmtId="9" fontId="13" fillId="0" borderId="267" xfId="0" applyNumberFormat="1" applyFont="1" applyBorder="1" applyAlignment="1">
      <alignment horizontal="center"/>
    </xf>
    <xf numFmtId="9" fontId="8" fillId="0" borderId="66" xfId="0" applyNumberFormat="1" applyFont="1" applyBorder="1" applyAlignment="1">
      <alignment horizontal="center"/>
    </xf>
    <xf numFmtId="9" fontId="0" fillId="0" borderId="0" xfId="0" applyNumberFormat="1" applyAlignment="1">
      <alignment horizontal="center"/>
    </xf>
    <xf numFmtId="179" fontId="0" fillId="0" borderId="151" xfId="0" applyNumberFormat="1" applyBorder="1" applyAlignment="1">
      <alignment horizontal="center"/>
    </xf>
    <xf numFmtId="9" fontId="13" fillId="0" borderId="130" xfId="0" applyNumberFormat="1" applyFont="1" applyBorder="1" applyAlignment="1">
      <alignment horizontal="center"/>
    </xf>
    <xf numFmtId="9" fontId="13" fillId="0" borderId="114" xfId="0" applyNumberFormat="1" applyFont="1" applyBorder="1" applyAlignment="1">
      <alignment horizontal="center"/>
    </xf>
    <xf numFmtId="9" fontId="13" fillId="0" borderId="181" xfId="0" applyNumberFormat="1" applyFont="1" applyBorder="1" applyAlignment="1">
      <alignment horizontal="center"/>
    </xf>
    <xf numFmtId="9" fontId="0" fillId="0" borderId="50" xfId="0" applyNumberFormat="1" applyBorder="1" applyAlignment="1">
      <alignment horizontal="center"/>
    </xf>
    <xf numFmtId="179" fontId="0" fillId="0" borderId="148" xfId="0" applyNumberFormat="1" applyBorder="1" applyAlignment="1">
      <alignment horizontal="center"/>
    </xf>
    <xf numFmtId="10" fontId="0" fillId="33" borderId="131" xfId="0" applyNumberFormat="1" applyFill="1" applyBorder="1"/>
    <xf numFmtId="9" fontId="13" fillId="0" borderId="0" xfId="15" applyFont="1" applyBorder="1"/>
    <xf numFmtId="10" fontId="0" fillId="0" borderId="107" xfId="0" applyNumberFormat="1" applyBorder="1"/>
    <xf numFmtId="0" fontId="13" fillId="57" borderId="169" xfId="0" applyFont="1" applyFill="1" applyBorder="1"/>
    <xf numFmtId="0" fontId="0" fillId="0" borderId="268" xfId="0" applyBorder="1"/>
    <xf numFmtId="10" fontId="0" fillId="56" borderId="139" xfId="0" applyNumberFormat="1" applyFill="1" applyBorder="1"/>
    <xf numFmtId="0" fontId="23" fillId="35" borderId="108" xfId="0" applyFont="1" applyFill="1" applyBorder="1" applyAlignment="1">
      <alignment horizontal="center" vertical="center"/>
    </xf>
    <xf numFmtId="10" fontId="8" fillId="0" borderId="162" xfId="0" applyNumberFormat="1" applyFont="1" applyBorder="1"/>
    <xf numFmtId="179" fontId="13" fillId="0" borderId="269" xfId="0" applyNumberFormat="1" applyFont="1" applyBorder="1" applyAlignment="1">
      <alignment horizontal="center"/>
    </xf>
    <xf numFmtId="0" fontId="13" fillId="0" borderId="270" xfId="0" applyFont="1" applyBorder="1" applyAlignment="1">
      <alignment horizontal="center"/>
    </xf>
    <xf numFmtId="191" fontId="83" fillId="0" borderId="271" xfId="0" applyNumberFormat="1" applyFont="1" applyBorder="1" applyAlignment="1">
      <alignment horizontal="right"/>
    </xf>
    <xf numFmtId="0" fontId="8" fillId="35" borderId="109" xfId="23" applyFill="1" applyBorder="1"/>
    <xf numFmtId="0" fontId="8" fillId="0" borderId="108" xfId="23" applyBorder="1"/>
    <xf numFmtId="0" fontId="8" fillId="35" borderId="169" xfId="23" applyFill="1" applyBorder="1"/>
    <xf numFmtId="10" fontId="8" fillId="0" borderId="221" xfId="23" applyNumberFormat="1" applyBorder="1"/>
    <xf numFmtId="10" fontId="8" fillId="0" borderId="221" xfId="23" applyNumberFormat="1" applyBorder="1" applyAlignment="1">
      <alignment horizontal="center"/>
    </xf>
    <xf numFmtId="3" fontId="8" fillId="0" borderId="108" xfId="23" applyNumberFormat="1" applyBorder="1" applyAlignment="1">
      <alignment horizontal="right"/>
    </xf>
    <xf numFmtId="0" fontId="8" fillId="0" borderId="108" xfId="23" applyBorder="1" applyAlignment="1">
      <alignment horizontal="right"/>
    </xf>
    <xf numFmtId="10" fontId="8" fillId="0" borderId="108" xfId="23" applyNumberFormat="1" applyBorder="1"/>
    <xf numFmtId="10" fontId="8" fillId="0" borderId="109" xfId="23" applyNumberFormat="1" applyBorder="1"/>
    <xf numFmtId="0" fontId="0" fillId="0" borderId="0" xfId="23" applyFont="1"/>
    <xf numFmtId="10" fontId="0" fillId="0" borderId="108" xfId="23" applyNumberFormat="1" applyFont="1" applyBorder="1"/>
    <xf numFmtId="0" fontId="23" fillId="35" borderId="109" xfId="0" applyFont="1" applyFill="1" applyBorder="1" applyAlignment="1">
      <alignment horizontal="center" vertical="center"/>
    </xf>
    <xf numFmtId="0" fontId="23" fillId="35" borderId="167" xfId="0" applyFont="1" applyFill="1" applyBorder="1" applyAlignment="1">
      <alignment horizontal="center" vertical="center"/>
    </xf>
    <xf numFmtId="10" fontId="0" fillId="0" borderId="169" xfId="23" applyNumberFormat="1" applyFont="1" applyBorder="1"/>
    <xf numFmtId="0" fontId="8" fillId="0" borderId="222" xfId="23" applyBorder="1"/>
    <xf numFmtId="10" fontId="8" fillId="0" borderId="222" xfId="23" applyNumberFormat="1" applyBorder="1"/>
    <xf numFmtId="0" fontId="8" fillId="35" borderId="108" xfId="23" applyFill="1" applyBorder="1"/>
    <xf numFmtId="0" fontId="8" fillId="28" borderId="108" xfId="23" applyFill="1" applyBorder="1"/>
    <xf numFmtId="0" fontId="0" fillId="32" borderId="108" xfId="23" applyFont="1" applyFill="1" applyBorder="1"/>
    <xf numFmtId="10" fontId="8" fillId="35" borderId="106" xfId="0" applyNumberFormat="1" applyFont="1" applyFill="1" applyBorder="1"/>
    <xf numFmtId="0" fontId="27" fillId="59" borderId="65" xfId="0" applyFont="1" applyFill="1" applyBorder="1" applyAlignment="1">
      <alignment horizontal="center" vertical="center" wrapText="1"/>
    </xf>
    <xf numFmtId="0" fontId="13" fillId="62" borderId="108" xfId="0" applyFont="1" applyFill="1" applyBorder="1"/>
    <xf numFmtId="0" fontId="13" fillId="62" borderId="222" xfId="0" applyFont="1" applyFill="1" applyBorder="1"/>
    <xf numFmtId="0" fontId="13" fillId="62" borderId="106" xfId="0" applyFont="1" applyFill="1" applyBorder="1"/>
    <xf numFmtId="0" fontId="13" fillId="62" borderId="45" xfId="0" applyFont="1" applyFill="1" applyBorder="1"/>
    <xf numFmtId="0" fontId="8" fillId="62" borderId="108" xfId="0" applyFont="1" applyFill="1" applyBorder="1"/>
    <xf numFmtId="10" fontId="0" fillId="0" borderId="139" xfId="0" applyNumberFormat="1" applyBorder="1"/>
    <xf numFmtId="0" fontId="13" fillId="57" borderId="45" xfId="0" applyFont="1" applyFill="1" applyBorder="1"/>
    <xf numFmtId="0" fontId="13" fillId="57" borderId="44" xfId="0" applyFont="1" applyFill="1" applyBorder="1"/>
    <xf numFmtId="4" fontId="8" fillId="0" borderId="38" xfId="0" applyNumberFormat="1" applyFont="1" applyBorder="1"/>
    <xf numFmtId="10" fontId="8" fillId="0" borderId="38" xfId="0" applyNumberFormat="1" applyFont="1" applyBorder="1"/>
    <xf numFmtId="10" fontId="8" fillId="0" borderId="0" xfId="23" applyNumberFormat="1" applyAlignment="1">
      <alignment horizontal="center"/>
    </xf>
    <xf numFmtId="10" fontId="76" fillId="45" borderId="0" xfId="15" applyNumberFormat="1" applyFont="1" applyFill="1" applyBorder="1" applyAlignment="1">
      <alignment horizontal="center"/>
    </xf>
    <xf numFmtId="0" fontId="27" fillId="63" borderId="65" xfId="0" applyFont="1" applyFill="1" applyBorder="1" applyAlignment="1">
      <alignment horizontal="center" vertical="center" wrapText="1"/>
    </xf>
    <xf numFmtId="0" fontId="47" fillId="61" borderId="68" xfId="0" applyFont="1" applyFill="1" applyBorder="1" applyAlignment="1">
      <alignment horizontal="center" vertical="center" wrapText="1"/>
    </xf>
    <xf numFmtId="0" fontId="47" fillId="64" borderId="70" xfId="0" applyFont="1" applyFill="1" applyBorder="1" applyAlignment="1">
      <alignment horizontal="center" vertical="center" wrapText="1"/>
    </xf>
    <xf numFmtId="0" fontId="46" fillId="65" borderId="69" xfId="0" applyFont="1" applyFill="1" applyBorder="1" applyAlignment="1">
      <alignment horizontal="center" vertical="center" wrapText="1"/>
    </xf>
    <xf numFmtId="0" fontId="46" fillId="66" borderId="69" xfId="0" applyFont="1" applyFill="1" applyBorder="1" applyAlignment="1">
      <alignment horizontal="center" vertical="center" wrapText="1"/>
    </xf>
    <xf numFmtId="4" fontId="35" fillId="19" borderId="0" xfId="0" applyNumberFormat="1" applyFont="1" applyFill="1" applyAlignment="1">
      <alignment horizontal="center"/>
    </xf>
    <xf numFmtId="0" fontId="92" fillId="0" borderId="0" xfId="33"/>
    <xf numFmtId="192" fontId="8" fillId="0" borderId="19" xfId="0" applyNumberFormat="1" applyFont="1" applyBorder="1" applyAlignment="1">
      <alignment horizontal="center"/>
    </xf>
    <xf numFmtId="192" fontId="8" fillId="24" borderId="19" xfId="0" applyNumberFormat="1" applyFont="1" applyFill="1" applyBorder="1" applyAlignment="1">
      <alignment horizontal="center"/>
    </xf>
    <xf numFmtId="192" fontId="8" fillId="24" borderId="19" xfId="0" applyNumberFormat="1" applyFont="1" applyFill="1" applyBorder="1" applyAlignment="1">
      <alignment horizontal="center" vertical="center"/>
    </xf>
    <xf numFmtId="192" fontId="8" fillId="8" borderId="51" xfId="0" applyNumberFormat="1" applyFont="1" applyFill="1" applyBorder="1" applyAlignment="1">
      <alignment horizontal="center"/>
    </xf>
    <xf numFmtId="192" fontId="33" fillId="8" borderId="51" xfId="15" applyNumberFormat="1" applyFont="1" applyFill="1" applyBorder="1" applyAlignment="1">
      <alignment horizontal="center"/>
    </xf>
    <xf numFmtId="192" fontId="0" fillId="24" borderId="23" xfId="0" applyNumberFormat="1" applyFill="1" applyBorder="1" applyAlignment="1">
      <alignment horizontal="center"/>
    </xf>
    <xf numFmtId="192" fontId="13" fillId="24" borderId="19" xfId="0" applyNumberFormat="1" applyFont="1" applyFill="1" applyBorder="1" applyAlignment="1">
      <alignment horizontal="center"/>
    </xf>
    <xf numFmtId="192" fontId="13" fillId="24" borderId="23" xfId="0" applyNumberFormat="1" applyFont="1" applyFill="1" applyBorder="1" applyAlignment="1">
      <alignment horizontal="center"/>
    </xf>
    <xf numFmtId="194" fontId="8" fillId="8" borderId="19" xfId="0" applyNumberFormat="1" applyFont="1" applyFill="1" applyBorder="1" applyAlignment="1">
      <alignment horizontal="center"/>
    </xf>
    <xf numFmtId="10" fontId="0" fillId="8" borderId="23" xfId="15" applyNumberFormat="1" applyFont="1" applyFill="1" applyBorder="1" applyAlignment="1">
      <alignment horizontal="center" wrapText="1"/>
    </xf>
    <xf numFmtId="0" fontId="93" fillId="0" borderId="0" xfId="0" applyFont="1"/>
    <xf numFmtId="9" fontId="8" fillId="12" borderId="87" xfId="15" applyFont="1" applyFill="1" applyBorder="1" applyAlignment="1">
      <alignment horizontal="center" vertical="center"/>
    </xf>
    <xf numFmtId="9" fontId="26" fillId="23" borderId="97" xfId="15" applyFont="1" applyFill="1" applyBorder="1" applyAlignment="1">
      <alignment horizontal="center" vertical="center"/>
    </xf>
    <xf numFmtId="2" fontId="8" fillId="12" borderId="85" xfId="0" applyNumberFormat="1" applyFont="1" applyFill="1" applyBorder="1" applyAlignment="1">
      <alignment horizontal="center"/>
    </xf>
    <xf numFmtId="2" fontId="26" fillId="9" borderId="87" xfId="0" applyNumberFormat="1" applyFont="1" applyFill="1" applyBorder="1" applyAlignment="1">
      <alignment horizontal="center"/>
    </xf>
    <xf numFmtId="0" fontId="35" fillId="30" borderId="0" xfId="0" applyFont="1" applyFill="1"/>
    <xf numFmtId="195" fontId="35" fillId="0" borderId="0" xfId="0" applyNumberFormat="1" applyFont="1"/>
    <xf numFmtId="2" fontId="8" fillId="0" borderId="0" xfId="23" applyNumberFormat="1" applyAlignment="1">
      <alignment horizontal="center" vertical="center"/>
    </xf>
    <xf numFmtId="2" fontId="8" fillId="0" borderId="0" xfId="23" applyNumberFormat="1"/>
    <xf numFmtId="2" fontId="8" fillId="0" borderId="0" xfId="23" applyNumberFormat="1" applyAlignment="1">
      <alignment horizontal="center"/>
    </xf>
    <xf numFmtId="2" fontId="76" fillId="45" borderId="0" xfId="15" applyNumberFormat="1" applyFont="1" applyFill="1" applyAlignment="1">
      <alignment horizontal="center"/>
    </xf>
    <xf numFmtId="196" fontId="68" fillId="38" borderId="45" xfId="0" applyNumberFormat="1" applyFont="1" applyFill="1" applyBorder="1" applyAlignment="1">
      <alignment horizontal="center" vertical="center"/>
    </xf>
    <xf numFmtId="1" fontId="53" fillId="40" borderId="2" xfId="0" applyNumberFormat="1" applyFont="1" applyFill="1" applyBorder="1" applyAlignment="1">
      <alignment horizontal="center" vertical="center"/>
    </xf>
    <xf numFmtId="1" fontId="53" fillId="0" borderId="38" xfId="0" applyNumberFormat="1" applyFont="1" applyBorder="1" applyAlignment="1">
      <alignment horizontal="center" vertical="center"/>
    </xf>
    <xf numFmtId="1" fontId="53" fillId="0" borderId="133" xfId="0" applyNumberFormat="1" applyFont="1" applyBorder="1" applyAlignment="1">
      <alignment horizontal="center" vertical="center"/>
    </xf>
    <xf numFmtId="0" fontId="0" fillId="58" borderId="130" xfId="0" applyFill="1" applyBorder="1"/>
    <xf numFmtId="0" fontId="0" fillId="58" borderId="118" xfId="0" applyFill="1" applyBorder="1"/>
    <xf numFmtId="0" fontId="0" fillId="58" borderId="117" xfId="0" applyFill="1" applyBorder="1"/>
    <xf numFmtId="4" fontId="8" fillId="0" borderId="111" xfId="23" applyNumberFormat="1" applyBorder="1"/>
    <xf numFmtId="4" fontId="8" fillId="0" borderId="0" xfId="23" applyNumberFormat="1"/>
    <xf numFmtId="0" fontId="0" fillId="58" borderId="282" xfId="0" applyFill="1" applyBorder="1"/>
    <xf numFmtId="10" fontId="0" fillId="0" borderId="275" xfId="0" applyNumberFormat="1" applyBorder="1"/>
    <xf numFmtId="0" fontId="13" fillId="70" borderId="282" xfId="0" applyFont="1" applyFill="1" applyBorder="1"/>
    <xf numFmtId="0" fontId="0" fillId="58" borderId="124" xfId="0" applyFill="1" applyBorder="1"/>
    <xf numFmtId="10" fontId="0" fillId="0" borderId="279" xfId="0" applyNumberFormat="1" applyBorder="1"/>
    <xf numFmtId="0" fontId="13" fillId="70" borderId="117" xfId="0" applyFont="1" applyFill="1" applyBorder="1"/>
    <xf numFmtId="10" fontId="0" fillId="0" borderId="280" xfId="0" applyNumberFormat="1" applyBorder="1"/>
    <xf numFmtId="0" fontId="88" fillId="0" borderId="0" xfId="23" applyFont="1"/>
    <xf numFmtId="0" fontId="13" fillId="71" borderId="45" xfId="0" applyFont="1" applyFill="1" applyBorder="1"/>
    <xf numFmtId="0" fontId="13" fillId="71" borderId="44" xfId="0" applyFont="1" applyFill="1" applyBorder="1"/>
    <xf numFmtId="0" fontId="0" fillId="71" borderId="45" xfId="0" applyFill="1" applyBorder="1"/>
    <xf numFmtId="0" fontId="13" fillId="62" borderId="272" xfId="0" applyFont="1" applyFill="1" applyBorder="1"/>
    <xf numFmtId="0" fontId="13" fillId="62" borderId="273" xfId="0" applyFont="1" applyFill="1" applyBorder="1"/>
    <xf numFmtId="0" fontId="0" fillId="62" borderId="130" xfId="0" applyFill="1" applyBorder="1"/>
    <xf numFmtId="0" fontId="0" fillId="0" borderId="255" xfId="0" applyBorder="1"/>
    <xf numFmtId="0" fontId="0" fillId="62" borderId="117" xfId="0" applyFill="1" applyBorder="1"/>
    <xf numFmtId="176" fontId="0" fillId="0" borderId="253" xfId="0" applyNumberFormat="1" applyBorder="1"/>
    <xf numFmtId="1" fontId="0" fillId="0" borderId="255" xfId="0" applyNumberFormat="1" applyBorder="1"/>
    <xf numFmtId="176" fontId="0" fillId="0" borderId="268" xfId="0" applyNumberFormat="1" applyBorder="1"/>
    <xf numFmtId="0" fontId="0" fillId="62" borderId="269" xfId="0" applyFill="1" applyBorder="1"/>
    <xf numFmtId="176" fontId="0" fillId="0" borderId="256" xfId="0" applyNumberFormat="1" applyBorder="1"/>
    <xf numFmtId="0" fontId="13" fillId="62" borderId="280" xfId="0" applyFont="1" applyFill="1" applyBorder="1"/>
    <xf numFmtId="176" fontId="0" fillId="0" borderId="281" xfId="0" applyNumberFormat="1" applyBorder="1"/>
    <xf numFmtId="197" fontId="0" fillId="0" borderId="251" xfId="0" applyNumberFormat="1" applyBorder="1"/>
    <xf numFmtId="197" fontId="0" fillId="0" borderId="274" xfId="0" applyNumberFormat="1" applyBorder="1"/>
    <xf numFmtId="0" fontId="8" fillId="68" borderId="275" xfId="23" applyFill="1" applyBorder="1"/>
    <xf numFmtId="0" fontId="8" fillId="68" borderId="283" xfId="23" applyFill="1" applyBorder="1"/>
    <xf numFmtId="4" fontId="8" fillId="0" borderId="171" xfId="23" applyNumberFormat="1" applyBorder="1"/>
    <xf numFmtId="0" fontId="13" fillId="68" borderId="108" xfId="23" applyFont="1" applyFill="1" applyBorder="1"/>
    <xf numFmtId="197" fontId="0" fillId="0" borderId="0" xfId="0" applyNumberFormat="1"/>
    <xf numFmtId="2" fontId="0" fillId="0" borderId="38" xfId="0" applyNumberFormat="1" applyBorder="1"/>
    <xf numFmtId="0" fontId="35" fillId="8" borderId="0" xfId="0" applyFont="1" applyFill="1" applyAlignment="1">
      <alignment horizontal="left" indent="1"/>
    </xf>
    <xf numFmtId="3" fontId="35" fillId="8" borderId="0" xfId="0" applyNumberFormat="1" applyFont="1" applyFill="1" applyAlignment="1">
      <alignment horizontal="center" vertical="center"/>
    </xf>
    <xf numFmtId="0" fontId="93" fillId="8" borderId="0" xfId="0" applyFont="1" applyFill="1"/>
    <xf numFmtId="9" fontId="0" fillId="8" borderId="23" xfId="15" applyFont="1" applyFill="1" applyBorder="1" applyAlignment="1">
      <alignment horizontal="center"/>
    </xf>
    <xf numFmtId="194" fontId="8" fillId="8" borderId="15" xfId="0" applyNumberFormat="1" applyFont="1" applyFill="1" applyBorder="1" applyAlignment="1">
      <alignment horizontal="center"/>
    </xf>
    <xf numFmtId="194" fontId="8" fillId="24" borderId="19" xfId="0" applyNumberFormat="1" applyFont="1" applyFill="1" applyBorder="1" applyAlignment="1">
      <alignment horizontal="center"/>
    </xf>
    <xf numFmtId="2" fontId="0" fillId="0" borderId="109" xfId="15" applyNumberFormat="1" applyFont="1" applyBorder="1" applyAlignment="1">
      <alignment horizontal="center" vertical="center"/>
    </xf>
    <xf numFmtId="0" fontId="0" fillId="0" borderId="109" xfId="0" applyBorder="1" applyAlignment="1">
      <alignment horizontal="left" vertical="center"/>
    </xf>
    <xf numFmtId="188" fontId="76" fillId="72" borderId="0" xfId="15" applyNumberFormat="1" applyFont="1" applyFill="1" applyBorder="1" applyAlignment="1">
      <alignment horizontal="center"/>
    </xf>
    <xf numFmtId="0" fontId="94" fillId="0" borderId="0" xfId="0" applyFont="1"/>
    <xf numFmtId="0" fontId="13" fillId="0" borderId="174" xfId="0" applyFont="1" applyBorder="1" applyAlignment="1">
      <alignment horizontal="center" vertical="center" wrapText="1"/>
    </xf>
    <xf numFmtId="0" fontId="8" fillId="23" borderId="19" xfId="0" applyFont="1" applyFill="1" applyBorder="1" applyAlignment="1">
      <alignment horizontal="center"/>
    </xf>
    <xf numFmtId="0" fontId="95" fillId="23" borderId="19" xfId="0" applyFont="1" applyFill="1" applyBorder="1" applyAlignment="1">
      <alignment horizontal="center"/>
    </xf>
    <xf numFmtId="2" fontId="0" fillId="12" borderId="87" xfId="15" applyNumberFormat="1" applyFont="1" applyFill="1" applyBorder="1" applyAlignment="1">
      <alignment horizontal="center"/>
    </xf>
    <xf numFmtId="0" fontId="46" fillId="5" borderId="130" xfId="0" applyFont="1" applyFill="1" applyBorder="1" applyAlignment="1">
      <alignment horizontal="center" wrapText="1"/>
    </xf>
    <xf numFmtId="0" fontId="8" fillId="8" borderId="19" xfId="0" applyFont="1" applyFill="1" applyBorder="1"/>
    <xf numFmtId="2" fontId="0" fillId="12" borderId="87" xfId="0" applyNumberFormat="1" applyFill="1" applyBorder="1" applyAlignment="1">
      <alignment horizontal="center" vertical="center"/>
    </xf>
    <xf numFmtId="0" fontId="0" fillId="12" borderId="64" xfId="0" applyFill="1" applyBorder="1"/>
    <xf numFmtId="0" fontId="13" fillId="12" borderId="91" xfId="0" applyFont="1" applyFill="1" applyBorder="1" applyAlignment="1">
      <alignment horizontal="left" vertical="center"/>
    </xf>
    <xf numFmtId="0" fontId="13" fillId="12" borderId="89" xfId="0" applyFont="1" applyFill="1" applyBorder="1" applyAlignment="1">
      <alignment horizontal="left" vertical="center"/>
    </xf>
    <xf numFmtId="2" fontId="0" fillId="12" borderId="86" xfId="0" applyNumberFormat="1" applyFill="1" applyBorder="1" applyAlignment="1">
      <alignment horizontal="center"/>
    </xf>
    <xf numFmtId="2" fontId="0" fillId="12" borderId="87" xfId="0" applyNumberFormat="1" applyFill="1" applyBorder="1" applyAlignment="1">
      <alignment horizontal="center"/>
    </xf>
    <xf numFmtId="0" fontId="13" fillId="12" borderId="90" xfId="0" applyFont="1" applyFill="1" applyBorder="1" applyAlignment="1">
      <alignment horizontal="left" vertical="center"/>
    </xf>
    <xf numFmtId="3" fontId="0" fillId="12" borderId="1" xfId="0" applyNumberFormat="1" applyFill="1" applyBorder="1" applyAlignment="1">
      <alignment horizontal="center"/>
    </xf>
    <xf numFmtId="3" fontId="0" fillId="12" borderId="44" xfId="0" applyNumberFormat="1" applyFill="1" applyBorder="1" applyAlignment="1">
      <alignment horizontal="center"/>
    </xf>
    <xf numFmtId="0" fontId="8" fillId="24" borderId="0" xfId="0" applyFont="1" applyFill="1" applyAlignment="1">
      <alignment horizontal="center" vertical="center" wrapText="1"/>
    </xf>
    <xf numFmtId="0" fontId="13" fillId="58" borderId="45" xfId="0" applyFont="1" applyFill="1" applyBorder="1" applyAlignment="1">
      <alignment wrapText="1"/>
    </xf>
    <xf numFmtId="0" fontId="13" fillId="58" borderId="2" xfId="0" applyFont="1" applyFill="1" applyBorder="1"/>
    <xf numFmtId="10" fontId="8" fillId="12" borderId="38" xfId="0" applyNumberFormat="1" applyFont="1" applyFill="1" applyBorder="1"/>
    <xf numFmtId="197" fontId="13" fillId="0" borderId="255" xfId="0" applyNumberFormat="1" applyFont="1" applyBorder="1"/>
    <xf numFmtId="197" fontId="13" fillId="0" borderId="269" xfId="0" applyNumberFormat="1" applyFont="1" applyBorder="1"/>
    <xf numFmtId="0" fontId="0" fillId="58" borderId="120" xfId="0" applyFill="1" applyBorder="1"/>
    <xf numFmtId="197" fontId="0" fillId="0" borderId="286" xfId="0" applyNumberFormat="1" applyBorder="1"/>
    <xf numFmtId="197" fontId="0" fillId="0" borderId="275" xfId="0" applyNumberFormat="1" applyBorder="1"/>
    <xf numFmtId="197" fontId="0" fillId="0" borderId="287" xfId="0" applyNumberFormat="1" applyBorder="1"/>
    <xf numFmtId="197" fontId="0" fillId="0" borderId="288" xfId="0" applyNumberFormat="1" applyBorder="1"/>
    <xf numFmtId="197" fontId="0" fillId="0" borderId="253" xfId="0" applyNumberFormat="1" applyBorder="1"/>
    <xf numFmtId="0" fontId="13" fillId="69" borderId="120" xfId="0" applyFont="1" applyFill="1" applyBorder="1" applyAlignment="1">
      <alignment horizontal="center"/>
    </xf>
    <xf numFmtId="0" fontId="13" fillId="69" borderId="269" xfId="0" applyFont="1" applyFill="1" applyBorder="1" applyAlignment="1">
      <alignment horizontal="center"/>
    </xf>
    <xf numFmtId="0" fontId="13" fillId="69" borderId="174" xfId="0" applyFont="1" applyFill="1" applyBorder="1" applyAlignment="1">
      <alignment horizontal="center"/>
    </xf>
    <xf numFmtId="0" fontId="13" fillId="69" borderId="119" xfId="0" applyFont="1" applyFill="1" applyBorder="1" applyAlignment="1">
      <alignment horizontal="center"/>
    </xf>
    <xf numFmtId="0" fontId="13" fillId="0" borderId="272" xfId="0" applyFont="1" applyBorder="1" applyAlignment="1">
      <alignment horizontal="center" vertical="center" wrapText="1"/>
    </xf>
    <xf numFmtId="0" fontId="13" fillId="0" borderId="273" xfId="0" applyFont="1" applyBorder="1" applyAlignment="1">
      <alignment horizontal="center" vertical="center" wrapText="1"/>
    </xf>
    <xf numFmtId="0" fontId="13" fillId="70" borderId="138" xfId="0" applyFont="1" applyFill="1" applyBorder="1" applyAlignment="1">
      <alignment horizontal="center" vertical="center"/>
    </xf>
    <xf numFmtId="0" fontId="13" fillId="70" borderId="119" xfId="0" applyFont="1" applyFill="1" applyBorder="1" applyAlignment="1">
      <alignment horizontal="center" vertical="center"/>
    </xf>
    <xf numFmtId="0" fontId="0" fillId="67" borderId="275" xfId="0" applyFill="1" applyBorder="1" applyAlignment="1">
      <alignment horizontal="center" vertical="center"/>
    </xf>
    <xf numFmtId="197" fontId="0" fillId="0" borderId="276" xfId="0" applyNumberFormat="1" applyBorder="1" applyAlignment="1">
      <alignment horizontal="center" vertical="center"/>
    </xf>
    <xf numFmtId="197" fontId="0" fillId="0" borderId="277" xfId="0" applyNumberFormat="1" applyBorder="1" applyAlignment="1">
      <alignment horizontal="center" vertical="center"/>
    </xf>
    <xf numFmtId="0" fontId="0" fillId="0" borderId="278" xfId="0" applyBorder="1" applyAlignment="1">
      <alignment horizontal="center" vertical="center" wrapText="1"/>
    </xf>
    <xf numFmtId="0" fontId="0" fillId="0" borderId="275" xfId="0" applyBorder="1" applyAlignment="1">
      <alignment horizontal="center" vertical="center"/>
    </xf>
    <xf numFmtId="0" fontId="0" fillId="0" borderId="252" xfId="0" applyBorder="1" applyAlignment="1">
      <alignment horizontal="center" vertical="center"/>
    </xf>
    <xf numFmtId="0" fontId="0" fillId="67" borderId="279" xfId="0" applyFill="1" applyBorder="1" applyAlignment="1">
      <alignment horizontal="center" vertical="center"/>
    </xf>
    <xf numFmtId="197" fontId="0" fillId="0" borderId="171" xfId="0" applyNumberFormat="1" applyBorder="1" applyAlignment="1">
      <alignment horizontal="center" vertical="center"/>
    </xf>
    <xf numFmtId="197" fontId="0" fillId="0" borderId="220" xfId="0" applyNumberFormat="1" applyBorder="1" applyAlignment="1">
      <alignment horizontal="center" vertical="center"/>
    </xf>
    <xf numFmtId="0" fontId="0" fillId="0" borderId="107" xfId="0" applyBorder="1" applyAlignment="1">
      <alignment horizontal="center" vertical="center" wrapText="1"/>
    </xf>
    <xf numFmtId="0" fontId="0" fillId="0" borderId="287" xfId="0" applyBorder="1" applyAlignment="1">
      <alignment horizontal="center" vertical="center"/>
    </xf>
    <xf numFmtId="0" fontId="0" fillId="0" borderId="290" xfId="0" applyBorder="1" applyAlignment="1">
      <alignment horizontal="center" vertical="center"/>
    </xf>
    <xf numFmtId="0" fontId="0" fillId="67" borderId="116" xfId="0" applyFill="1" applyBorder="1" applyAlignment="1">
      <alignment horizontal="center" vertical="center"/>
    </xf>
    <xf numFmtId="197" fontId="0" fillId="0" borderId="223" xfId="0" applyNumberFormat="1" applyBorder="1" applyAlignment="1">
      <alignment horizontal="center" vertical="center"/>
    </xf>
    <xf numFmtId="197" fontId="0" fillId="0" borderId="0" xfId="0" applyNumberFormat="1" applyAlignment="1">
      <alignment horizontal="center" vertical="center"/>
    </xf>
    <xf numFmtId="0" fontId="0" fillId="0" borderId="162" xfId="0" applyBorder="1" applyAlignment="1">
      <alignment horizontal="center" vertical="center" wrapText="1"/>
    </xf>
    <xf numFmtId="0" fontId="0" fillId="0" borderId="288" xfId="0" applyBorder="1" applyAlignment="1">
      <alignment horizontal="center" vertical="center"/>
    </xf>
    <xf numFmtId="0" fontId="0" fillId="0" borderId="291" xfId="0" applyBorder="1" applyAlignment="1">
      <alignment horizontal="center" vertical="center"/>
    </xf>
    <xf numFmtId="0" fontId="8" fillId="12" borderId="0" xfId="23" applyFill="1"/>
    <xf numFmtId="0" fontId="75" fillId="12" borderId="0" xfId="0" applyFont="1" applyFill="1" applyAlignment="1">
      <alignment horizontal="center"/>
    </xf>
    <xf numFmtId="0" fontId="0" fillId="8" borderId="223" xfId="0" applyFill="1" applyBorder="1" applyAlignment="1">
      <alignment horizontal="center" vertical="center"/>
    </xf>
    <xf numFmtId="9" fontId="0" fillId="0" borderId="112" xfId="15" applyFont="1" applyBorder="1" applyAlignment="1">
      <alignment horizontal="center" vertical="center"/>
    </xf>
    <xf numFmtId="0" fontId="0" fillId="0" borderId="112" xfId="0" applyBorder="1" applyAlignment="1">
      <alignment horizontal="center"/>
    </xf>
    <xf numFmtId="2" fontId="0" fillId="8" borderId="45" xfId="0" applyNumberFormat="1" applyFill="1" applyBorder="1" applyAlignment="1">
      <alignment horizontal="center" vertical="center"/>
    </xf>
    <xf numFmtId="2" fontId="64" fillId="0" borderId="45" xfId="0" applyNumberFormat="1" applyFont="1" applyBorder="1" applyAlignment="1">
      <alignment horizontal="center" vertical="center"/>
    </xf>
    <xf numFmtId="9" fontId="77" fillId="35" borderId="45" xfId="15" applyFont="1" applyFill="1" applyBorder="1" applyAlignment="1">
      <alignment horizontal="center" vertical="center"/>
    </xf>
    <xf numFmtId="198" fontId="0" fillId="0" borderId="45" xfId="0" applyNumberFormat="1" applyBorder="1" applyAlignment="1">
      <alignment horizontal="center" vertical="center"/>
    </xf>
    <xf numFmtId="0" fontId="0" fillId="8" borderId="0" xfId="0" applyFill="1" applyAlignment="1">
      <alignment vertical="center"/>
    </xf>
    <xf numFmtId="10" fontId="26" fillId="0" borderId="0" xfId="0" applyNumberFormat="1" applyFont="1" applyAlignment="1">
      <alignment horizontal="center"/>
    </xf>
    <xf numFmtId="1" fontId="53" fillId="0" borderId="108" xfId="0" applyNumberFormat="1" applyFont="1" applyBorder="1" applyAlignment="1">
      <alignment horizontal="center" vertical="center"/>
    </xf>
    <xf numFmtId="180" fontId="33" fillId="0" borderId="108" xfId="15" applyNumberFormat="1" applyFont="1" applyFill="1" applyBorder="1" applyAlignment="1">
      <alignment horizontal="center" vertical="center"/>
    </xf>
    <xf numFmtId="1" fontId="25" fillId="0" borderId="108" xfId="0" applyNumberFormat="1" applyFont="1" applyBorder="1" applyAlignment="1">
      <alignment horizontal="center" vertical="center"/>
    </xf>
    <xf numFmtId="1" fontId="68" fillId="0" borderId="108" xfId="0" applyNumberFormat="1" applyFont="1" applyBorder="1" applyAlignment="1">
      <alignment horizontal="center" vertical="center"/>
    </xf>
    <xf numFmtId="1" fontId="61" fillId="0" borderId="108" xfId="0" applyNumberFormat="1" applyFont="1" applyBorder="1" applyAlignment="1">
      <alignment horizontal="center" vertical="center"/>
    </xf>
    <xf numFmtId="3" fontId="68" fillId="0" borderId="108" xfId="0" quotePrefix="1" applyNumberFormat="1" applyFont="1" applyBorder="1" applyAlignment="1">
      <alignment horizontal="center" vertical="center"/>
    </xf>
    <xf numFmtId="180" fontId="8" fillId="0" borderId="292" xfId="15" applyNumberFormat="1" applyFont="1" applyFill="1" applyBorder="1" applyAlignment="1">
      <alignment horizontal="center" vertical="center"/>
    </xf>
    <xf numFmtId="180" fontId="0" fillId="0" borderId="293" xfId="15" applyNumberFormat="1" applyFont="1" applyFill="1" applyBorder="1" applyAlignment="1">
      <alignment horizontal="center" vertical="center"/>
    </xf>
    <xf numFmtId="1" fontId="53" fillId="0" borderId="294" xfId="0" applyNumberFormat="1" applyFont="1" applyBorder="1" applyAlignment="1">
      <alignment horizontal="center" vertical="center"/>
    </xf>
    <xf numFmtId="180" fontId="33" fillId="0" borderId="294" xfId="15" applyNumberFormat="1" applyFont="1" applyFill="1" applyBorder="1" applyAlignment="1">
      <alignment horizontal="center" vertical="center"/>
    </xf>
    <xf numFmtId="1" fontId="25" fillId="0" borderId="294" xfId="0" applyNumberFormat="1" applyFont="1" applyBorder="1" applyAlignment="1">
      <alignment horizontal="center" vertical="center"/>
    </xf>
    <xf numFmtId="1" fontId="68" fillId="0" borderId="294" xfId="0" applyNumberFormat="1" applyFont="1" applyBorder="1" applyAlignment="1">
      <alignment horizontal="center" vertical="center"/>
    </xf>
    <xf numFmtId="1" fontId="61" fillId="0" borderId="294" xfId="0" applyNumberFormat="1" applyFont="1" applyBorder="1" applyAlignment="1">
      <alignment horizontal="center" vertical="center"/>
    </xf>
    <xf numFmtId="3" fontId="68" fillId="0" borderId="294" xfId="0" quotePrefix="1" applyNumberFormat="1" applyFont="1" applyBorder="1" applyAlignment="1">
      <alignment horizontal="center" vertical="center"/>
    </xf>
    <xf numFmtId="1" fontId="61" fillId="38" borderId="296" xfId="0" applyNumberFormat="1" applyFont="1" applyFill="1" applyBorder="1" applyAlignment="1">
      <alignment horizontal="center" vertical="center"/>
    </xf>
    <xf numFmtId="1" fontId="61" fillId="38" borderId="297" xfId="0" applyNumberFormat="1" applyFont="1" applyFill="1" applyBorder="1" applyAlignment="1">
      <alignment horizontal="center" vertical="center"/>
    </xf>
    <xf numFmtId="180" fontId="8" fillId="0" borderId="276" xfId="15" applyNumberFormat="1" applyFont="1" applyFill="1" applyBorder="1" applyAlignment="1">
      <alignment horizontal="center" vertical="center"/>
    </xf>
    <xf numFmtId="1" fontId="53" fillId="0" borderId="222" xfId="0" applyNumberFormat="1" applyFont="1" applyBorder="1" applyAlignment="1">
      <alignment horizontal="center" vertical="center"/>
    </xf>
    <xf numFmtId="180" fontId="33" fillId="0" borderId="222" xfId="15" applyNumberFormat="1" applyFont="1" applyFill="1" applyBorder="1" applyAlignment="1">
      <alignment horizontal="center" vertical="center"/>
    </xf>
    <xf numFmtId="1" fontId="25" fillId="0" borderId="222" xfId="0" applyNumberFormat="1" applyFont="1" applyBorder="1" applyAlignment="1">
      <alignment horizontal="center" vertical="center"/>
    </xf>
    <xf numFmtId="1" fontId="68" fillId="0" borderId="222" xfId="0" applyNumberFormat="1" applyFont="1" applyBorder="1" applyAlignment="1">
      <alignment horizontal="center" vertical="center"/>
    </xf>
    <xf numFmtId="1" fontId="61" fillId="0" borderId="222" xfId="0" applyNumberFormat="1" applyFont="1" applyBorder="1" applyAlignment="1">
      <alignment horizontal="center" vertical="center"/>
    </xf>
    <xf numFmtId="3" fontId="68" fillId="0" borderId="222" xfId="0" quotePrefix="1" applyNumberFormat="1" applyFont="1" applyBorder="1" applyAlignment="1">
      <alignment horizontal="center" vertical="center"/>
    </xf>
    <xf numFmtId="1" fontId="61" fillId="38" borderId="298" xfId="0" applyNumberFormat="1" applyFont="1" applyFill="1" applyBorder="1" applyAlignment="1">
      <alignment horizontal="center" vertical="center"/>
    </xf>
    <xf numFmtId="180" fontId="33" fillId="42" borderId="299" xfId="29" applyNumberFormat="1" applyFont="1" applyFill="1" applyBorder="1" applyAlignment="1">
      <alignment horizontal="center" vertical="center"/>
    </xf>
    <xf numFmtId="3" fontId="4" fillId="42" borderId="300" xfId="29" applyNumberFormat="1" applyFill="1" applyBorder="1" applyAlignment="1">
      <alignment horizontal="center" vertical="center"/>
    </xf>
    <xf numFmtId="180" fontId="33" fillId="38" borderId="300" xfId="15" applyNumberFormat="1" applyFont="1" applyFill="1" applyBorder="1" applyAlignment="1">
      <alignment horizontal="center" vertical="center"/>
    </xf>
    <xf numFmtId="3" fontId="61" fillId="0" borderId="300" xfId="0" applyNumberFormat="1" applyFont="1" applyBorder="1" applyAlignment="1">
      <alignment horizontal="center" vertical="center"/>
    </xf>
    <xf numFmtId="196" fontId="68" fillId="38" borderId="300" xfId="0" applyNumberFormat="1" applyFont="1" applyFill="1" applyBorder="1" applyAlignment="1">
      <alignment horizontal="center" vertical="center"/>
    </xf>
    <xf numFmtId="0" fontId="61" fillId="0" borderId="300" xfId="0" applyFont="1" applyBorder="1" applyAlignment="1">
      <alignment horizontal="center" vertical="center"/>
    </xf>
    <xf numFmtId="3" fontId="25" fillId="38" borderId="300" xfId="0" applyNumberFormat="1" applyFont="1" applyFill="1" applyBorder="1" applyAlignment="1">
      <alignment horizontal="center" vertical="center"/>
    </xf>
    <xf numFmtId="3" fontId="61" fillId="38" borderId="300" xfId="0" applyNumberFormat="1" applyFont="1" applyFill="1" applyBorder="1" applyAlignment="1">
      <alignment horizontal="center" vertical="center"/>
    </xf>
    <xf numFmtId="3" fontId="68" fillId="38" borderId="300" xfId="0" quotePrefix="1" applyNumberFormat="1" applyFont="1" applyFill="1" applyBorder="1" applyAlignment="1">
      <alignment horizontal="center" vertical="center"/>
    </xf>
    <xf numFmtId="3" fontId="61" fillId="38" borderId="301" xfId="0" applyNumberFormat="1" applyFont="1" applyFill="1" applyBorder="1" applyAlignment="1">
      <alignment horizontal="center" vertical="center"/>
    </xf>
    <xf numFmtId="0" fontId="61" fillId="38" borderId="302" xfId="0" applyFont="1" applyFill="1" applyBorder="1" applyAlignment="1">
      <alignment horizontal="center" vertical="center"/>
    </xf>
    <xf numFmtId="3" fontId="68" fillId="0" borderId="222" xfId="0" applyNumberFormat="1" applyFont="1" applyBorder="1" applyAlignment="1">
      <alignment horizontal="center" vertical="center"/>
    </xf>
    <xf numFmtId="0" fontId="56" fillId="0" borderId="269" xfId="0" applyFont="1" applyBorder="1" applyAlignment="1">
      <alignment horizontal="center"/>
    </xf>
    <xf numFmtId="0" fontId="13" fillId="37" borderId="226" xfId="0" applyFont="1" applyFill="1" applyBorder="1"/>
    <xf numFmtId="0" fontId="8" fillId="37" borderId="226" xfId="0" applyFont="1" applyFill="1" applyBorder="1"/>
    <xf numFmtId="0" fontId="13" fillId="0" borderId="226" xfId="0" applyFont="1" applyBorder="1"/>
    <xf numFmtId="0" fontId="8" fillId="0" borderId="226" xfId="0" applyFont="1" applyBorder="1"/>
    <xf numFmtId="0" fontId="8" fillId="0" borderId="280" xfId="0" applyFont="1" applyBorder="1"/>
    <xf numFmtId="0" fontId="55" fillId="0" borderId="303" xfId="0" applyFont="1" applyBorder="1" applyAlignment="1">
      <alignment horizontal="center"/>
    </xf>
    <xf numFmtId="0" fontId="13" fillId="0" borderId="304" xfId="0" applyFont="1" applyBorder="1" applyAlignment="1">
      <alignment horizontal="center"/>
    </xf>
    <xf numFmtId="0" fontId="13" fillId="0" borderId="305" xfId="0" applyFont="1" applyBorder="1" applyAlignment="1">
      <alignment horizontal="center"/>
    </xf>
    <xf numFmtId="9" fontId="33" fillId="38" borderId="172" xfId="15" applyFont="1" applyFill="1" applyBorder="1" applyAlignment="1">
      <alignment horizontal="center" vertical="center"/>
    </xf>
    <xf numFmtId="3" fontId="1" fillId="42" borderId="1" xfId="29" applyNumberFormat="1" applyFont="1" applyFill="1" applyBorder="1" applyAlignment="1">
      <alignment horizontal="center" vertical="center"/>
    </xf>
    <xf numFmtId="180" fontId="33" fillId="38" borderId="44" xfId="15" applyNumberFormat="1" applyFont="1" applyFill="1" applyBorder="1" applyAlignment="1">
      <alignment horizontal="center" vertical="center"/>
    </xf>
    <xf numFmtId="3" fontId="61" fillId="0" borderId="44" xfId="0" applyNumberFormat="1" applyFont="1" applyBorder="1" applyAlignment="1">
      <alignment horizontal="center" vertical="center"/>
    </xf>
    <xf numFmtId="196" fontId="68" fillId="38" borderId="1" xfId="0" applyNumberFormat="1" applyFont="1" applyFill="1" applyBorder="1" applyAlignment="1">
      <alignment horizontal="center" vertical="center"/>
    </xf>
    <xf numFmtId="196" fontId="68" fillId="38" borderId="44" xfId="0" applyNumberFormat="1" applyFont="1" applyFill="1" applyBorder="1" applyAlignment="1">
      <alignment horizontal="center" vertical="center"/>
    </xf>
    <xf numFmtId="3" fontId="25" fillId="38" borderId="44" xfId="0" applyNumberFormat="1" applyFont="1" applyFill="1" applyBorder="1" applyAlignment="1">
      <alignment horizontal="center" vertical="center"/>
    </xf>
    <xf numFmtId="3" fontId="61" fillId="38" borderId="44" xfId="0" applyNumberFormat="1" applyFont="1" applyFill="1" applyBorder="1" applyAlignment="1">
      <alignment horizontal="center" vertical="center"/>
    </xf>
    <xf numFmtId="0" fontId="61" fillId="0" borderId="44" xfId="0" applyFont="1" applyBorder="1" applyAlignment="1">
      <alignment horizontal="center" vertical="center"/>
    </xf>
    <xf numFmtId="3" fontId="68" fillId="38" borderId="44" xfId="0" quotePrefix="1" applyNumberFormat="1" applyFont="1" applyFill="1" applyBorder="1" applyAlignment="1">
      <alignment horizontal="center" vertical="center"/>
    </xf>
    <xf numFmtId="0" fontId="61" fillId="38" borderId="306" xfId="0" applyFont="1" applyFill="1" applyBorder="1" applyAlignment="1">
      <alignment horizontal="center" vertical="center"/>
    </xf>
    <xf numFmtId="1" fontId="8" fillId="0" borderId="35" xfId="0" applyNumberFormat="1" applyFont="1" applyBorder="1" applyAlignment="1">
      <alignment horizontal="center" vertical="center"/>
    </xf>
    <xf numFmtId="1" fontId="58" fillId="41" borderId="38" xfId="0" applyNumberFormat="1" applyFont="1" applyFill="1" applyBorder="1" applyAlignment="1">
      <alignment horizontal="center" vertical="center"/>
    </xf>
    <xf numFmtId="1" fontId="58" fillId="0" borderId="44" xfId="0" applyNumberFormat="1" applyFont="1" applyBorder="1" applyAlignment="1">
      <alignment horizontal="center" vertical="center"/>
    </xf>
    <xf numFmtId="1" fontId="58" fillId="41" borderId="44" xfId="0" applyNumberFormat="1" applyFont="1" applyFill="1" applyBorder="1" applyAlignment="1">
      <alignment horizontal="center" vertical="center"/>
    </xf>
    <xf numFmtId="3" fontId="58" fillId="41" borderId="35" xfId="0" applyNumberFormat="1" applyFont="1" applyFill="1" applyBorder="1" applyAlignment="1">
      <alignment horizontal="center" vertical="center"/>
    </xf>
    <xf numFmtId="3" fontId="58" fillId="0" borderId="108" xfId="0" applyNumberFormat="1" applyFont="1" applyBorder="1" applyAlignment="1">
      <alignment horizontal="center" vertical="center"/>
    </xf>
    <xf numFmtId="0" fontId="58" fillId="0" borderId="108" xfId="0" applyFont="1" applyBorder="1" applyAlignment="1">
      <alignment horizontal="center" vertical="center"/>
    </xf>
    <xf numFmtId="3" fontId="58" fillId="40" borderId="108" xfId="0" applyNumberFormat="1" applyFont="1" applyFill="1" applyBorder="1" applyAlignment="1">
      <alignment horizontal="center" vertical="center"/>
    </xf>
    <xf numFmtId="0" fontId="58" fillId="41" borderId="108" xfId="0" applyFont="1" applyFill="1" applyBorder="1" applyAlignment="1">
      <alignment horizontal="center" vertical="center"/>
    </xf>
    <xf numFmtId="3" fontId="58" fillId="40" borderId="108" xfId="0" quotePrefix="1" applyNumberFormat="1" applyFont="1" applyFill="1" applyBorder="1" applyAlignment="1">
      <alignment horizontal="center" vertical="center"/>
    </xf>
    <xf numFmtId="3" fontId="58" fillId="0" borderId="251" xfId="0" applyNumberFormat="1" applyFont="1" applyBorder="1" applyAlignment="1">
      <alignment horizontal="center" vertical="center"/>
    </xf>
    <xf numFmtId="3" fontId="58" fillId="0" borderId="292" xfId="0" applyNumberFormat="1" applyFont="1" applyBorder="1" applyAlignment="1">
      <alignment horizontal="center" vertical="center"/>
    </xf>
    <xf numFmtId="3" fontId="58" fillId="0" borderId="293" xfId="0" applyNumberFormat="1" applyFont="1" applyBorder="1" applyAlignment="1">
      <alignment horizontal="center" vertical="center"/>
    </xf>
    <xf numFmtId="0" fontId="58" fillId="0" borderId="274" xfId="0" applyFont="1" applyBorder="1" applyAlignment="1">
      <alignment horizontal="center" vertical="center"/>
    </xf>
    <xf numFmtId="0" fontId="58" fillId="0" borderId="294" xfId="0" applyFont="1" applyBorder="1" applyAlignment="1">
      <alignment horizontal="center" vertical="center"/>
    </xf>
    <xf numFmtId="3" fontId="58" fillId="40" borderId="274" xfId="0" applyNumberFormat="1" applyFont="1" applyFill="1" applyBorder="1" applyAlignment="1">
      <alignment horizontal="center" vertical="center"/>
    </xf>
    <xf numFmtId="3" fontId="58" fillId="40" borderId="294" xfId="0" applyNumberFormat="1" applyFont="1" applyFill="1" applyBorder="1" applyAlignment="1">
      <alignment horizontal="center" vertical="center"/>
    </xf>
    <xf numFmtId="0" fontId="58" fillId="41" borderId="274" xfId="0" applyFont="1" applyFill="1" applyBorder="1" applyAlignment="1">
      <alignment horizontal="center" vertical="center"/>
    </xf>
    <xf numFmtId="0" fontId="58" fillId="41" borderId="294" xfId="0" applyFont="1" applyFill="1" applyBorder="1" applyAlignment="1">
      <alignment horizontal="center" vertical="center"/>
    </xf>
    <xf numFmtId="3" fontId="58" fillId="40" borderId="274" xfId="0" quotePrefix="1" applyNumberFormat="1" applyFont="1" applyFill="1" applyBorder="1" applyAlignment="1">
      <alignment horizontal="center" vertical="center"/>
    </xf>
    <xf numFmtId="3" fontId="58" fillId="40" borderId="294" xfId="0" quotePrefix="1" applyNumberFormat="1" applyFont="1" applyFill="1" applyBorder="1" applyAlignment="1">
      <alignment horizontal="center" vertical="center"/>
    </xf>
    <xf numFmtId="3" fontId="58" fillId="0" borderId="274" xfId="0" applyNumberFormat="1" applyFont="1" applyBorder="1" applyAlignment="1">
      <alignment horizontal="center" vertical="center"/>
    </xf>
    <xf numFmtId="3" fontId="58" fillId="0" borderId="294" xfId="0" applyNumberFormat="1" applyFont="1" applyBorder="1" applyAlignment="1">
      <alignment horizontal="center" vertical="center"/>
    </xf>
    <xf numFmtId="3" fontId="58" fillId="41" borderId="295" xfId="0" applyNumberFormat="1" applyFont="1" applyFill="1" applyBorder="1" applyAlignment="1">
      <alignment horizontal="center" vertical="center"/>
    </xf>
    <xf numFmtId="3" fontId="58" fillId="41" borderId="296" xfId="0" applyNumberFormat="1" applyFont="1" applyFill="1" applyBorder="1" applyAlignment="1">
      <alignment horizontal="center" vertical="center"/>
    </xf>
    <xf numFmtId="3" fontId="58" fillId="41" borderId="297" xfId="0" applyNumberFormat="1" applyFont="1" applyFill="1" applyBorder="1" applyAlignment="1">
      <alignment horizontal="center" vertical="center"/>
    </xf>
    <xf numFmtId="0" fontId="0" fillId="0" borderId="307" xfId="0" applyBorder="1" applyAlignment="1">
      <alignment readingOrder="1"/>
    </xf>
    <xf numFmtId="0" fontId="0" fillId="0" borderId="312" xfId="0" applyBorder="1" applyAlignment="1">
      <alignment readingOrder="1"/>
    </xf>
    <xf numFmtId="0" fontId="92" fillId="0" borderId="311" xfId="33" applyBorder="1" applyAlignment="1">
      <alignment readingOrder="1"/>
    </xf>
    <xf numFmtId="0" fontId="13" fillId="0" borderId="313" xfId="0" applyFont="1" applyBorder="1" applyAlignment="1">
      <alignment horizontal="center"/>
    </xf>
    <xf numFmtId="10" fontId="8" fillId="8" borderId="19" xfId="0" applyNumberFormat="1" applyFont="1" applyFill="1" applyBorder="1" applyAlignment="1">
      <alignment horizontal="center"/>
    </xf>
    <xf numFmtId="2" fontId="0" fillId="0" borderId="0" xfId="0" applyNumberFormat="1"/>
    <xf numFmtId="1" fontId="58" fillId="8" borderId="44" xfId="0" applyNumberFormat="1" applyFont="1" applyFill="1" applyBorder="1" applyAlignment="1">
      <alignment horizontal="center" vertical="center"/>
    </xf>
    <xf numFmtId="3" fontId="8" fillId="8" borderId="44" xfId="0" applyNumberFormat="1" applyFont="1" applyFill="1" applyBorder="1" applyAlignment="1">
      <alignment horizontal="center" vertical="center"/>
    </xf>
    <xf numFmtId="1" fontId="0" fillId="0" borderId="0" xfId="0" applyNumberFormat="1"/>
    <xf numFmtId="0" fontId="0" fillId="0" borderId="311" xfId="0" applyBorder="1" applyAlignment="1">
      <alignment readingOrder="1"/>
    </xf>
    <xf numFmtId="0" fontId="0" fillId="0" borderId="110" xfId="0" applyBorder="1" applyAlignment="1">
      <alignment horizontal="center" vertical="center"/>
    </xf>
    <xf numFmtId="0" fontId="0" fillId="0" borderId="220" xfId="0" applyBorder="1" applyAlignment="1">
      <alignment horizontal="center" vertical="center"/>
    </xf>
    <xf numFmtId="49" fontId="0" fillId="0" borderId="0" xfId="0" applyNumberFormat="1"/>
    <xf numFmtId="49" fontId="93" fillId="0" borderId="0" xfId="0" applyNumberFormat="1" applyFont="1" applyAlignment="1">
      <alignment horizontal="center" wrapText="1"/>
    </xf>
    <xf numFmtId="0" fontId="10" fillId="0" borderId="174" xfId="33" applyFont="1" applyBorder="1" applyAlignment="1" applyProtection="1">
      <alignment horizontal="center"/>
    </xf>
    <xf numFmtId="0" fontId="0" fillId="0" borderId="174" xfId="0" applyBorder="1" applyAlignment="1">
      <alignment horizontal="center"/>
    </xf>
    <xf numFmtId="0" fontId="0" fillId="0" borderId="174" xfId="0" applyBorder="1"/>
    <xf numFmtId="0" fontId="0" fillId="0" borderId="138" xfId="0" applyBorder="1"/>
    <xf numFmtId="0" fontId="0" fillId="0" borderId="118" xfId="0" applyBorder="1"/>
    <xf numFmtId="0" fontId="0" fillId="0" borderId="115" xfId="0" applyBorder="1"/>
    <xf numFmtId="0" fontId="0" fillId="0" borderId="117" xfId="0" applyBorder="1"/>
    <xf numFmtId="0" fontId="0" fillId="0" borderId="131" xfId="0" applyBorder="1"/>
    <xf numFmtId="0" fontId="0" fillId="0" borderId="139" xfId="0" applyBorder="1"/>
    <xf numFmtId="49" fontId="0" fillId="0" borderId="117" xfId="0" applyNumberFormat="1" applyBorder="1"/>
    <xf numFmtId="49" fontId="0" fillId="0" borderId="131" xfId="0" applyNumberFormat="1" applyBorder="1"/>
    <xf numFmtId="0" fontId="0" fillId="0" borderId="120" xfId="0" applyBorder="1"/>
    <xf numFmtId="0" fontId="53" fillId="0" borderId="221" xfId="0" applyFont="1" applyBorder="1" applyAlignment="1">
      <alignment horizontal="center" vertical="center"/>
    </xf>
    <xf numFmtId="9" fontId="53" fillId="0" borderId="0" xfId="15" applyFont="1" applyAlignment="1">
      <alignment horizontal="center"/>
    </xf>
    <xf numFmtId="0" fontId="53" fillId="0" borderId="0" xfId="0" applyFont="1" applyAlignment="1">
      <alignment horizontal="center"/>
    </xf>
    <xf numFmtId="9" fontId="53" fillId="0" borderId="108" xfId="15" applyFont="1" applyBorder="1" applyAlignment="1">
      <alignment horizontal="center"/>
    </xf>
    <xf numFmtId="0" fontId="53" fillId="0" borderId="222" xfId="0" applyFont="1" applyBorder="1" applyAlignment="1">
      <alignment horizontal="center"/>
    </xf>
    <xf numFmtId="2" fontId="8" fillId="0" borderId="3" xfId="0" applyNumberFormat="1" applyFont="1" applyBorder="1" applyAlignment="1">
      <alignment horizontal="center" vertical="center"/>
    </xf>
    <xf numFmtId="0" fontId="0" fillId="0" borderId="0" xfId="0" applyAlignment="1">
      <alignment readingOrder="1"/>
    </xf>
    <xf numFmtId="0" fontId="0" fillId="0" borderId="220" xfId="0" applyBorder="1"/>
    <xf numFmtId="2" fontId="0" fillId="0" borderId="108" xfId="15" applyNumberFormat="1" applyFont="1" applyBorder="1" applyAlignment="1">
      <alignment horizontal="center" vertical="center"/>
    </xf>
    <xf numFmtId="9" fontId="0" fillId="0" borderId="111" xfId="15" applyFont="1" applyBorder="1" applyAlignment="1">
      <alignment horizontal="center" vertical="center"/>
    </xf>
    <xf numFmtId="0" fontId="0" fillId="0" borderId="222" xfId="0" applyBorder="1" applyAlignment="1">
      <alignment horizontal="center" vertical="center"/>
    </xf>
    <xf numFmtId="0" fontId="0" fillId="0" borderId="108" xfId="0" applyBorder="1" applyAlignment="1">
      <alignment horizontal="left" vertical="center"/>
    </xf>
    <xf numFmtId="9" fontId="0" fillId="0" borderId="109" xfId="15" applyFont="1" applyBorder="1" applyAlignment="1">
      <alignment horizontal="center" vertical="center"/>
    </xf>
    <xf numFmtId="3" fontId="1" fillId="0" borderId="45" xfId="28" applyNumberFormat="1" applyFont="1" applyBorder="1" applyAlignment="1">
      <alignment horizontal="center"/>
    </xf>
    <xf numFmtId="0" fontId="0" fillId="68" borderId="275" xfId="23" applyFont="1" applyFill="1" applyBorder="1"/>
    <xf numFmtId="4" fontId="0" fillId="0" borderId="111" xfId="23" applyNumberFormat="1" applyFont="1" applyBorder="1"/>
    <xf numFmtId="0" fontId="0" fillId="68" borderId="283" xfId="23" applyFont="1" applyFill="1" applyBorder="1"/>
    <xf numFmtId="9" fontId="26" fillId="23" borderId="85" xfId="15" applyFont="1" applyFill="1" applyBorder="1" applyAlignment="1">
      <alignment horizontal="center"/>
    </xf>
    <xf numFmtId="9" fontId="26" fillId="23" borderId="87" xfId="15" applyFont="1" applyFill="1" applyBorder="1" applyAlignment="1">
      <alignment horizontal="center"/>
    </xf>
    <xf numFmtId="9" fontId="26" fillId="23" borderId="0" xfId="15" applyFont="1" applyFill="1" applyBorder="1" applyAlignment="1">
      <alignment horizontal="center" vertical="center"/>
    </xf>
    <xf numFmtId="0" fontId="63" fillId="0" borderId="0" xfId="25" applyFont="1" applyAlignment="1">
      <alignment vertical="center"/>
    </xf>
    <xf numFmtId="182" fontId="34" fillId="8" borderId="102" xfId="6" applyFont="1" applyFill="1" applyBorder="1" applyAlignment="1">
      <alignment horizontal="right" vertical="center" wrapText="1"/>
    </xf>
    <xf numFmtId="4" fontId="34" fillId="3" borderId="102" xfId="7" applyFont="1" applyBorder="1" applyAlignment="1">
      <alignment horizontal="right" vertical="center" wrapText="1"/>
    </xf>
    <xf numFmtId="0" fontId="58" fillId="0" borderId="311" xfId="0" applyFont="1" applyBorder="1" applyAlignment="1">
      <alignment readingOrder="1"/>
    </xf>
    <xf numFmtId="0" fontId="58" fillId="0" borderId="310" xfId="0" applyFont="1" applyBorder="1" applyAlignment="1">
      <alignment readingOrder="1"/>
    </xf>
    <xf numFmtId="3" fontId="58" fillId="0" borderId="310" xfId="0" applyNumberFormat="1" applyFont="1" applyBorder="1" applyAlignment="1">
      <alignment readingOrder="1"/>
    </xf>
    <xf numFmtId="0" fontId="58" fillId="0" borderId="307" xfId="0" applyFont="1" applyBorder="1" applyAlignment="1">
      <alignment readingOrder="1"/>
    </xf>
    <xf numFmtId="2" fontId="58" fillId="0" borderId="311" xfId="0" applyNumberFormat="1" applyFont="1" applyBorder="1" applyAlignment="1">
      <alignment readingOrder="1"/>
    </xf>
    <xf numFmtId="0" fontId="58" fillId="0" borderId="316" xfId="0" applyFont="1" applyBorder="1" applyAlignment="1">
      <alignment readingOrder="1"/>
    </xf>
    <xf numFmtId="0" fontId="58" fillId="0" borderId="308" xfId="0" applyFont="1" applyBorder="1" applyAlignment="1">
      <alignment readingOrder="1"/>
    </xf>
    <xf numFmtId="0" fontId="58" fillId="0" borderId="112" xfId="0" applyFont="1" applyBorder="1" applyAlignment="1">
      <alignment readingOrder="1"/>
    </xf>
    <xf numFmtId="0" fontId="58" fillId="0" borderId="309" xfId="0" applyFont="1" applyBorder="1" applyAlignment="1">
      <alignment readingOrder="1"/>
    </xf>
    <xf numFmtId="0" fontId="58" fillId="0" borderId="317" xfId="0" applyFont="1" applyBorder="1" applyAlignment="1">
      <alignment readingOrder="1"/>
    </xf>
    <xf numFmtId="0" fontId="8" fillId="0" borderId="311" xfId="0" applyFont="1" applyBorder="1" applyAlignment="1">
      <alignment readingOrder="1"/>
    </xf>
    <xf numFmtId="0" fontId="58" fillId="0" borderId="318" xfId="0" applyFont="1" applyBorder="1" applyAlignment="1">
      <alignment readingOrder="1"/>
    </xf>
    <xf numFmtId="0" fontId="58" fillId="0" borderId="312" xfId="0" applyFont="1" applyBorder="1" applyAlignment="1">
      <alignment readingOrder="1"/>
    </xf>
    <xf numFmtId="0" fontId="58" fillId="0" borderId="110" xfId="0" applyFont="1" applyBorder="1" applyAlignment="1">
      <alignment readingOrder="1"/>
    </xf>
    <xf numFmtId="0" fontId="58" fillId="0" borderId="0" xfId="0" applyFont="1" applyAlignment="1">
      <alignment readingOrder="1"/>
    </xf>
    <xf numFmtId="0" fontId="56" fillId="0" borderId="310" xfId="0" applyFont="1" applyBorder="1" applyAlignment="1">
      <alignment wrapText="1" readingOrder="1"/>
    </xf>
    <xf numFmtId="0" fontId="56" fillId="0" borderId="311" xfId="0" applyFont="1" applyBorder="1" applyAlignment="1">
      <alignment readingOrder="1"/>
    </xf>
    <xf numFmtId="199" fontId="58" fillId="0" borderId="0" xfId="0" applyNumberFormat="1" applyFont="1"/>
    <xf numFmtId="0" fontId="58" fillId="0" borderId="311" xfId="0" quotePrefix="1" applyFont="1" applyBorder="1" applyAlignment="1">
      <alignment readingOrder="1"/>
    </xf>
    <xf numFmtId="0" fontId="8" fillId="0" borderId="312" xfId="0" applyFont="1" applyBorder="1" applyAlignment="1">
      <alignment readingOrder="1"/>
    </xf>
    <xf numFmtId="0" fontId="13" fillId="58" borderId="130" xfId="0" applyFont="1" applyFill="1" applyBorder="1"/>
    <xf numFmtId="0" fontId="13" fillId="67" borderId="269" xfId="0" applyFont="1" applyFill="1" applyBorder="1" applyAlignment="1">
      <alignment horizontal="center" vertical="center"/>
    </xf>
    <xf numFmtId="197" fontId="13" fillId="0" borderId="256" xfId="0" applyNumberFormat="1" applyFont="1" applyBorder="1" applyAlignment="1">
      <alignment horizontal="center" vertical="center"/>
    </xf>
    <xf numFmtId="0" fontId="13" fillId="0" borderId="289" xfId="0" applyFont="1" applyBorder="1" applyAlignment="1">
      <alignment horizontal="center" vertical="center" wrapText="1"/>
    </xf>
    <xf numFmtId="0" fontId="13" fillId="0" borderId="269" xfId="0" applyFont="1" applyBorder="1" applyAlignment="1">
      <alignment horizontal="center" vertical="center"/>
    </xf>
    <xf numFmtId="2" fontId="0" fillId="0" borderId="108" xfId="23" applyNumberFormat="1" applyFont="1" applyBorder="1"/>
    <xf numFmtId="0" fontId="99" fillId="0" borderId="0" xfId="0" applyFont="1"/>
    <xf numFmtId="4" fontId="0" fillId="0" borderId="0" xfId="0" applyNumberFormat="1"/>
    <xf numFmtId="0" fontId="92" fillId="0" borderId="0" xfId="33" applyBorder="1"/>
    <xf numFmtId="49" fontId="100" fillId="0" borderId="118" xfId="0" applyNumberFormat="1" applyFont="1" applyBorder="1" applyAlignment="1">
      <alignment vertical="top"/>
    </xf>
    <xf numFmtId="49" fontId="101" fillId="0" borderId="118" xfId="0" applyNumberFormat="1" applyFont="1" applyBorder="1"/>
    <xf numFmtId="49" fontId="94" fillId="0" borderId="120" xfId="33" applyNumberFormat="1" applyFont="1" applyBorder="1" applyAlignment="1" applyProtection="1"/>
    <xf numFmtId="0" fontId="8" fillId="0" borderId="109" xfId="0" applyFont="1" applyBorder="1" applyAlignment="1">
      <alignment horizontal="center" vertical="center"/>
    </xf>
    <xf numFmtId="0" fontId="27" fillId="60" borderId="65" xfId="0" applyFont="1" applyFill="1" applyBorder="1" applyAlignment="1">
      <alignment horizontal="center" vertical="center"/>
    </xf>
    <xf numFmtId="0" fontId="46" fillId="5" borderId="51" xfId="0" applyFont="1" applyFill="1" applyBorder="1" applyAlignment="1">
      <alignment horizontal="center"/>
    </xf>
    <xf numFmtId="0" fontId="46" fillId="5" borderId="61" xfId="0" applyFont="1" applyFill="1" applyBorder="1" applyAlignment="1">
      <alignment horizontal="center"/>
    </xf>
    <xf numFmtId="0" fontId="8" fillId="0" borderId="153" xfId="0" applyFont="1" applyBorder="1" applyAlignment="1">
      <alignment horizontal="left" vertical="center" wrapText="1"/>
    </xf>
    <xf numFmtId="0" fontId="8" fillId="0" borderId="148" xfId="0" applyFont="1" applyBorder="1" applyAlignment="1">
      <alignment horizontal="left" vertical="center"/>
    </xf>
    <xf numFmtId="0" fontId="8" fillId="0" borderId="149" xfId="0" applyFont="1" applyBorder="1" applyAlignment="1">
      <alignment horizontal="left" vertical="center"/>
    </xf>
    <xf numFmtId="0" fontId="8" fillId="0" borderId="154" xfId="0" applyFont="1" applyBorder="1" applyAlignment="1">
      <alignment horizontal="left" vertical="center"/>
    </xf>
    <xf numFmtId="0" fontId="0" fillId="0" borderId="0" xfId="0" applyAlignment="1">
      <alignment horizontal="left" vertical="center"/>
    </xf>
    <xf numFmtId="0" fontId="8" fillId="0" borderId="150" xfId="0" applyFont="1" applyBorder="1" applyAlignment="1">
      <alignment horizontal="left" vertical="center"/>
    </xf>
    <xf numFmtId="0" fontId="8" fillId="0" borderId="155" xfId="0" applyFont="1" applyBorder="1" applyAlignment="1">
      <alignment horizontal="left" vertical="center"/>
    </xf>
    <xf numFmtId="0" fontId="8" fillId="0" borderId="151" xfId="0" applyFont="1" applyBorder="1" applyAlignment="1">
      <alignment horizontal="left" vertical="center"/>
    </xf>
    <xf numFmtId="0" fontId="8" fillId="0" borderId="152" xfId="0" applyFont="1" applyBorder="1" applyAlignment="1">
      <alignment horizontal="left" vertical="center"/>
    </xf>
    <xf numFmtId="0" fontId="27" fillId="32" borderId="51" xfId="0" applyFont="1" applyFill="1" applyBorder="1" applyAlignment="1">
      <alignment horizontal="center"/>
    </xf>
    <xf numFmtId="0" fontId="34" fillId="0" borderId="214" xfId="0" applyFont="1" applyBorder="1" applyAlignment="1">
      <alignment horizontal="left" vertical="center" wrapText="1"/>
    </xf>
    <xf numFmtId="0" fontId="69" fillId="0" borderId="148" xfId="0" applyFont="1" applyBorder="1" applyAlignment="1">
      <alignment horizontal="left" vertical="center"/>
    </xf>
    <xf numFmtId="0" fontId="69" fillId="0" borderId="149" xfId="0" applyFont="1" applyBorder="1" applyAlignment="1">
      <alignment horizontal="left" vertical="center"/>
    </xf>
    <xf numFmtId="0" fontId="69" fillId="0" borderId="10" xfId="0" applyFont="1" applyBorder="1" applyAlignment="1">
      <alignment horizontal="left" vertical="center"/>
    </xf>
    <xf numFmtId="0" fontId="69" fillId="0" borderId="0" xfId="0" applyFont="1" applyAlignment="1">
      <alignment horizontal="left" vertical="center"/>
    </xf>
    <xf numFmtId="0" fontId="69" fillId="0" borderId="150" xfId="0" applyFont="1" applyBorder="1" applyAlignment="1">
      <alignment horizontal="left" vertical="center"/>
    </xf>
    <xf numFmtId="0" fontId="69" fillId="0" borderId="215" xfId="0" applyFont="1" applyBorder="1" applyAlignment="1">
      <alignment horizontal="left" vertical="center"/>
    </xf>
    <xf numFmtId="0" fontId="69" fillId="0" borderId="151" xfId="0" applyFont="1" applyBorder="1" applyAlignment="1">
      <alignment horizontal="left" vertical="center"/>
    </xf>
    <xf numFmtId="0" fontId="69" fillId="0" borderId="152" xfId="0" applyFont="1" applyBorder="1" applyAlignment="1">
      <alignment horizontal="left" vertical="center"/>
    </xf>
    <xf numFmtId="0" fontId="62" fillId="8" borderId="51" xfId="0" applyFont="1" applyFill="1" applyBorder="1" applyAlignment="1">
      <alignment horizontal="center" wrapText="1"/>
    </xf>
    <xf numFmtId="0" fontId="27" fillId="8" borderId="51" xfId="0" applyFont="1" applyFill="1" applyBorder="1" applyAlignment="1">
      <alignment horizontal="center"/>
    </xf>
    <xf numFmtId="0" fontId="62" fillId="8" borderId="51" xfId="0" applyFont="1" applyFill="1" applyBorder="1" applyAlignment="1">
      <alignment horizontal="center"/>
    </xf>
    <xf numFmtId="0" fontId="62" fillId="8" borderId="59" xfId="0" applyFont="1" applyFill="1" applyBorder="1" applyAlignment="1">
      <alignment horizontal="center"/>
    </xf>
    <xf numFmtId="0" fontId="27" fillId="8" borderId="59" xfId="0" applyFont="1" applyFill="1" applyBorder="1" applyAlignment="1">
      <alignment horizontal="center"/>
    </xf>
    <xf numFmtId="0" fontId="8" fillId="0" borderId="2" xfId="0" applyFont="1" applyBorder="1" applyAlignment="1">
      <alignment horizontal="left" vertical="top" wrapText="1"/>
    </xf>
    <xf numFmtId="0" fontId="8" fillId="0" borderId="60" xfId="0" applyFont="1" applyBorder="1" applyAlignment="1">
      <alignment horizontal="left" vertical="top" wrapText="1"/>
    </xf>
    <xf numFmtId="0" fontId="0" fillId="0" borderId="216" xfId="0" applyBorder="1" applyAlignment="1">
      <alignment horizontal="left" vertical="top" wrapText="1"/>
    </xf>
    <xf numFmtId="0" fontId="8" fillId="0" borderId="45" xfId="0" applyFont="1" applyBorder="1" applyAlignment="1">
      <alignment horizontal="left" vertical="top" wrapText="1"/>
    </xf>
    <xf numFmtId="0" fontId="8" fillId="0" borderId="58" xfId="0" applyFont="1" applyBorder="1" applyAlignment="1">
      <alignment horizontal="left" vertical="top" wrapText="1"/>
    </xf>
    <xf numFmtId="0" fontId="0" fillId="0" borderId="217" xfId="0" applyBorder="1" applyAlignment="1">
      <alignment horizontal="left" vertical="top" wrapText="1"/>
    </xf>
    <xf numFmtId="0" fontId="0" fillId="0" borderId="218" xfId="0" applyBorder="1" applyAlignment="1">
      <alignment horizontal="left" vertical="top" wrapText="1"/>
    </xf>
    <xf numFmtId="0" fontId="0" fillId="0" borderId="219" xfId="0" applyBorder="1" applyAlignment="1">
      <alignment horizontal="left" vertical="top" wrapText="1"/>
    </xf>
    <xf numFmtId="0" fontId="46" fillId="31" borderId="213" xfId="0" applyFont="1" applyFill="1" applyBorder="1" applyAlignment="1">
      <alignment horizontal="center"/>
    </xf>
    <xf numFmtId="0" fontId="46" fillId="31" borderId="51" xfId="0" applyFont="1" applyFill="1" applyBorder="1" applyAlignment="1">
      <alignment horizontal="center"/>
    </xf>
    <xf numFmtId="0" fontId="21" fillId="0" borderId="244" xfId="0" applyFont="1" applyBorder="1" applyAlignment="1">
      <alignment horizontal="center" vertical="center" wrapText="1"/>
    </xf>
    <xf numFmtId="0" fontId="21" fillId="0" borderId="245" xfId="0" applyFont="1" applyBorder="1" applyAlignment="1">
      <alignment horizontal="center" vertical="center" wrapText="1"/>
    </xf>
    <xf numFmtId="0" fontId="21" fillId="0" borderId="10" xfId="0" applyFont="1" applyBorder="1" applyAlignment="1">
      <alignment horizontal="center" vertical="center" wrapText="1"/>
    </xf>
    <xf numFmtId="0" fontId="21" fillId="0" borderId="246" xfId="0" applyFont="1" applyBorder="1" applyAlignment="1">
      <alignment horizontal="center" vertical="center" wrapText="1"/>
    </xf>
    <xf numFmtId="0" fontId="21" fillId="0" borderId="247" xfId="0" applyFont="1" applyBorder="1" applyAlignment="1">
      <alignment horizontal="center" vertical="center" wrapText="1"/>
    </xf>
    <xf numFmtId="0" fontId="21" fillId="0" borderId="28" xfId="0" applyFont="1" applyBorder="1" applyAlignment="1">
      <alignment horizontal="center" vertical="center" wrapText="1"/>
    </xf>
    <xf numFmtId="0" fontId="21" fillId="0" borderId="248" xfId="0" applyFont="1" applyBorder="1" applyAlignment="1">
      <alignment horizontal="center" vertical="center" wrapText="1"/>
    </xf>
    <xf numFmtId="0" fontId="21" fillId="0" borderId="25" xfId="0" applyFont="1" applyBorder="1" applyAlignment="1">
      <alignment horizontal="center" vertical="center" wrapText="1"/>
    </xf>
    <xf numFmtId="0" fontId="46" fillId="5" borderId="213" xfId="0" applyFont="1" applyFill="1" applyBorder="1" applyAlignment="1">
      <alignment horizontal="center"/>
    </xf>
    <xf numFmtId="0" fontId="46" fillId="5" borderId="173" xfId="0" applyFont="1" applyFill="1" applyBorder="1" applyAlignment="1">
      <alignment horizontal="center"/>
    </xf>
    <xf numFmtId="0" fontId="46" fillId="5" borderId="114" xfId="0" applyFont="1" applyFill="1" applyBorder="1" applyAlignment="1">
      <alignment horizontal="center"/>
    </xf>
    <xf numFmtId="0" fontId="46" fillId="5" borderId="33" xfId="0" applyFont="1" applyFill="1" applyBorder="1" applyAlignment="1">
      <alignment horizontal="center"/>
    </xf>
    <xf numFmtId="0" fontId="46" fillId="5" borderId="27" xfId="0" applyFont="1" applyFill="1" applyBorder="1" applyAlignment="1">
      <alignment horizontal="center"/>
    </xf>
    <xf numFmtId="0" fontId="46" fillId="5" borderId="28" xfId="0" applyFont="1" applyFill="1" applyBorder="1" applyAlignment="1">
      <alignment horizontal="center"/>
    </xf>
    <xf numFmtId="0" fontId="0" fillId="8" borderId="189" xfId="0" applyFill="1" applyBorder="1" applyAlignment="1">
      <alignment horizontal="center"/>
    </xf>
    <xf numFmtId="0" fontId="0" fillId="8" borderId="190" xfId="0" applyFill="1" applyBorder="1" applyAlignment="1">
      <alignment horizontal="center"/>
    </xf>
    <xf numFmtId="0" fontId="0" fillId="8" borderId="191" xfId="0" applyFill="1" applyBorder="1" applyAlignment="1">
      <alignment horizontal="center"/>
    </xf>
    <xf numFmtId="0" fontId="0" fillId="8" borderId="186" xfId="0" applyFill="1" applyBorder="1" applyAlignment="1">
      <alignment horizontal="center"/>
    </xf>
    <xf numFmtId="0" fontId="0" fillId="8" borderId="187" xfId="0" applyFill="1" applyBorder="1" applyAlignment="1">
      <alignment horizontal="center"/>
    </xf>
    <xf numFmtId="0" fontId="0" fillId="8" borderId="188" xfId="0" applyFill="1" applyBorder="1" applyAlignment="1">
      <alignment horizontal="center"/>
    </xf>
    <xf numFmtId="0" fontId="8" fillId="0" borderId="19" xfId="0" applyFont="1" applyBorder="1" applyAlignment="1">
      <alignment horizontal="left" vertical="center"/>
    </xf>
    <xf numFmtId="0" fontId="8" fillId="0" borderId="19" xfId="0" applyFont="1" applyBorder="1" applyAlignment="1">
      <alignment horizontal="left"/>
    </xf>
    <xf numFmtId="0" fontId="46" fillId="5" borderId="120" xfId="0" applyFont="1" applyFill="1" applyBorder="1" applyAlignment="1">
      <alignment horizontal="center"/>
    </xf>
    <xf numFmtId="0" fontId="46" fillId="5" borderId="174" xfId="0" applyFont="1" applyFill="1" applyBorder="1" applyAlignment="1">
      <alignment horizontal="center"/>
    </xf>
    <xf numFmtId="0" fontId="46" fillId="5" borderId="175" xfId="0" applyFont="1" applyFill="1" applyBorder="1" applyAlignment="1">
      <alignment horizontal="center"/>
    </xf>
    <xf numFmtId="0" fontId="46" fillId="5" borderId="10" xfId="0" applyFont="1" applyFill="1" applyBorder="1" applyAlignment="1">
      <alignment horizontal="center"/>
    </xf>
    <xf numFmtId="0" fontId="46" fillId="5" borderId="0" xfId="0" applyFont="1" applyFill="1" applyAlignment="1">
      <alignment horizontal="center"/>
    </xf>
    <xf numFmtId="0" fontId="46" fillId="5" borderId="115" xfId="0" applyFont="1" applyFill="1" applyBorder="1" applyAlignment="1">
      <alignment horizontal="center"/>
    </xf>
    <xf numFmtId="0" fontId="27" fillId="32" borderId="130" xfId="0" applyFont="1" applyFill="1" applyBorder="1" applyAlignment="1">
      <alignment horizontal="center"/>
    </xf>
    <xf numFmtId="0" fontId="27" fillId="32" borderId="114" xfId="0" applyFont="1" applyFill="1" applyBorder="1" applyAlignment="1">
      <alignment horizontal="center"/>
    </xf>
    <xf numFmtId="0" fontId="27" fillId="32" borderId="181" xfId="0" applyFont="1" applyFill="1" applyBorder="1" applyAlignment="1">
      <alignment horizontal="center"/>
    </xf>
    <xf numFmtId="0" fontId="27" fillId="32" borderId="117" xfId="0" applyFont="1" applyFill="1" applyBorder="1" applyAlignment="1">
      <alignment horizontal="center"/>
    </xf>
    <xf numFmtId="0" fontId="27" fillId="32" borderId="131" xfId="0" applyFont="1" applyFill="1" applyBorder="1" applyAlignment="1">
      <alignment horizontal="center"/>
    </xf>
    <xf numFmtId="0" fontId="27" fillId="32" borderId="139" xfId="0" applyFont="1" applyFill="1" applyBorder="1" applyAlignment="1">
      <alignment horizontal="center"/>
    </xf>
    <xf numFmtId="0" fontId="45" fillId="18" borderId="10" xfId="0" applyFont="1" applyFill="1" applyBorder="1" applyAlignment="1">
      <alignment horizontal="center"/>
    </xf>
    <xf numFmtId="0" fontId="45" fillId="18" borderId="0" xfId="0" applyFont="1" applyFill="1" applyAlignment="1">
      <alignment horizontal="center"/>
    </xf>
    <xf numFmtId="0" fontId="45" fillId="18" borderId="12" xfId="0" applyFont="1" applyFill="1" applyBorder="1" applyAlignment="1">
      <alignment horizontal="center"/>
    </xf>
    <xf numFmtId="0" fontId="34" fillId="8" borderId="177" xfId="0" applyFont="1" applyFill="1" applyBorder="1" applyAlignment="1">
      <alignment horizontal="center" vertical="center" wrapText="1"/>
    </xf>
    <xf numFmtId="0" fontId="0" fillId="8" borderId="178" xfId="0" applyFill="1" applyBorder="1" applyAlignment="1">
      <alignment horizontal="center" vertical="center" wrapText="1"/>
    </xf>
    <xf numFmtId="0" fontId="0" fillId="8" borderId="179" xfId="0" applyFill="1" applyBorder="1" applyAlignment="1">
      <alignment horizontal="center" vertical="center" wrapText="1"/>
    </xf>
    <xf numFmtId="0" fontId="27" fillId="32" borderId="61" xfId="0" applyFont="1" applyFill="1" applyBorder="1" applyAlignment="1">
      <alignment horizontal="center"/>
    </xf>
    <xf numFmtId="0" fontId="9" fillId="8" borderId="119" xfId="0" applyFont="1" applyFill="1" applyBorder="1" applyAlignment="1">
      <alignment horizontal="center" vertical="center" wrapText="1"/>
    </xf>
    <xf numFmtId="0" fontId="9" fillId="8" borderId="116" xfId="0" applyFont="1" applyFill="1" applyBorder="1" applyAlignment="1">
      <alignment horizontal="center" vertical="center" wrapText="1"/>
    </xf>
    <xf numFmtId="180" fontId="44" fillId="12" borderId="120" xfId="15" applyNumberFormat="1" applyFont="1" applyFill="1" applyBorder="1" applyAlignment="1">
      <alignment horizontal="center" vertical="center"/>
    </xf>
    <xf numFmtId="180" fontId="44" fillId="12" borderId="138" xfId="15" applyNumberFormat="1" applyFont="1" applyFill="1" applyBorder="1" applyAlignment="1">
      <alignment horizontal="center" vertical="center"/>
    </xf>
    <xf numFmtId="180" fontId="44" fillId="12" borderId="117" xfId="15" applyNumberFormat="1" applyFont="1" applyFill="1" applyBorder="1" applyAlignment="1">
      <alignment horizontal="center" vertical="center"/>
    </xf>
    <xf numFmtId="180" fontId="44" fillId="12" borderId="139" xfId="15" applyNumberFormat="1" applyFont="1" applyFill="1" applyBorder="1" applyAlignment="1">
      <alignment horizontal="center" vertical="center"/>
    </xf>
    <xf numFmtId="180" fontId="44" fillId="12" borderId="118" xfId="15" applyNumberFormat="1" applyFont="1" applyFill="1" applyBorder="1" applyAlignment="1">
      <alignment horizontal="center" vertical="center"/>
    </xf>
    <xf numFmtId="180" fontId="44" fillId="12" borderId="115" xfId="15" applyNumberFormat="1" applyFont="1" applyFill="1" applyBorder="1" applyAlignment="1">
      <alignment horizontal="center" vertical="center"/>
    </xf>
    <xf numFmtId="180" fontId="9" fillId="0" borderId="119" xfId="15" applyNumberFormat="1" applyFont="1" applyBorder="1" applyAlignment="1">
      <alignment horizontal="center" vertical="center" wrapText="1"/>
    </xf>
    <xf numFmtId="180" fontId="9" fillId="0" borderId="226" xfId="15" applyNumberFormat="1" applyFont="1" applyBorder="1" applyAlignment="1">
      <alignment horizontal="center" vertical="center" wrapText="1"/>
    </xf>
    <xf numFmtId="180" fontId="9" fillId="0" borderId="116" xfId="15" applyNumberFormat="1" applyFont="1" applyBorder="1" applyAlignment="1">
      <alignment horizontal="center" vertical="center" wrapText="1"/>
    </xf>
    <xf numFmtId="180" fontId="9" fillId="0" borderId="224" xfId="15" applyNumberFormat="1" applyFont="1" applyBorder="1" applyAlignment="1">
      <alignment horizontal="center" vertical="center" wrapText="1"/>
    </xf>
    <xf numFmtId="0" fontId="46" fillId="5" borderId="22" xfId="0" applyFont="1" applyFill="1" applyBorder="1" applyAlignment="1">
      <alignment horizontal="center"/>
    </xf>
    <xf numFmtId="0" fontId="46" fillId="5" borderId="19" xfId="0" applyFont="1" applyFill="1" applyBorder="1" applyAlignment="1">
      <alignment horizontal="center"/>
    </xf>
    <xf numFmtId="179" fontId="9" fillId="12" borderId="138" xfId="0" applyNumberFormat="1" applyFont="1" applyFill="1" applyBorder="1" applyAlignment="1">
      <alignment horizontal="center" vertical="center"/>
    </xf>
    <xf numFmtId="179" fontId="9" fillId="12" borderId="115" xfId="0" applyNumberFormat="1" applyFont="1" applyFill="1" applyBorder="1" applyAlignment="1">
      <alignment horizontal="center" vertical="center"/>
    </xf>
    <xf numFmtId="179" fontId="9" fillId="12" borderId="139" xfId="0" applyNumberFormat="1" applyFont="1" applyFill="1" applyBorder="1" applyAlignment="1">
      <alignment horizontal="center" vertical="center"/>
    </xf>
    <xf numFmtId="0" fontId="13" fillId="0" borderId="24" xfId="0" applyFont="1" applyBorder="1" applyAlignment="1">
      <alignment horizontal="center"/>
    </xf>
    <xf numFmtId="0" fontId="13" fillId="0" borderId="25" xfId="0" applyFont="1" applyBorder="1" applyAlignment="1">
      <alignment horizontal="center"/>
    </xf>
    <xf numFmtId="0" fontId="8" fillId="8" borderId="26" xfId="0" applyFont="1" applyFill="1" applyBorder="1" applyAlignment="1">
      <alignment horizontal="left" vertical="center"/>
    </xf>
    <xf numFmtId="0" fontId="8" fillId="8" borderId="25" xfId="0" applyFont="1" applyFill="1" applyBorder="1" applyAlignment="1">
      <alignment horizontal="left" vertical="center"/>
    </xf>
    <xf numFmtId="9" fontId="13" fillId="8" borderId="26" xfId="15" applyFont="1" applyFill="1" applyBorder="1" applyAlignment="1">
      <alignment horizontal="left"/>
    </xf>
    <xf numFmtId="9" fontId="13" fillId="8" borderId="25" xfId="15" applyFont="1" applyFill="1" applyBorder="1" applyAlignment="1">
      <alignment horizontal="left"/>
    </xf>
    <xf numFmtId="0" fontId="9" fillId="12" borderId="0" xfId="0" applyFont="1" applyFill="1" applyAlignment="1">
      <alignment horizontal="center" vertical="center" wrapText="1"/>
    </xf>
    <xf numFmtId="0" fontId="9" fillId="12" borderId="131" xfId="0" applyFont="1" applyFill="1" applyBorder="1" applyAlignment="1">
      <alignment horizontal="center" vertical="center" wrapText="1"/>
    </xf>
    <xf numFmtId="0" fontId="34" fillId="8" borderId="117" xfId="0" applyFont="1" applyFill="1" applyBorder="1" applyAlignment="1">
      <alignment horizontal="center" vertical="center" wrapText="1"/>
    </xf>
    <xf numFmtId="0" fontId="34" fillId="8" borderId="131" xfId="0" applyFont="1" applyFill="1" applyBorder="1" applyAlignment="1">
      <alignment horizontal="center" vertical="center" wrapText="1"/>
    </xf>
    <xf numFmtId="0" fontId="34" fillId="8" borderId="139" xfId="0" applyFont="1" applyFill="1" applyBorder="1" applyAlignment="1">
      <alignment horizontal="center" vertical="center" wrapText="1"/>
    </xf>
    <xf numFmtId="0" fontId="0" fillId="8" borderId="183" xfId="0" applyFill="1" applyBorder="1" applyAlignment="1">
      <alignment horizontal="center" vertical="center" wrapText="1"/>
    </xf>
    <xf numFmtId="0" fontId="0" fillId="8" borderId="184" xfId="0" applyFill="1" applyBorder="1" applyAlignment="1">
      <alignment horizontal="center" vertical="center" wrapText="1"/>
    </xf>
    <xf numFmtId="0" fontId="0" fillId="8" borderId="185" xfId="0" applyFill="1" applyBorder="1" applyAlignment="1">
      <alignment horizontal="center" vertical="center" wrapText="1"/>
    </xf>
    <xf numFmtId="9" fontId="44" fillId="12" borderId="225" xfId="15" applyFont="1" applyFill="1" applyBorder="1" applyAlignment="1">
      <alignment horizontal="center" vertical="center"/>
    </xf>
    <xf numFmtId="9" fontId="44" fillId="12" borderId="192" xfId="15" applyFont="1" applyFill="1" applyBorder="1" applyAlignment="1">
      <alignment horizontal="center" vertical="center"/>
    </xf>
    <xf numFmtId="9" fontId="44" fillId="12" borderId="182" xfId="15" applyFont="1" applyFill="1" applyBorder="1" applyAlignment="1">
      <alignment horizontal="center" vertical="center"/>
    </xf>
    <xf numFmtId="0" fontId="13" fillId="0" borderId="120" xfId="0" applyFont="1" applyBorder="1" applyAlignment="1">
      <alignment horizontal="center" vertical="center" wrapText="1"/>
    </xf>
    <xf numFmtId="0" fontId="13" fillId="0" borderId="174" xfId="0" applyFont="1" applyBorder="1" applyAlignment="1">
      <alignment horizontal="center" vertical="center" wrapText="1"/>
    </xf>
    <xf numFmtId="0" fontId="13" fillId="0" borderId="175" xfId="0" applyFont="1" applyBorder="1" applyAlignment="1">
      <alignment horizontal="center" vertical="center" wrapText="1"/>
    </xf>
    <xf numFmtId="0" fontId="13" fillId="0" borderId="118"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17" xfId="0" applyFont="1" applyBorder="1" applyAlignment="1">
      <alignment horizontal="center" vertical="center" wrapText="1"/>
    </xf>
    <xf numFmtId="0" fontId="13" fillId="0" borderId="131" xfId="0" applyFont="1" applyBorder="1" applyAlignment="1">
      <alignment horizontal="center" vertical="center" wrapText="1"/>
    </xf>
    <xf numFmtId="0" fontId="13" fillId="0" borderId="180" xfId="0" applyFont="1" applyBorder="1" applyAlignment="1">
      <alignment horizontal="center" vertical="center" wrapText="1"/>
    </xf>
    <xf numFmtId="0" fontId="46" fillId="5" borderId="131" xfId="0" applyFont="1" applyFill="1" applyBorder="1" applyAlignment="1">
      <alignment horizontal="center"/>
    </xf>
    <xf numFmtId="0" fontId="46" fillId="5" borderId="180" xfId="0" applyFont="1" applyFill="1" applyBorder="1" applyAlignment="1">
      <alignment horizontal="center"/>
    </xf>
    <xf numFmtId="0" fontId="9" fillId="0" borderId="54" xfId="0" applyFont="1" applyBorder="1" applyAlignment="1">
      <alignment horizontal="center" vertical="center"/>
    </xf>
    <xf numFmtId="0" fontId="9" fillId="0" borderId="18" xfId="0" applyFont="1" applyBorder="1" applyAlignment="1">
      <alignment horizontal="center" vertical="center"/>
    </xf>
    <xf numFmtId="0" fontId="9" fillId="0" borderId="55"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0" fontId="27" fillId="32" borderId="26" xfId="0" applyFont="1" applyFill="1" applyBorder="1" applyAlignment="1">
      <alignment horizontal="center"/>
    </xf>
    <xf numFmtId="0" fontId="27" fillId="32" borderId="24" xfId="0" applyFont="1" applyFill="1" applyBorder="1" applyAlignment="1">
      <alignment horizontal="center"/>
    </xf>
    <xf numFmtId="14" fontId="13" fillId="0" borderId="26" xfId="0" applyNumberFormat="1" applyFont="1" applyBorder="1" applyAlignment="1">
      <alignment horizontal="center"/>
    </xf>
    <xf numFmtId="14" fontId="13" fillId="0" borderId="25" xfId="0" applyNumberFormat="1" applyFont="1" applyBorder="1" applyAlignment="1">
      <alignment horizontal="center"/>
    </xf>
    <xf numFmtId="0" fontId="8" fillId="0" borderId="19" xfId="0" quotePrefix="1" applyFont="1" applyBorder="1" applyAlignment="1">
      <alignment horizontal="left"/>
    </xf>
    <xf numFmtId="0" fontId="8" fillId="8" borderId="19" xfId="0" applyFont="1" applyFill="1" applyBorder="1" applyAlignment="1">
      <alignment horizontal="left"/>
    </xf>
    <xf numFmtId="0" fontId="66" fillId="8" borderId="19" xfId="0" applyFont="1" applyFill="1" applyBorder="1" applyAlignment="1">
      <alignment horizontal="center" vertical="center" wrapText="1"/>
    </xf>
    <xf numFmtId="0" fontId="46" fillId="31" borderId="29" xfId="0" applyFont="1" applyFill="1" applyBorder="1" applyAlignment="1">
      <alignment horizontal="center" vertical="center" wrapText="1"/>
    </xf>
    <xf numFmtId="0" fontId="46" fillId="31" borderId="52" xfId="0" applyFont="1" applyFill="1" applyBorder="1" applyAlignment="1">
      <alignment horizontal="center" vertical="center" wrapText="1"/>
    </xf>
    <xf numFmtId="0" fontId="46" fillId="5" borderId="46" xfId="0" applyFont="1" applyFill="1" applyBorder="1" applyAlignment="1">
      <alignment horizontal="center"/>
    </xf>
    <xf numFmtId="0" fontId="46" fillId="5" borderId="47" xfId="0" applyFont="1" applyFill="1" applyBorder="1" applyAlignment="1">
      <alignment horizontal="center"/>
    </xf>
    <xf numFmtId="0" fontId="46" fillId="5" borderId="48" xfId="0" applyFont="1" applyFill="1" applyBorder="1" applyAlignment="1">
      <alignment horizontal="center"/>
    </xf>
    <xf numFmtId="0" fontId="46" fillId="5" borderId="41" xfId="0" applyFont="1" applyFill="1" applyBorder="1" applyAlignment="1">
      <alignment horizontal="center"/>
    </xf>
    <xf numFmtId="0" fontId="8" fillId="0" borderId="62" xfId="0" applyFont="1" applyBorder="1" applyAlignment="1">
      <alignment horizontal="left"/>
    </xf>
    <xf numFmtId="0" fontId="8" fillId="0" borderId="63" xfId="0" applyFont="1" applyBorder="1" applyAlignment="1">
      <alignment horizontal="left"/>
    </xf>
    <xf numFmtId="0" fontId="8" fillId="0" borderId="62" xfId="0" applyFont="1" applyBorder="1" applyAlignment="1">
      <alignment horizontal="left" indent="1"/>
    </xf>
    <xf numFmtId="0" fontId="8" fillId="0" borderId="63" xfId="0" applyFont="1" applyBorder="1" applyAlignment="1">
      <alignment horizontal="left" indent="1"/>
    </xf>
    <xf numFmtId="0" fontId="13" fillId="0" borderId="62" xfId="0" applyFont="1" applyBorder="1" applyAlignment="1">
      <alignment horizontal="left"/>
    </xf>
    <xf numFmtId="0" fontId="13" fillId="0" borderId="63" xfId="0" applyFont="1" applyBorder="1" applyAlignment="1">
      <alignment horizontal="left"/>
    </xf>
    <xf numFmtId="0" fontId="0" fillId="0" borderId="62" xfId="0" applyBorder="1" applyAlignment="1">
      <alignment horizontal="left"/>
    </xf>
    <xf numFmtId="0" fontId="0" fillId="0" borderId="63" xfId="0" applyBorder="1" applyAlignment="1">
      <alignment horizontal="left"/>
    </xf>
    <xf numFmtId="0" fontId="8" fillId="16" borderId="62" xfId="0" applyFont="1" applyFill="1" applyBorder="1" applyAlignment="1">
      <alignment horizontal="left"/>
    </xf>
    <xf numFmtId="0" fontId="8" fillId="16" borderId="63" xfId="0" applyFont="1" applyFill="1" applyBorder="1" applyAlignment="1">
      <alignment horizontal="left"/>
    </xf>
    <xf numFmtId="0" fontId="27" fillId="32" borderId="213" xfId="0" applyFont="1" applyFill="1" applyBorder="1" applyAlignment="1">
      <alignment horizontal="center"/>
    </xf>
    <xf numFmtId="0" fontId="0" fillId="0" borderId="10" xfId="0" applyBorder="1" applyAlignment="1">
      <alignment horizontal="left" vertical="center"/>
    </xf>
    <xf numFmtId="0" fontId="0" fillId="0" borderId="215" xfId="0" applyBorder="1" applyAlignment="1">
      <alignment horizontal="left" vertical="center"/>
    </xf>
    <xf numFmtId="0" fontId="34" fillId="0" borderId="148" xfId="0" applyFont="1" applyBorder="1" applyAlignment="1">
      <alignment horizontal="left" vertical="center" wrapText="1"/>
    </xf>
    <xf numFmtId="0" fontId="34" fillId="0" borderId="149" xfId="0" applyFont="1" applyBorder="1" applyAlignment="1">
      <alignment horizontal="left" vertical="center" wrapText="1"/>
    </xf>
    <xf numFmtId="0" fontId="34" fillId="0" borderId="10" xfId="0" applyFont="1" applyBorder="1" applyAlignment="1">
      <alignment horizontal="left" vertical="center" wrapText="1"/>
    </xf>
    <xf numFmtId="0" fontId="34" fillId="0" borderId="0" xfId="0" applyFont="1" applyAlignment="1">
      <alignment horizontal="left" vertical="center" wrapText="1"/>
    </xf>
    <xf numFmtId="0" fontId="34" fillId="0" borderId="150" xfId="0" applyFont="1" applyBorder="1" applyAlignment="1">
      <alignment horizontal="left" vertical="center" wrapText="1"/>
    </xf>
    <xf numFmtId="0" fontId="34" fillId="0" borderId="215" xfId="0" applyFont="1" applyBorder="1" applyAlignment="1">
      <alignment horizontal="left" vertical="center" wrapText="1"/>
    </xf>
    <xf numFmtId="0" fontId="34" fillId="0" borderId="151" xfId="0" applyFont="1" applyBorder="1" applyAlignment="1">
      <alignment horizontal="left" vertical="center" wrapText="1"/>
    </xf>
    <xf numFmtId="0" fontId="34" fillId="0" borderId="152" xfId="0" applyFont="1" applyBorder="1" applyAlignment="1">
      <alignment horizontal="left" vertical="center" wrapText="1"/>
    </xf>
    <xf numFmtId="49" fontId="100" fillId="0" borderId="118" xfId="0" applyNumberFormat="1" applyFont="1" applyBorder="1" applyAlignment="1">
      <alignment vertical="center" wrapText="1"/>
    </xf>
    <xf numFmtId="49" fontId="100" fillId="0" borderId="0" xfId="0" applyNumberFormat="1" applyFont="1" applyAlignment="1">
      <alignment vertical="center" wrapText="1"/>
    </xf>
    <xf numFmtId="0" fontId="31" fillId="5" borderId="49" xfId="0" applyFont="1" applyFill="1" applyBorder="1" applyAlignment="1">
      <alignment horizontal="center"/>
    </xf>
    <xf numFmtId="0" fontId="13" fillId="14" borderId="68" xfId="0" applyFont="1" applyFill="1" applyBorder="1" applyAlignment="1">
      <alignment horizontal="center"/>
    </xf>
    <xf numFmtId="0" fontId="0" fillId="0" borderId="73" xfId="0" applyBorder="1" applyAlignment="1">
      <alignment horizontal="center" vertical="top"/>
    </xf>
    <xf numFmtId="0" fontId="0" fillId="0" borderId="255" xfId="0" applyBorder="1" applyAlignment="1">
      <alignment horizontal="center" vertical="center" wrapText="1"/>
    </xf>
    <xf numFmtId="0" fontId="0" fillId="0" borderId="314" xfId="0" applyBorder="1" applyAlignment="1">
      <alignment horizontal="center" vertical="center" wrapText="1"/>
    </xf>
    <xf numFmtId="0" fontId="0" fillId="0" borderId="315" xfId="0" applyBorder="1" applyAlignment="1">
      <alignment horizontal="center" vertical="center" wrapText="1"/>
    </xf>
    <xf numFmtId="10" fontId="13" fillId="0" borderId="74" xfId="15" applyNumberFormat="1" applyFont="1" applyBorder="1" applyAlignment="1">
      <alignment horizontal="center"/>
    </xf>
    <xf numFmtId="0" fontId="13" fillId="0" borderId="274" xfId="0" applyFont="1" applyBorder="1" applyAlignment="1">
      <alignment horizontal="center"/>
    </xf>
    <xf numFmtId="0" fontId="13" fillId="0" borderId="108" xfId="0" applyFont="1" applyBorder="1" applyAlignment="1">
      <alignment horizontal="center"/>
    </xf>
    <xf numFmtId="0" fontId="13" fillId="0" borderId="294" xfId="0" applyFont="1" applyBorder="1" applyAlignment="1">
      <alignment horizontal="center"/>
    </xf>
    <xf numFmtId="0" fontId="13" fillId="0" borderId="295"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0" fontId="0" fillId="0" borderId="0" xfId="0" applyAlignment="1">
      <alignment horizontal="center" vertical="center" wrapText="1"/>
    </xf>
    <xf numFmtId="0" fontId="13" fillId="24" borderId="73" xfId="0" applyFont="1" applyFill="1" applyBorder="1" applyAlignment="1">
      <alignment horizontal="center"/>
    </xf>
    <xf numFmtId="0" fontId="13" fillId="24" borderId="66" xfId="0" applyFont="1" applyFill="1" applyBorder="1" applyAlignment="1">
      <alignment horizontal="center"/>
    </xf>
    <xf numFmtId="10" fontId="13" fillId="0" borderId="285" xfId="15" applyNumberFormat="1" applyFont="1" applyBorder="1" applyAlignment="1">
      <alignment horizontal="center"/>
    </xf>
    <xf numFmtId="0" fontId="92" fillId="0" borderId="285" xfId="33" applyBorder="1" applyAlignment="1">
      <alignment horizontal="center"/>
    </xf>
    <xf numFmtId="0" fontId="92" fillId="0" borderId="74" xfId="33" applyBorder="1" applyAlignment="1">
      <alignment horizontal="center"/>
    </xf>
    <xf numFmtId="0" fontId="34" fillId="0" borderId="0" xfId="0" applyFont="1" applyAlignment="1">
      <alignment horizontal="center" vertical="center" wrapText="1"/>
    </xf>
    <xf numFmtId="0" fontId="0" fillId="0" borderId="75" xfId="0" applyBorder="1" applyAlignment="1">
      <alignment horizontal="center" vertical="top"/>
    </xf>
    <xf numFmtId="0" fontId="9" fillId="0" borderId="0" xfId="0" applyFont="1" applyAlignment="1">
      <alignment horizontal="center" vertical="center"/>
    </xf>
    <xf numFmtId="0" fontId="31" fillId="5" borderId="67" xfId="0" applyFont="1" applyFill="1" applyBorder="1" applyAlignment="1">
      <alignment horizontal="center"/>
    </xf>
    <xf numFmtId="0" fontId="8" fillId="0" borderId="73" xfId="0" applyFont="1" applyBorder="1" applyAlignment="1">
      <alignment horizontal="center" wrapText="1"/>
    </xf>
    <xf numFmtId="0" fontId="8" fillId="0" borderId="75" xfId="0" applyFont="1" applyBorder="1" applyAlignment="1">
      <alignment horizontal="center" wrapText="1"/>
    </xf>
    <xf numFmtId="0" fontId="45" fillId="5" borderId="0" xfId="0" applyFont="1" applyFill="1" applyAlignment="1">
      <alignment horizontal="center"/>
    </xf>
    <xf numFmtId="0" fontId="31" fillId="18" borderId="49" xfId="0" applyFont="1" applyFill="1" applyBorder="1" applyAlignment="1">
      <alignment horizontal="center"/>
    </xf>
    <xf numFmtId="0" fontId="45" fillId="5" borderId="66" xfId="0" applyFont="1" applyFill="1" applyBorder="1" applyAlignment="1">
      <alignment horizontal="center"/>
    </xf>
    <xf numFmtId="0" fontId="31" fillId="5" borderId="284" xfId="0" applyFont="1" applyFill="1" applyBorder="1" applyAlignment="1">
      <alignment horizontal="center"/>
    </xf>
    <xf numFmtId="0" fontId="45" fillId="5" borderId="68" xfId="0" applyFont="1" applyFill="1" applyBorder="1" applyAlignment="1">
      <alignment horizontal="center"/>
    </xf>
    <xf numFmtId="0" fontId="9" fillId="0" borderId="284" xfId="0" applyFont="1" applyBorder="1" applyAlignment="1">
      <alignment horizontal="center" vertical="center"/>
    </xf>
    <xf numFmtId="10" fontId="13" fillId="0" borderId="130" xfId="0" applyNumberFormat="1" applyFont="1" applyBorder="1" applyAlignment="1">
      <alignment horizontal="center"/>
    </xf>
    <xf numFmtId="0" fontId="13" fillId="0" borderId="114" xfId="0" applyFont="1" applyBorder="1" applyAlignment="1">
      <alignment horizontal="center"/>
    </xf>
    <xf numFmtId="0" fontId="13" fillId="0" borderId="130" xfId="0" applyFont="1" applyBorder="1" applyAlignment="1">
      <alignment horizontal="center"/>
    </xf>
    <xf numFmtId="0" fontId="0" fillId="0" borderId="117" xfId="0" applyBorder="1" applyAlignment="1">
      <alignment horizontal="center"/>
    </xf>
    <xf numFmtId="0" fontId="0" fillId="0" borderId="131" xfId="0" applyBorder="1" applyAlignment="1">
      <alignment horizontal="center"/>
    </xf>
    <xf numFmtId="0" fontId="31" fillId="5" borderId="68" xfId="0" applyFont="1" applyFill="1" applyBorder="1" applyAlignment="1">
      <alignment horizontal="center"/>
    </xf>
    <xf numFmtId="0" fontId="9" fillId="0" borderId="174" xfId="0" applyFont="1" applyBorder="1" applyAlignment="1">
      <alignment horizontal="center" vertical="center"/>
    </xf>
    <xf numFmtId="0" fontId="9" fillId="0" borderId="130" xfId="0" applyFont="1" applyBorder="1" applyAlignment="1">
      <alignment horizontal="center" vertical="center"/>
    </xf>
    <xf numFmtId="0" fontId="0" fillId="0" borderId="66" xfId="0" applyBorder="1" applyAlignment="1">
      <alignment horizontal="center" vertical="center" wrapText="1"/>
    </xf>
    <xf numFmtId="0" fontId="31" fillId="5" borderId="66" xfId="0" applyFont="1" applyFill="1" applyBorder="1" applyAlignment="1">
      <alignment horizontal="center" vertical="center"/>
    </xf>
    <xf numFmtId="0" fontId="13" fillId="0" borderId="251" xfId="0" applyFont="1" applyBorder="1" applyAlignment="1">
      <alignment horizontal="center"/>
    </xf>
    <xf numFmtId="0" fontId="13" fillId="0" borderId="292" xfId="0" applyFont="1" applyBorder="1" applyAlignment="1">
      <alignment horizontal="center"/>
    </xf>
    <xf numFmtId="0" fontId="13" fillId="0" borderId="293" xfId="0" applyFont="1" applyBorder="1" applyAlignment="1">
      <alignment horizontal="center"/>
    </xf>
    <xf numFmtId="0" fontId="9" fillId="0" borderId="67" xfId="0" applyFont="1" applyBorder="1" applyAlignment="1">
      <alignment horizontal="center" vertical="center"/>
    </xf>
    <xf numFmtId="0" fontId="8" fillId="39" borderId="208" xfId="0" applyFont="1" applyFill="1" applyBorder="1" applyAlignment="1">
      <alignment horizontal="center" vertical="center" wrapText="1"/>
    </xf>
    <xf numFmtId="0" fontId="72" fillId="0" borderId="64" xfId="0" applyFont="1" applyBorder="1" applyAlignment="1">
      <alignment horizontal="center" vertical="center" wrapText="1"/>
    </xf>
    <xf numFmtId="0" fontId="72" fillId="0" borderId="209" xfId="0" applyFont="1" applyBorder="1" applyAlignment="1">
      <alignment horizontal="center" vertical="center" wrapText="1"/>
    </xf>
    <xf numFmtId="0" fontId="27" fillId="5" borderId="205" xfId="25" applyFont="1" applyFill="1" applyBorder="1" applyAlignment="1">
      <alignment horizontal="center" vertical="center"/>
    </xf>
    <xf numFmtId="0" fontId="27" fillId="5" borderId="206" xfId="25" applyFont="1" applyFill="1" applyBorder="1" applyAlignment="1">
      <alignment horizontal="center" vertical="center"/>
    </xf>
    <xf numFmtId="0" fontId="27" fillId="5" borderId="207" xfId="25" applyFont="1" applyFill="1" applyBorder="1" applyAlignment="1">
      <alignment horizontal="center" vertical="center"/>
    </xf>
    <xf numFmtId="0" fontId="8" fillId="44" borderId="208" xfId="0" applyFont="1" applyFill="1" applyBorder="1" applyAlignment="1">
      <alignment horizontal="center" vertical="center" wrapText="1"/>
    </xf>
    <xf numFmtId="0" fontId="8" fillId="43" borderId="208" xfId="0" applyFont="1" applyFill="1" applyBorder="1" applyAlignment="1">
      <alignment horizontal="center" vertical="center" wrapText="1"/>
    </xf>
    <xf numFmtId="0" fontId="8" fillId="43" borderId="210" xfId="0" applyFont="1" applyFill="1" applyBorder="1" applyAlignment="1">
      <alignment horizontal="center" vertical="center" wrapText="1"/>
    </xf>
    <xf numFmtId="0" fontId="72" fillId="0" borderId="211" xfId="0" applyFont="1" applyBorder="1" applyAlignment="1">
      <alignment horizontal="center" vertical="center" wrapText="1"/>
    </xf>
    <xf numFmtId="0" fontId="72" fillId="0" borderId="212" xfId="0" applyFont="1" applyBorder="1" applyAlignment="1">
      <alignment horizontal="center" vertical="center" wrapText="1"/>
    </xf>
    <xf numFmtId="0" fontId="67" fillId="0" borderId="99" xfId="0" applyFont="1" applyBorder="1" applyAlignment="1">
      <alignment horizontal="center" vertical="center" wrapText="1"/>
    </xf>
    <xf numFmtId="0" fontId="23" fillId="0" borderId="100" xfId="0" applyFont="1" applyBorder="1" applyAlignment="1">
      <alignment horizontal="center" vertical="center" wrapText="1"/>
    </xf>
    <xf numFmtId="0" fontId="23" fillId="0" borderId="101" xfId="0" applyFont="1" applyBorder="1" applyAlignment="1">
      <alignment horizontal="center" vertical="center" wrapText="1"/>
    </xf>
    <xf numFmtId="0" fontId="49" fillId="5" borderId="64" xfId="0" applyFont="1" applyFill="1" applyBorder="1" applyAlignment="1">
      <alignment horizontal="center"/>
    </xf>
    <xf numFmtId="2" fontId="0" fillId="0" borderId="0" xfId="25" applyNumberFormat="1" applyFont="1" applyAlignment="1">
      <alignment horizontal="center"/>
    </xf>
    <xf numFmtId="0" fontId="16" fillId="18" borderId="102" xfId="1" applyFill="1" applyBorder="1" applyAlignment="1">
      <alignment horizontal="center" vertical="center" readingOrder="1"/>
    </xf>
    <xf numFmtId="0" fontId="52" fillId="18" borderId="102" xfId="25" applyFont="1" applyFill="1" applyBorder="1" applyAlignment="1">
      <alignment horizontal="center"/>
    </xf>
    <xf numFmtId="0" fontId="0" fillId="0" borderId="0" xfId="25" applyFont="1" applyAlignment="1">
      <alignment horizontal="center"/>
    </xf>
    <xf numFmtId="0" fontId="27" fillId="5" borderId="126" xfId="25" applyFont="1" applyFill="1" applyBorder="1" applyAlignment="1">
      <alignment horizontal="center" vertical="center"/>
    </xf>
    <xf numFmtId="0" fontId="27" fillId="5" borderId="30" xfId="25" applyFont="1" applyFill="1" applyBorder="1" applyAlignment="1">
      <alignment horizontal="center" vertical="center"/>
    </xf>
    <xf numFmtId="0" fontId="27" fillId="5" borderId="31" xfId="25" applyFont="1" applyFill="1" applyBorder="1" applyAlignment="1">
      <alignment horizontal="center" vertical="center"/>
    </xf>
    <xf numFmtId="0" fontId="29" fillId="0" borderId="127" xfId="25" applyFont="1" applyBorder="1" applyAlignment="1">
      <alignment horizontal="center" vertical="center" wrapText="1"/>
    </xf>
    <xf numFmtId="0" fontId="29" fillId="0" borderId="128" xfId="25" applyFont="1" applyBorder="1" applyAlignment="1">
      <alignment horizontal="center" vertical="center" wrapText="1"/>
    </xf>
    <xf numFmtId="0" fontId="29" fillId="0" borderId="129" xfId="25" applyFont="1" applyBorder="1" applyAlignment="1">
      <alignment horizontal="center" vertical="center" wrapText="1"/>
    </xf>
    <xf numFmtId="0" fontId="8" fillId="39" borderId="199" xfId="0" applyFont="1" applyFill="1" applyBorder="1" applyAlignment="1">
      <alignment horizontal="center"/>
    </xf>
    <xf numFmtId="0" fontId="8" fillId="39" borderId="200" xfId="0" applyFont="1" applyFill="1" applyBorder="1" applyAlignment="1">
      <alignment horizontal="center"/>
    </xf>
    <xf numFmtId="0" fontId="8" fillId="39" borderId="145" xfId="0" applyFont="1" applyFill="1" applyBorder="1" applyAlignment="1">
      <alignment horizontal="center"/>
    </xf>
    <xf numFmtId="0" fontId="8" fillId="39" borderId="166" xfId="0" applyFont="1" applyFill="1" applyBorder="1" applyAlignment="1">
      <alignment horizontal="center"/>
    </xf>
    <xf numFmtId="0" fontId="64" fillId="0" borderId="3" xfId="28" applyFont="1" applyBorder="1" applyAlignment="1">
      <alignment horizontal="center" vertical="center"/>
    </xf>
    <xf numFmtId="0" fontId="64" fillId="0" borderId="2" xfId="28" applyFont="1" applyBorder="1" applyAlignment="1">
      <alignment horizontal="center" vertical="center"/>
    </xf>
    <xf numFmtId="0" fontId="54" fillId="36" borderId="0" xfId="0" applyFont="1" applyFill="1" applyAlignment="1">
      <alignment horizontal="left" vertical="center"/>
    </xf>
    <xf numFmtId="0" fontId="54" fillId="36" borderId="131" xfId="0" applyFont="1" applyFill="1" applyBorder="1" applyAlignment="1">
      <alignment horizontal="left" vertical="center"/>
    </xf>
    <xf numFmtId="0" fontId="55" fillId="0" borderId="3" xfId="0" applyFont="1" applyBorder="1" applyAlignment="1">
      <alignment horizontal="center" vertical="center"/>
    </xf>
    <xf numFmtId="0" fontId="55" fillId="0" borderId="4" xfId="0" applyFont="1" applyBorder="1" applyAlignment="1">
      <alignment horizontal="center" vertical="center"/>
    </xf>
    <xf numFmtId="0" fontId="55" fillId="0" borderId="2" xfId="0" applyFont="1" applyBorder="1" applyAlignment="1">
      <alignment horizontal="center" vertical="center"/>
    </xf>
    <xf numFmtId="0" fontId="55" fillId="0" borderId="119" xfId="0" applyFont="1" applyBorder="1" applyAlignment="1">
      <alignment horizontal="center" vertical="center" wrapText="1"/>
    </xf>
    <xf numFmtId="0" fontId="55" fillId="0" borderId="116" xfId="0" applyFont="1" applyBorder="1" applyAlignment="1">
      <alignment horizontal="center" vertical="center" wrapText="1"/>
    </xf>
    <xf numFmtId="0" fontId="60" fillId="28" borderId="118" xfId="0" applyFont="1" applyFill="1" applyBorder="1" applyAlignment="1">
      <alignment horizontal="center"/>
    </xf>
    <xf numFmtId="0" fontId="60" fillId="28" borderId="0" xfId="0" applyFont="1" applyFill="1" applyAlignment="1">
      <alignment horizontal="center"/>
    </xf>
    <xf numFmtId="0" fontId="60" fillId="28" borderId="130" xfId="0" applyFont="1" applyFill="1" applyBorder="1" applyAlignment="1">
      <alignment horizontal="center"/>
    </xf>
    <xf numFmtId="0" fontId="60" fillId="28" borderId="114" xfId="0" applyFont="1" applyFill="1" applyBorder="1" applyAlignment="1">
      <alignment horizontal="center"/>
    </xf>
    <xf numFmtId="0" fontId="60" fillId="28" borderId="181" xfId="0" applyFont="1" applyFill="1" applyBorder="1" applyAlignment="1">
      <alignment horizontal="center"/>
    </xf>
    <xf numFmtId="0" fontId="53" fillId="12" borderId="199" xfId="0" applyFont="1" applyFill="1" applyBorder="1" applyAlignment="1">
      <alignment horizontal="center"/>
    </xf>
    <xf numFmtId="0" fontId="53" fillId="12" borderId="200" xfId="0" applyFont="1" applyFill="1" applyBorder="1" applyAlignment="1">
      <alignment horizontal="center"/>
    </xf>
    <xf numFmtId="0" fontId="53" fillId="12" borderId="166" xfId="0" applyFont="1" applyFill="1" applyBorder="1" applyAlignment="1">
      <alignment horizontal="center"/>
    </xf>
    <xf numFmtId="0" fontId="53" fillId="39" borderId="199" xfId="0" applyFont="1" applyFill="1" applyBorder="1" applyAlignment="1">
      <alignment horizontal="center"/>
    </xf>
    <xf numFmtId="0" fontId="53" fillId="39" borderId="200" xfId="0" applyFont="1" applyFill="1" applyBorder="1" applyAlignment="1">
      <alignment horizontal="center"/>
    </xf>
    <xf numFmtId="0" fontId="53" fillId="39" borderId="166" xfId="0" applyFont="1" applyFill="1" applyBorder="1" applyAlignment="1">
      <alignment horizontal="center"/>
    </xf>
    <xf numFmtId="0" fontId="55" fillId="0" borderId="116" xfId="0" applyFont="1" applyBorder="1" applyAlignment="1">
      <alignment horizontal="center" vertical="center"/>
    </xf>
    <xf numFmtId="0" fontId="55" fillId="0" borderId="119" xfId="0" applyFont="1" applyBorder="1" applyAlignment="1">
      <alignment horizontal="center" vertical="center"/>
    </xf>
    <xf numFmtId="0" fontId="55" fillId="0" borderId="201" xfId="0" applyFont="1" applyBorder="1" applyAlignment="1">
      <alignment horizontal="center" vertical="center"/>
    </xf>
    <xf numFmtId="0" fontId="55" fillId="0" borderId="156" xfId="0" applyFont="1" applyBorder="1" applyAlignment="1">
      <alignment horizontal="center" vertical="center"/>
    </xf>
    <xf numFmtId="0" fontId="55" fillId="0" borderId="108" xfId="0" applyFont="1" applyBorder="1" applyAlignment="1">
      <alignment horizontal="center" vertical="center"/>
    </xf>
    <xf numFmtId="0" fontId="80" fillId="31" borderId="34" xfId="0" applyFont="1" applyFill="1" applyBorder="1" applyAlignment="1">
      <alignment horizontal="center" vertical="center"/>
    </xf>
    <xf numFmtId="0" fontId="80" fillId="31" borderId="5" xfId="0" applyFont="1" applyFill="1" applyBorder="1" applyAlignment="1">
      <alignment horizontal="center" vertical="center"/>
    </xf>
    <xf numFmtId="0" fontId="80" fillId="31" borderId="35" xfId="0" applyFont="1" applyFill="1" applyBorder="1" applyAlignment="1">
      <alignment horizontal="center" vertical="center"/>
    </xf>
    <xf numFmtId="9" fontId="77" fillId="12" borderId="38" xfId="15" applyFont="1" applyFill="1" applyBorder="1" applyAlignment="1">
      <alignment horizontal="center" vertical="center"/>
    </xf>
    <xf numFmtId="9" fontId="77" fillId="12" borderId="2" xfId="15" applyFont="1" applyFill="1" applyBorder="1" applyAlignment="1">
      <alignment horizontal="center" vertical="center"/>
    </xf>
    <xf numFmtId="0" fontId="80" fillId="31" borderId="45" xfId="0" applyFont="1" applyFill="1" applyBorder="1" applyAlignment="1">
      <alignment horizontal="center" vertical="center"/>
    </xf>
    <xf numFmtId="0" fontId="80" fillId="31" borderId="45" xfId="32" applyFont="1" applyFill="1" applyBorder="1" applyAlignment="1">
      <alignment horizontal="center" vertical="center"/>
    </xf>
    <xf numFmtId="0" fontId="64" fillId="0" borderId="43" xfId="0" applyFont="1" applyBorder="1" applyAlignment="1">
      <alignment horizontal="center" vertical="center"/>
    </xf>
    <xf numFmtId="0" fontId="64" fillId="0" borderId="1" xfId="0" applyFont="1" applyBorder="1" applyAlignment="1">
      <alignment horizontal="center" vertical="center"/>
    </xf>
    <xf numFmtId="0" fontId="64" fillId="0" borderId="44" xfId="0" applyFont="1" applyBorder="1" applyAlignment="1">
      <alignment horizontal="center" vertical="center"/>
    </xf>
    <xf numFmtId="9" fontId="77" fillId="35" borderId="43" xfId="15" quotePrefix="1" applyFont="1" applyFill="1" applyBorder="1" applyAlignment="1">
      <alignment horizontal="center" vertical="center" wrapText="1"/>
    </xf>
    <xf numFmtId="9" fontId="77" fillId="35" borderId="44" xfId="15" applyFont="1" applyFill="1" applyBorder="1" applyAlignment="1">
      <alignment horizontal="center" vertical="center" wrapText="1"/>
    </xf>
    <xf numFmtId="189" fontId="0" fillId="0" borderId="43" xfId="0" applyNumberFormat="1" applyBorder="1" applyAlignment="1">
      <alignment horizontal="center" vertical="center"/>
    </xf>
    <xf numFmtId="189" fontId="0" fillId="0" borderId="44" xfId="0" applyNumberFormat="1" applyBorder="1" applyAlignment="1">
      <alignment horizontal="center" vertical="center"/>
    </xf>
    <xf numFmtId="0" fontId="80" fillId="31" borderId="3" xfId="0" applyFont="1" applyFill="1" applyBorder="1" applyAlignment="1">
      <alignment horizontal="center" vertical="center"/>
    </xf>
    <xf numFmtId="2" fontId="77" fillId="12" borderId="2" xfId="0" applyNumberFormat="1" applyFont="1" applyFill="1" applyBorder="1" applyAlignment="1">
      <alignment horizontal="center" vertical="center"/>
    </xf>
    <xf numFmtId="0" fontId="58" fillId="0" borderId="110" xfId="0" applyFont="1" applyBorder="1" applyAlignment="1">
      <alignment readingOrder="1"/>
    </xf>
    <xf numFmtId="9" fontId="80" fillId="31" borderId="169" xfId="15" applyFont="1" applyFill="1" applyBorder="1" applyAlignment="1">
      <alignment horizontal="center" vertical="center"/>
    </xf>
    <xf numFmtId="9" fontId="80" fillId="31" borderId="106" xfId="15" applyFont="1" applyFill="1" applyBorder="1" applyAlignment="1">
      <alignment horizontal="center" vertical="center"/>
    </xf>
    <xf numFmtId="9" fontId="80" fillId="31" borderId="222" xfId="15" applyFont="1" applyFill="1" applyBorder="1" applyAlignment="1">
      <alignment horizontal="center" vertical="center"/>
    </xf>
    <xf numFmtId="9" fontId="80" fillId="31" borderId="107" xfId="15" applyFont="1" applyFill="1" applyBorder="1" applyAlignment="1">
      <alignment horizontal="center" vertical="center"/>
    </xf>
    <xf numFmtId="9" fontId="80" fillId="31" borderId="220" xfId="15" applyFont="1" applyFill="1" applyBorder="1" applyAlignment="1">
      <alignment horizontal="center" vertical="center"/>
    </xf>
    <xf numFmtId="9" fontId="80" fillId="31" borderId="171" xfId="15" applyFont="1" applyFill="1" applyBorder="1" applyAlignment="1">
      <alignment horizontal="center" vertical="center"/>
    </xf>
    <xf numFmtId="0" fontId="80" fillId="31" borderId="107" xfId="0" applyFont="1" applyFill="1" applyBorder="1" applyAlignment="1">
      <alignment horizontal="center" vertical="center"/>
    </xf>
    <xf numFmtId="0" fontId="80" fillId="31" borderId="220" xfId="0" applyFont="1" applyFill="1" applyBorder="1" applyAlignment="1">
      <alignment horizontal="center" vertical="center"/>
    </xf>
    <xf numFmtId="0" fontId="74" fillId="55" borderId="0" xfId="0" applyFont="1" applyFill="1" applyAlignment="1">
      <alignment wrapText="1"/>
    </xf>
    <xf numFmtId="0" fontId="88" fillId="0" borderId="118" xfId="23" applyFont="1" applyBorder="1" applyAlignment="1">
      <alignment horizontal="center" vertical="center" wrapText="1"/>
    </xf>
    <xf numFmtId="0" fontId="75" fillId="0" borderId="118" xfId="23" applyFont="1" applyBorder="1" applyAlignment="1">
      <alignment horizontal="center" vertical="center" wrapText="1"/>
    </xf>
    <xf numFmtId="0" fontId="0" fillId="0" borderId="169" xfId="0" applyBorder="1" applyAlignment="1">
      <alignment horizontal="center" wrapText="1"/>
    </xf>
    <xf numFmtId="0" fontId="77" fillId="7" borderId="0" xfId="0" applyFont="1" applyFill="1" applyAlignment="1">
      <alignment horizontal="center"/>
    </xf>
    <xf numFmtId="0" fontId="13" fillId="35" borderId="169" xfId="0" applyFont="1" applyFill="1" applyBorder="1" applyAlignment="1">
      <alignment horizontal="center" wrapText="1"/>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35" fillId="0" borderId="0" xfId="0" applyFont="1" applyAlignment="1">
      <alignment horizontal="center"/>
    </xf>
    <xf numFmtId="0" fontId="23" fillId="0" borderId="0" xfId="0" applyFont="1" applyAlignment="1">
      <alignment horizontal="center"/>
    </xf>
    <xf numFmtId="38" fontId="83" fillId="47" borderId="240" xfId="0" applyNumberFormat="1" applyFont="1" applyFill="1" applyBorder="1" applyAlignment="1">
      <alignment horizontal="right" wrapText="1"/>
    </xf>
    <xf numFmtId="38" fontId="83" fillId="47" borderId="242" xfId="0" applyNumberFormat="1" applyFont="1" applyFill="1" applyBorder="1" applyAlignment="1">
      <alignment horizontal="right" wrapText="1"/>
    </xf>
    <xf numFmtId="38" fontId="83" fillId="47" borderId="231" xfId="0" applyNumberFormat="1" applyFont="1" applyFill="1" applyBorder="1" applyAlignment="1">
      <alignment horizontal="right" wrapText="1"/>
    </xf>
    <xf numFmtId="38" fontId="83" fillId="47" borderId="0" xfId="0" applyNumberFormat="1" applyFont="1" applyFill="1" applyAlignment="1">
      <alignment horizontal="right" wrapText="1"/>
    </xf>
    <xf numFmtId="38" fontId="83" fillId="47" borderId="238" xfId="0" applyNumberFormat="1" applyFont="1" applyFill="1" applyBorder="1" applyAlignment="1">
      <alignment horizontal="right" wrapText="1"/>
    </xf>
    <xf numFmtId="38" fontId="83" fillId="47" borderId="243" xfId="0" applyNumberFormat="1" applyFont="1" applyFill="1" applyBorder="1" applyAlignment="1">
      <alignment horizontal="right" wrapText="1"/>
    </xf>
    <xf numFmtId="0" fontId="83" fillId="53" borderId="231" xfId="0" applyFont="1" applyFill="1" applyBorder="1" applyAlignment="1">
      <alignment horizontal="left" wrapText="1" indent="2"/>
    </xf>
    <xf numFmtId="0" fontId="83" fillId="53" borderId="230" xfId="0" applyFont="1" applyFill="1" applyBorder="1" applyAlignment="1">
      <alignment horizontal="left" wrapText="1" indent="2"/>
    </xf>
    <xf numFmtId="0" fontId="83" fillId="53" borderId="0" xfId="0" applyFont="1" applyFill="1" applyAlignment="1">
      <alignment horizontal="left" wrapText="1" indent="2"/>
    </xf>
    <xf numFmtId="0" fontId="83" fillId="53" borderId="239" xfId="0" applyFont="1" applyFill="1" applyBorder="1" applyAlignment="1">
      <alignment horizontal="left" wrapText="1" indent="2"/>
    </xf>
    <xf numFmtId="0" fontId="83" fillId="53" borderId="236" xfId="0" applyFont="1" applyFill="1" applyBorder="1" applyAlignment="1">
      <alignment horizontal="left" indent="2"/>
    </xf>
    <xf numFmtId="0" fontId="83" fillId="53" borderId="237" xfId="0" applyFont="1" applyFill="1" applyBorder="1" applyAlignment="1">
      <alignment horizontal="left" indent="2"/>
    </xf>
    <xf numFmtId="0" fontId="83" fillId="52" borderId="236" xfId="0" applyFont="1" applyFill="1" applyBorder="1" applyAlignment="1">
      <alignment horizontal="left"/>
    </xf>
    <xf numFmtId="0" fontId="83" fillId="52" borderId="237" xfId="0" applyFont="1" applyFill="1" applyBorder="1" applyAlignment="1">
      <alignment horizontal="left"/>
    </xf>
    <xf numFmtId="0" fontId="83" fillId="0" borderId="231" xfId="0" applyFont="1" applyBorder="1" applyAlignment="1">
      <alignment horizontal="left"/>
    </xf>
    <xf numFmtId="0" fontId="83" fillId="0" borderId="230" xfId="0" applyFont="1" applyBorder="1" applyAlignment="1">
      <alignment horizontal="left"/>
    </xf>
    <xf numFmtId="0" fontId="83" fillId="51" borderId="238" xfId="0" applyFont="1" applyFill="1" applyBorder="1" applyAlignment="1">
      <alignment horizontal="left" wrapText="1"/>
    </xf>
    <xf numFmtId="0" fontId="83" fillId="52" borderId="236" xfId="0" applyFont="1" applyFill="1" applyBorder="1" applyAlignment="1">
      <alignment horizontal="left" wrapText="1"/>
    </xf>
    <xf numFmtId="0" fontId="83" fillId="52" borderId="237" xfId="0" applyFont="1" applyFill="1" applyBorder="1" applyAlignment="1">
      <alignment horizontal="left" wrapText="1"/>
    </xf>
    <xf numFmtId="0" fontId="83" fillId="53" borderId="238" xfId="0" applyFont="1" applyFill="1" applyBorder="1" applyAlignment="1">
      <alignment horizontal="left" wrapText="1" indent="2"/>
    </xf>
    <xf numFmtId="0" fontId="83" fillId="53" borderId="241" xfId="0" applyFont="1" applyFill="1" applyBorder="1" applyAlignment="1">
      <alignment horizontal="left" wrapText="1" indent="2"/>
    </xf>
    <xf numFmtId="0" fontId="83" fillId="0" borderId="236" xfId="0" applyFont="1" applyBorder="1" applyAlignment="1">
      <alignment horizontal="left"/>
    </xf>
    <xf numFmtId="0" fontId="83" fillId="0" borderId="237" xfId="0" applyFont="1" applyBorder="1" applyAlignment="1">
      <alignment horizontal="left"/>
    </xf>
    <xf numFmtId="0" fontId="83" fillId="51" borderId="238" xfId="0" applyFont="1" applyFill="1" applyBorder="1" applyAlignment="1">
      <alignment horizontal="left"/>
    </xf>
    <xf numFmtId="0" fontId="83" fillId="0" borderId="236" xfId="0" applyFont="1" applyBorder="1" applyAlignment="1">
      <alignment horizontal="left" wrapText="1"/>
    </xf>
    <xf numFmtId="0" fontId="83" fillId="47" borderId="236" xfId="0" applyFont="1" applyFill="1" applyBorder="1" applyAlignment="1">
      <alignment horizontal="right"/>
    </xf>
    <xf numFmtId="0" fontId="83" fillId="47" borderId="237" xfId="0" applyFont="1" applyFill="1" applyBorder="1" applyAlignment="1">
      <alignment horizontal="right"/>
    </xf>
    <xf numFmtId="0" fontId="84" fillId="46" borderId="232" xfId="0" applyFont="1" applyFill="1" applyBorder="1" applyAlignment="1">
      <alignment horizontal="left"/>
    </xf>
    <xf numFmtId="0" fontId="84" fillId="46" borderId="233" xfId="0" applyFont="1" applyFill="1" applyBorder="1" applyAlignment="1">
      <alignment horizontal="left"/>
    </xf>
    <xf numFmtId="0" fontId="64" fillId="47" borderId="229" xfId="0" applyFont="1" applyFill="1" applyBorder="1" applyAlignment="1">
      <alignment horizontal="left"/>
    </xf>
    <xf numFmtId="0" fontId="64" fillId="47" borderId="228" xfId="0" applyFont="1" applyFill="1" applyBorder="1" applyAlignment="1">
      <alignment horizontal="left"/>
    </xf>
    <xf numFmtId="0" fontId="83" fillId="47" borderId="234" xfId="0" applyFont="1" applyFill="1" applyBorder="1" applyAlignment="1">
      <alignment horizontal="right"/>
    </xf>
    <xf numFmtId="0" fontId="83" fillId="47" borderId="235" xfId="0" applyFont="1" applyFill="1" applyBorder="1" applyAlignment="1">
      <alignment horizontal="right"/>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0" fillId="0" borderId="10" xfId="0" applyBorder="1" applyAlignment="1"/>
    <xf numFmtId="49" fontId="0" fillId="0" borderId="118" xfId="0" applyNumberFormat="1" applyBorder="1" applyAlignment="1"/>
    <xf numFmtId="49" fontId="0" fillId="0" borderId="0" xfId="0" applyNumberFormat="1" applyAlignment="1"/>
  </cellXfs>
  <cellStyles count="34">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1" xr:uid="{00000000-0005-0000-0000-00000B000000}"/>
    <cellStyle name="Moneda 2 2" xfId="12" xr:uid="{00000000-0005-0000-0000-00000C000000}"/>
    <cellStyle name="Normal 2" xfId="13" xr:uid="{00000000-0005-0000-0000-00000E000000}"/>
    <cellStyle name="Normal 2 2" xfId="14" xr:uid="{00000000-0005-0000-0000-00000F000000}"/>
    <cellStyle name="Normal 2 3" xfId="19" xr:uid="{00000000-0005-0000-0000-000010000000}"/>
    <cellStyle name="Normal 2 3 2" xfId="26" xr:uid="{6A4611F8-31D7-4EA6-B27B-70EB4E34E8FD}"/>
    <cellStyle name="Normal 2 4" xfId="20" xr:uid="{DBC68614-B0BC-4348-8A0D-C96562B201CF}"/>
    <cellStyle name="Normal 3" xfId="23" xr:uid="{371B90F0-6B8E-40BF-8358-D28B574437C9}"/>
    <cellStyle name="Normal 3 2" xfId="25" xr:uid="{41BD78A2-6B23-4ADD-839D-9D86F14E11A2}"/>
    <cellStyle name="Normal 3 3" xfId="28" xr:uid="{4CBFF9A4-05AD-4A91-8AF0-FA0B5B39E2EC}"/>
    <cellStyle name="Normal 5" xfId="29" xr:uid="{E3BE1569-E214-4855-8BF5-B868B88B5743}"/>
    <cellStyle name="Normal 9" xfId="32" xr:uid="{CACD4D4E-2C7F-4816-9692-26D0FDD559DC}"/>
    <cellStyle name="Porcentaje 2" xfId="16" xr:uid="{00000000-0005-0000-0000-000012000000}"/>
    <cellStyle name="Porcentaje 2 2" xfId="17" xr:uid="{00000000-0005-0000-0000-000013000000}"/>
    <cellStyle name="Porcentaje 2 2 2" xfId="24" xr:uid="{924DB8B0-6B9C-4A78-9CB6-7EC8F42C7C6B}"/>
    <cellStyle name="Porcentaje 2 3" xfId="22" xr:uid="{1FF2580F-E450-433A-8AB5-6E1CABCA8FC9}"/>
    <cellStyle name="Porcentaje 2 4" xfId="27" xr:uid="{3D812F63-E4F6-4F6D-A613-EF79E76ACE35}"/>
    <cellStyle name="Porcentaje 3" xfId="18" xr:uid="{00000000-0005-0000-0000-000014000000}"/>
    <cellStyle name="Porcentaje 3 2" xfId="21" xr:uid="{59E732CE-B697-4AF7-8CEE-0C42EB60E78B}"/>
    <cellStyle name="Porcentaje 4 2" xfId="31" xr:uid="{C6A0E8B8-33DC-4334-89A4-99FF669E5EA8}"/>
    <cellStyle name="Porcentaje 5" xfId="30" xr:uid="{F07CEC0B-CE59-4BBC-A0C7-9B77A84167BF}"/>
    <cellStyle name="百分比" xfId="15" builtinId="5"/>
    <cellStyle name="常规" xfId="0" builtinId="0"/>
    <cellStyle name="超链接" xfId="33" builtinId="8"/>
  </cellStyles>
  <dxfs count="40">
    <dxf>
      <fill>
        <patternFill patternType="solid">
          <bgColor rgb="FF00B050"/>
        </patternFill>
      </fill>
    </dxf>
    <dxf>
      <fill>
        <patternFill patternType="solid">
          <bgColor rgb="FFFF0000"/>
        </patternFill>
      </fill>
    </dxf>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00B050"/>
      <color rgb="FFFCD9FB"/>
      <color rgb="FFC6EDFF"/>
      <color rgb="FF339966"/>
      <color rgb="FF0B8040"/>
      <color rgb="FFFFFF00"/>
      <color rgb="FFE26B0A"/>
      <color rgb="FF31869B"/>
      <color rgb="FF7030A0"/>
      <color rgb="FFFAAD5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0A-4D2F-9638-2FF0593E7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Segments!$C$18:$C$23</c:f>
              <c:strCache>
                <c:ptCount val="5"/>
                <c:pt idx="0">
                  <c:v>Wholesale</c:v>
                </c:pt>
                <c:pt idx="1">
                  <c:v>DTC</c:v>
                </c:pt>
                <c:pt idx="2">
                  <c:v>TOTAL</c:v>
                </c:pt>
                <c:pt idx="3">
                  <c:v>Average Wholesale</c:v>
                </c:pt>
                <c:pt idx="4">
                  <c:v>Average DTC</c:v>
                </c:pt>
              </c:strCache>
            </c:strRef>
          </c:cat>
          <c:val>
            <c:numRef>
              <c:f>Segments!$D$18:$D$23</c:f>
              <c:numCache>
                <c:formatCode>#,##0.0_);[Red]\(#,##0.0\)</c:formatCode>
                <c:ptCount val="6"/>
                <c:pt idx="0">
                  <c:v>647.45299999999997</c:v>
                </c:pt>
                <c:pt idx="1">
                  <c:v>2336.7640000000001</c:v>
                </c:pt>
                <c:pt idx="2" formatCode="&quot;$&quot;#,##0">
                  <c:v>2984.2170000000001</c:v>
                </c:pt>
                <c:pt idx="3" formatCode="0.00%">
                  <c:v>0.21695908843090161</c:v>
                </c:pt>
                <c:pt idx="4" formatCode="0.00%">
                  <c:v>0.78304091156909839</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Segments!$C$5:$C$10</c:f>
              <c:strCache>
                <c:ptCount val="4"/>
                <c:pt idx="0">
                  <c:v>EMAE</c:v>
                </c:pt>
                <c:pt idx="1">
                  <c:v>Americas</c:v>
                </c:pt>
                <c:pt idx="2">
                  <c:v>Asia</c:v>
                </c:pt>
                <c:pt idx="3">
                  <c:v>TOTAL</c:v>
                </c:pt>
              </c:strCache>
            </c:strRef>
          </c:cat>
          <c:val>
            <c:numRef>
              <c:f>Segments!$D$5:$D$10</c:f>
              <c:numCache>
                <c:formatCode>"$"#,##0</c:formatCode>
                <c:ptCount val="6"/>
                <c:pt idx="0">
                  <c:v>1197.9949999999999</c:v>
                </c:pt>
                <c:pt idx="1">
                  <c:v>405.40499999999997</c:v>
                </c:pt>
                <c:pt idx="2">
                  <c:v>1380.818</c:v>
                </c:pt>
                <c:pt idx="3">
                  <c:v>2984.2179999999998</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Moncler SpA (XMIL:MONC)</c:v>
                </c:pt>
              </c:strCache>
            </c:strRef>
          </c:tx>
          <c:spPr>
            <a:ln w="25400" cap="rnd">
              <a:noFill/>
              <a:round/>
            </a:ln>
            <a:effectLst/>
          </c:spPr>
          <c:marker>
            <c:symbol val="circle"/>
            <c:size val="5"/>
            <c:spPr>
              <a:solidFill>
                <a:schemeClr val="accent1"/>
              </a:solidFill>
              <a:ln w="9525">
                <a:solidFill>
                  <a:schemeClr val="accent1"/>
                </a:solidFill>
              </a:ln>
              <a:effectLst/>
            </c:spPr>
          </c:marker>
          <c:xVal>
            <c:strRef>
              <c:f>Peers!$C$21</c:f>
              <c:strCache>
                <c:ptCount val="1"/>
                <c:pt idx="0">
                  <c:v>&lt;0</c:v>
                </c:pt>
              </c:strCache>
            </c:strRef>
          </c:xVal>
          <c:yVal>
            <c:numRef>
              <c:f>Peers!$C$37</c:f>
              <c:numCache>
                <c:formatCode>0.0</c:formatCode>
                <c:ptCount val="1"/>
                <c:pt idx="0">
                  <c:v>10.932396150611662</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Prada IT (XFRA:PRP)</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1.5162547619047619</c:v>
                </c:pt>
              </c:numCache>
            </c:numRef>
          </c:xVal>
          <c:yVal>
            <c:numRef>
              <c:f>Peers!$D$37</c:f>
              <c:numCache>
                <c:formatCode>0.0</c:formatCode>
                <c:ptCount val="1"/>
                <c:pt idx="0">
                  <c:v>112.19554047619047</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Burberry Group (XLON:BRBY)</c:v>
                </c:pt>
              </c:strCache>
            </c:strRef>
          </c:tx>
          <c:spPr>
            <a:ln w="25400" cap="rnd">
              <a:noFill/>
              <a:round/>
            </a:ln>
            <a:effectLst/>
          </c:spPr>
          <c:marker>
            <c:symbol val="circle"/>
            <c:size val="5"/>
            <c:spPr>
              <a:solidFill>
                <a:schemeClr val="accent3"/>
              </a:solidFill>
              <a:ln w="9525">
                <a:solidFill>
                  <a:schemeClr val="accent3"/>
                </a:solidFill>
              </a:ln>
              <a:effectLst/>
            </c:spPr>
          </c:marker>
          <c:xVal>
            <c:strRef>
              <c:f>Peers!$E$21</c:f>
              <c:strCache>
                <c:ptCount val="1"/>
                <c:pt idx="0">
                  <c:v>&lt;0</c:v>
                </c:pt>
              </c:strCache>
            </c:strRef>
          </c:xVal>
          <c:yVal>
            <c:numRef>
              <c:f>Peers!$E$37</c:f>
              <c:numCache>
                <c:formatCode>0.0</c:formatCode>
                <c:ptCount val="1"/>
                <c:pt idx="0">
                  <c:v>2.1515988869675131</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Hugo Boss (XFRA:BOSS)</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1.2993151098939422</c:v>
                </c:pt>
              </c:numCache>
            </c:numRef>
          </c:xVal>
          <c:yVal>
            <c:numRef>
              <c:f>Peers!$F$37</c:f>
              <c:numCache>
                <c:formatCode>0.0</c:formatCode>
                <c:ptCount val="1"/>
                <c:pt idx="0">
                  <c:v>2.404884898475387</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Canada Goose (XTSE:GOOS)</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2.985272303454122</c:v>
                </c:pt>
              </c:numCache>
            </c:numRef>
          </c:xVal>
          <c:yVal>
            <c:numRef>
              <c:f>Peers!$G$37</c:f>
              <c:numCache>
                <c:formatCode>0.0</c:formatCode>
                <c:ptCount val="1"/>
                <c:pt idx="0">
                  <c:v>9.7849203591862697</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Kering (XPAR:KER)</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0.69690972750799207</c:v>
                </c:pt>
              </c:numCache>
            </c:numRef>
          </c:xVal>
          <c:yVal>
            <c:numRef>
              <c:f>Peers!$H$37</c:f>
              <c:numCache>
                <c:formatCode>0.0</c:formatCode>
                <c:ptCount val="1"/>
                <c:pt idx="0">
                  <c:v>4.8519576800121778</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Moncler SpA (XMIL:MONC)</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pt idx="0">
                  <c:v>0.27712724434035901</c:v>
                </c:pt>
              </c:numCache>
            </c:numRef>
          </c:xVal>
          <c:yVal>
            <c:numRef>
              <c:f>Peers!$C$49</c:f>
              <c:numCache>
                <c:formatCode>0%</c:formatCode>
                <c:ptCount val="1"/>
                <c:pt idx="0">
                  <c:v>0.97908721860007386</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Prada IT (XFRA:PRP)</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0.15178571428571427</c:v>
                </c:pt>
              </c:numCache>
            </c:numRef>
          </c:xVal>
          <c:yVal>
            <c:numRef>
              <c:f>Peers!$D$49</c:f>
              <c:numCache>
                <c:formatCode>0.00%</c:formatCode>
                <c:ptCount val="1"/>
                <c:pt idx="0">
                  <c:v>1.0277841906800709E-2</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Burberry Group (XLON:BRBY)</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-0.45393150024119633</c:v>
                </c:pt>
              </c:numCache>
            </c:numRef>
          </c:xVal>
          <c:yVal>
            <c:numRef>
              <c:f>Peers!$E$49</c:f>
              <c:numCache>
                <c:formatCode>0.00%</c:formatCode>
                <c:ptCount val="1"/>
                <c:pt idx="0">
                  <c:v>0.26689189189189189</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Hugo Boss (XFRA:BOSS)</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0.31157112526539282</c:v>
                </c:pt>
              </c:numCache>
            </c:numRef>
          </c:xVal>
          <c:yVal>
            <c:numRef>
              <c:f>Peers!$F$49</c:f>
              <c:numCache>
                <c:formatCode>0.00%</c:formatCode>
                <c:ptCount val="1"/>
                <c:pt idx="0">
                  <c:v>0.17591451537244482</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Canada Goose (XTSE:GOOS)</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-0.72891566265060237</c:v>
                </c:pt>
              </c:numCache>
            </c:numRef>
          </c:xVal>
          <c:yVal>
            <c:numRef>
              <c:f>Peers!$G$49</c:f>
              <c:numCache>
                <c:formatCode>0.00%</c:formatCode>
                <c:ptCount val="1"/>
                <c:pt idx="0">
                  <c:v>-0.59736324344876401</c:v>
                </c:pt>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Kering (XPAR:KER)</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pt idx="0">
                  <c:v>-0.4773427866831072</c:v>
                </c:pt>
              </c:numCache>
            </c:numRef>
          </c:xVal>
          <c:yVal>
            <c:numRef>
              <c:f>Peers!$H$49</c:f>
              <c:numCache>
                <c:formatCode>0.00%</c:formatCode>
                <c:ptCount val="1"/>
                <c:pt idx="0">
                  <c:v>0.54365436543654366</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MonclerRevGrwt (%)</c:v>
          </c:tx>
          <c:spPr>
            <a:ln w="28575" cap="rnd">
              <a:solidFill>
                <a:srgbClr val="4F81BD"/>
              </a:solidFill>
              <a:prstDash val="solid"/>
              <a:round/>
            </a:ln>
            <a:effectLst/>
          </c:spPr>
          <c:marker>
            <c:symbol val="none"/>
          </c:marker>
          <c:trendline>
            <c:spPr>
              <a:ln w="19050" cap="rnd">
                <a:solidFill>
                  <a:srgbClr val="1F497D"/>
                </a:solidFill>
                <a:prstDash val="sysDot"/>
              </a:ln>
              <a:effectLst/>
            </c:spPr>
            <c:trendlineType val="log"/>
            <c:dispRSqr val="0"/>
            <c:dispEq val="0"/>
          </c:trendline>
          <c:cat>
            <c:numRef>
              <c:f>Assumptions!$C$58:$M$58</c:f>
              <c:numCache>
                <c:formatCode>General</c:formatCode>
                <c:ptCount val="11"/>
                <c:pt idx="0">
                  <c:v>2023</c:v>
                </c:pt>
                <c:pt idx="1">
                  <c:v>2022</c:v>
                </c:pt>
                <c:pt idx="2">
                  <c:v>2021</c:v>
                </c:pt>
                <c:pt idx="3">
                  <c:v>2020</c:v>
                </c:pt>
                <c:pt idx="4">
                  <c:v>2019</c:v>
                </c:pt>
                <c:pt idx="5">
                  <c:v>2018</c:v>
                </c:pt>
                <c:pt idx="6">
                  <c:v>2017</c:v>
                </c:pt>
                <c:pt idx="7">
                  <c:v>2016</c:v>
                </c:pt>
                <c:pt idx="8">
                  <c:v>2015</c:v>
                </c:pt>
                <c:pt idx="9">
                  <c:v>2014</c:v>
                </c:pt>
                <c:pt idx="10">
                  <c:v>2013</c:v>
                </c:pt>
              </c:numCache>
            </c:numRef>
          </c:cat>
          <c:val>
            <c:numRef>
              <c:f>Assumptions!$C$59:$M$59</c:f>
              <c:numCache>
                <c:formatCode>0.00%</c:formatCode>
                <c:ptCount val="11"/>
                <c:pt idx="0">
                  <c:v>0.14649045295631785</c:v>
                </c:pt>
                <c:pt idx="1">
                  <c:v>0.27212746200087984</c:v>
                </c:pt>
                <c:pt idx="2">
                  <c:v>0.42050819216884183</c:v>
                </c:pt>
                <c:pt idx="3">
                  <c:v>-0.1150703446581065</c:v>
                </c:pt>
                <c:pt idx="4">
                  <c:v>0.14618688824730663</c:v>
                </c:pt>
                <c:pt idx="5">
                  <c:v>0.18966239423640768</c:v>
                </c:pt>
                <c:pt idx="6">
                  <c:v>0.14745746419302133</c:v>
                </c:pt>
                <c:pt idx="7">
                  <c:v>0.18162199000454338</c:v>
                </c:pt>
                <c:pt idx="8">
                  <c:v>0.2682224142898299</c:v>
                </c:pt>
                <c:pt idx="9">
                  <c:v>0.19570702938628304</c:v>
                </c:pt>
                <c:pt idx="10">
                  <c:v>0.1868371560570751</c:v>
                </c:pt>
              </c:numCache>
            </c:numRef>
          </c:val>
          <c:smooth val="0"/>
          <c:extLst>
            <c:ext xmlns:c16="http://schemas.microsoft.com/office/drawing/2014/chart" uri="{C3380CC4-5D6E-409C-BE32-E72D297353CC}">
              <c16:uniqueId val="{00000003-E161-48EC-8562-A22B2B55EBAB}"/>
            </c:ext>
          </c:extLst>
        </c:ser>
        <c:ser>
          <c:idx val="2"/>
          <c:order val="1"/>
          <c:tx>
            <c:v>Luxury Fashion market revenue growth (%)</c:v>
          </c:tx>
          <c:spPr>
            <a:ln w="28575" cap="rnd">
              <a:solidFill>
                <a:schemeClr val="accent3"/>
              </a:solidFill>
              <a:round/>
            </a:ln>
            <a:effectLst/>
          </c:spPr>
          <c:marker>
            <c:symbol val="none"/>
          </c:marker>
          <c:trendline>
            <c:spPr>
              <a:ln w="19050" cap="rnd">
                <a:solidFill>
                  <a:schemeClr val="accent3"/>
                </a:solidFill>
                <a:prstDash val="sysDot"/>
              </a:ln>
              <a:effectLst/>
            </c:spPr>
            <c:trendlineType val="log"/>
            <c:dispRSqr val="0"/>
            <c:dispEq val="0"/>
          </c:trendline>
          <c:cat>
            <c:numRef>
              <c:f>Assumptions!$C$58:$M$58</c:f>
              <c:numCache>
                <c:formatCode>General</c:formatCode>
                <c:ptCount val="11"/>
                <c:pt idx="0">
                  <c:v>2023</c:v>
                </c:pt>
                <c:pt idx="1">
                  <c:v>2022</c:v>
                </c:pt>
                <c:pt idx="2">
                  <c:v>2021</c:v>
                </c:pt>
                <c:pt idx="3">
                  <c:v>2020</c:v>
                </c:pt>
                <c:pt idx="4">
                  <c:v>2019</c:v>
                </c:pt>
                <c:pt idx="5">
                  <c:v>2018</c:v>
                </c:pt>
                <c:pt idx="6">
                  <c:v>2017</c:v>
                </c:pt>
                <c:pt idx="7">
                  <c:v>2016</c:v>
                </c:pt>
                <c:pt idx="8">
                  <c:v>2015</c:v>
                </c:pt>
                <c:pt idx="9">
                  <c:v>2014</c:v>
                </c:pt>
                <c:pt idx="10">
                  <c:v>2013</c:v>
                </c:pt>
              </c:numCache>
            </c:numRef>
          </c:cat>
          <c:val>
            <c:numRef>
              <c:f>Assumptions!$C$60:$M$60</c:f>
              <c:numCache>
                <c:formatCode>0.00%</c:formatCode>
                <c:ptCount val="11"/>
                <c:pt idx="0">
                  <c:v>0.14711934156378598</c:v>
                </c:pt>
                <c:pt idx="1">
                  <c:v>4.8543689320388349E-2</c:v>
                </c:pt>
                <c:pt idx="2">
                  <c:v>8.2943925233644966E-2</c:v>
                </c:pt>
                <c:pt idx="3">
                  <c:v>-0.10647181628392488</c:v>
                </c:pt>
                <c:pt idx="4">
                  <c:v>5.7395143487858756E-2</c:v>
                </c:pt>
              </c:numCache>
            </c:numRef>
          </c:val>
          <c:smooth val="0"/>
          <c:extLst>
            <c:ext xmlns:c16="http://schemas.microsoft.com/office/drawing/2014/chart" uri="{C3380CC4-5D6E-409C-BE32-E72D297353CC}">
              <c16:uniqueId val="{00000005-E161-48EC-8562-A22B2B55EBAB}"/>
            </c:ext>
          </c:extLst>
        </c:ser>
        <c:dLbls>
          <c:showLegendKey val="0"/>
          <c:showVal val="0"/>
          <c:showCatName val="0"/>
          <c:showSerName val="0"/>
          <c:showPercent val="0"/>
          <c:showBubbleSize val="0"/>
        </c:dLbls>
        <c:smooth val="0"/>
        <c:axId val="75774983"/>
        <c:axId val="75789319"/>
      </c:lineChart>
      <c:catAx>
        <c:axId val="75774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89319"/>
        <c:crosses val="autoZero"/>
        <c:auto val="1"/>
        <c:lblAlgn val="ctr"/>
        <c:lblOffset val="100"/>
        <c:noMultiLvlLbl val="0"/>
      </c:catAx>
      <c:valAx>
        <c:axId val="757893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Assumptions!$B$44</c:f>
              <c:strCache>
                <c:ptCount val="1"/>
                <c:pt idx="0">
                  <c:v>Revenue forecast</c:v>
                </c:pt>
              </c:strCache>
            </c:strRef>
          </c:tx>
          <c:spPr>
            <a:ln w="28575" cap="rnd">
              <a:solidFill>
                <a:schemeClr val="accent3"/>
              </a:solidFill>
              <a:round/>
            </a:ln>
            <a:effectLst/>
          </c:spPr>
          <c:marker>
            <c:symbol val="none"/>
          </c:marker>
          <c:cat>
            <c:numRef>
              <c:f>Assumptions!$C$42:$AB$42</c:f>
              <c:numCache>
                <c:formatCode>General</c:formatCode>
                <c:ptCount val="26"/>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numCache>
            </c:numRef>
          </c:cat>
          <c:val>
            <c:numRef>
              <c:f>Assumptions!$C$44:$AB$44</c:f>
              <c:numCache>
                <c:formatCode>#,##0.00</c:formatCode>
                <c:ptCount val="26"/>
                <c:pt idx="0">
                  <c:v>3431.8299999999995</c:v>
                </c:pt>
                <c:pt idx="1">
                  <c:v>3895.1270499999996</c:v>
                </c:pt>
                <c:pt idx="2">
                  <c:v>4362.5422959999996</c:v>
                </c:pt>
                <c:pt idx="3">
                  <c:v>4820.6092370799997</c:v>
                </c:pt>
                <c:pt idx="4">
                  <c:v>5254.4640684172</c:v>
                </c:pt>
                <c:pt idx="5">
                  <c:v>5708.9752103352876</c:v>
                </c:pt>
                <c:pt idx="6">
                  <c:v>6182.820152793116</c:v>
                </c:pt>
                <c:pt idx="7">
                  <c:v>6674.3543549401684</c:v>
                </c:pt>
                <c:pt idx="8">
                  <c:v>7181.6052859156216</c:v>
                </c:pt>
                <c:pt idx="9">
                  <c:v>7702.2716691445039</c:v>
                </c:pt>
                <c:pt idx="10">
                  <c:v>8233.7284143154739</c:v>
                </c:pt>
                <c:pt idx="11">
                  <c:v>8773.0376254531366</c:v>
                </c:pt>
                <c:pt idx="12">
                  <c:v>9316.9659582312306</c:v>
                </c:pt>
                <c:pt idx="13">
                  <c:v>9862.0084667877582</c:v>
                </c:pt>
                <c:pt idx="14">
                  <c:v>10404.418932461083</c:v>
                </c:pt>
                <c:pt idx="15">
                  <c:v>10940.246507482829</c:v>
                </c:pt>
                <c:pt idx="16">
                  <c:v>11465.378339842006</c:v>
                </c:pt>
                <c:pt idx="17">
                  <c:v>11975.587675964975</c:v>
                </c:pt>
                <c:pt idx="18">
                  <c:v>12466.586770679538</c:v>
                </c:pt>
                <c:pt idx="19">
                  <c:v>12934.083774580018</c:v>
                </c:pt>
                <c:pt idx="20">
                  <c:v>13373.842622915739</c:v>
                </c:pt>
                <c:pt idx="21">
                  <c:v>13781.744822914668</c:v>
                </c:pt>
                <c:pt idx="22">
                  <c:v>14153.851933133363</c:v>
                </c:pt>
                <c:pt idx="23">
                  <c:v>14486.467453561994</c:v>
                </c:pt>
                <c:pt idx="24">
                  <c:v>14776.196802633234</c:v>
                </c:pt>
                <c:pt idx="25">
                  <c:v>15020.004049876681</c:v>
                </c:pt>
              </c:numCache>
            </c:numRef>
          </c:val>
          <c:smooth val="0"/>
          <c:extLst>
            <c:ext xmlns:c16="http://schemas.microsoft.com/office/drawing/2014/chart" uri="{C3380CC4-5D6E-409C-BE32-E72D297353CC}">
              <c16:uniqueId val="{00000005-B62D-421F-9C74-AB4685C5B835}"/>
            </c:ext>
          </c:extLst>
        </c:ser>
        <c:dLbls>
          <c:showLegendKey val="0"/>
          <c:showVal val="0"/>
          <c:showCatName val="0"/>
          <c:showSerName val="0"/>
          <c:showPercent val="0"/>
          <c:showBubbleSize val="0"/>
        </c:dLbls>
        <c:smooth val="0"/>
        <c:axId val="4269063"/>
        <c:axId val="4271111"/>
      </c:lineChart>
      <c:catAx>
        <c:axId val="4269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1111"/>
        <c:crosses val="autoZero"/>
        <c:auto val="1"/>
        <c:lblAlgn val="ctr"/>
        <c:lblOffset val="100"/>
        <c:noMultiLvlLbl val="0"/>
      </c:catAx>
      <c:valAx>
        <c:axId val="42711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9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chart" Target="../charts/chart2.xml"/><Relationship Id="rId16" Type="http://schemas.openxmlformats.org/officeDocument/2006/relationships/image" Target="../media/image16.pn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21.png"/><Relationship Id="rId2" Type="http://schemas.openxmlformats.org/officeDocument/2006/relationships/chart" Target="../charts/chart3.xml"/><Relationship Id="rId1" Type="http://schemas.openxmlformats.org/officeDocument/2006/relationships/image" Target="../media/image17.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15</xdr:row>
      <xdr:rowOff>306573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306573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15</xdr:row>
      <xdr:rowOff>306573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57150</xdr:colOff>
      <xdr:row>5</xdr:row>
      <xdr:rowOff>342900</xdr:rowOff>
    </xdr:from>
    <xdr:to>
      <xdr:col>3</xdr:col>
      <xdr:colOff>171450</xdr:colOff>
      <xdr:row>9</xdr:row>
      <xdr:rowOff>447675</xdr:rowOff>
    </xdr:to>
    <xdr:pic>
      <xdr:nvPicPr>
        <xdr:cNvPr id="3" name="Imagem 2">
          <a:extLst>
            <a:ext uri="{FF2B5EF4-FFF2-40B4-BE49-F238E27FC236}">
              <a16:creationId xmlns:a16="http://schemas.microsoft.com/office/drawing/2014/main" id="{EC3E9D50-B884-F37A-103A-016729C2E08D}"/>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85725" y="1552575"/>
          <a:ext cx="2905125" cy="2009775"/>
        </a:xfrm>
        <a:prstGeom prst="rect">
          <a:avLst/>
        </a:prstGeom>
      </xdr:spPr>
    </xdr:pic>
    <xdr:clientData/>
  </xdr:twoCellAnchor>
  <xdr:twoCellAnchor editAs="oneCell">
    <xdr:from>
      <xdr:col>6</xdr:col>
      <xdr:colOff>0</xdr:colOff>
      <xdr:row>83</xdr:row>
      <xdr:rowOff>38100</xdr:rowOff>
    </xdr:from>
    <xdr:to>
      <xdr:col>11</xdr:col>
      <xdr:colOff>228600</xdr:colOff>
      <xdr:row>102</xdr:row>
      <xdr:rowOff>133350</xdr:rowOff>
    </xdr:to>
    <xdr:pic>
      <xdr:nvPicPr>
        <xdr:cNvPr id="4" name="Imagem 3">
          <a:extLst>
            <a:ext uri="{FF2B5EF4-FFF2-40B4-BE49-F238E27FC236}">
              <a16:creationId xmlns:a16="http://schemas.microsoft.com/office/drawing/2014/main" id="{502830DE-2B32-EF67-C08A-60FEB166503E}"/>
            </a:ext>
            <a:ext uri="{147F2762-F138-4A5C-976F-8EAC2B608ADB}">
              <a16:predDERef xmlns:a16="http://schemas.microsoft.com/office/drawing/2014/main" pred="{EC3E9D50-B884-F37A-103A-016729C2E08D}"/>
            </a:ext>
          </a:extLst>
        </xdr:cNvPr>
        <xdr:cNvPicPr>
          <a:picLocks noChangeAspect="1"/>
        </xdr:cNvPicPr>
      </xdr:nvPicPr>
      <xdr:blipFill>
        <a:blip xmlns:r="http://schemas.openxmlformats.org/officeDocument/2006/relationships" r:embed="rId2"/>
        <a:stretch>
          <a:fillRect/>
        </a:stretch>
      </xdr:blipFill>
      <xdr:spPr>
        <a:xfrm>
          <a:off x="7629525" y="17602200"/>
          <a:ext cx="6467475" cy="3171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26</xdr:row>
      <xdr:rowOff>76200</xdr:rowOff>
    </xdr:from>
    <xdr:to>
      <xdr:col>11</xdr:col>
      <xdr:colOff>666750</xdr:colOff>
      <xdr:row>32</xdr:row>
      <xdr:rowOff>666750</xdr:rowOff>
    </xdr:to>
    <xdr:graphicFrame macro="">
      <xdr:nvGraphicFramePr>
        <xdr:cNvPr id="18"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26</xdr:row>
      <xdr:rowOff>66675</xdr:rowOff>
    </xdr:from>
    <xdr:to>
      <xdr:col>15</xdr:col>
      <xdr:colOff>714375</xdr:colOff>
      <xdr:row>32</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25</xdr:row>
      <xdr:rowOff>247650</xdr:rowOff>
    </xdr:from>
    <xdr:to>
      <xdr:col>11</xdr:col>
      <xdr:colOff>714375</xdr:colOff>
      <xdr:row>33</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219075</xdr:colOff>
      <xdr:row>45</xdr:row>
      <xdr:rowOff>28575</xdr:rowOff>
    </xdr:from>
    <xdr:to>
      <xdr:col>15</xdr:col>
      <xdr:colOff>742950</xdr:colOff>
      <xdr:row>47</xdr:row>
      <xdr:rowOff>114300</xdr:rowOff>
    </xdr:to>
    <xdr:sp macro="" textlink="">
      <xdr:nvSpPr>
        <xdr:cNvPr id="16" name="Rectangle 9">
          <a:extLst>
            <a:ext uri="{FF2B5EF4-FFF2-40B4-BE49-F238E27FC236}">
              <a16:creationId xmlns:a16="http://schemas.microsoft.com/office/drawing/2014/main" id="{9EA941B6-F7AA-AE8B-792C-EC306EB6FD73}"/>
            </a:ext>
            <a:ext uri="{147F2762-F138-4A5C-976F-8EAC2B608ADB}">
              <a16:predDERef xmlns:a16="http://schemas.microsoft.com/office/drawing/2014/main" pred="{2D9F9EFF-8C8B-4839-A102-86B66E9BDF73}"/>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34</xdr:col>
      <xdr:colOff>19050</xdr:colOff>
      <xdr:row>57</xdr:row>
      <xdr:rowOff>47625</xdr:rowOff>
    </xdr:from>
    <xdr:to>
      <xdr:col>35</xdr:col>
      <xdr:colOff>209550</xdr:colOff>
      <xdr:row>63</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21</xdr:col>
      <xdr:colOff>476250</xdr:colOff>
      <xdr:row>2</xdr:row>
      <xdr:rowOff>38100</xdr:rowOff>
    </xdr:from>
    <xdr:to>
      <xdr:col>24</xdr:col>
      <xdr:colOff>752475</xdr:colOff>
      <xdr:row>17</xdr:row>
      <xdr:rowOff>57150</xdr:rowOff>
    </xdr:to>
    <xdr:pic>
      <xdr:nvPicPr>
        <xdr:cNvPr id="6" name="Imagem 5">
          <a:extLst>
            <a:ext uri="{FF2B5EF4-FFF2-40B4-BE49-F238E27FC236}">
              <a16:creationId xmlns:a16="http://schemas.microsoft.com/office/drawing/2014/main" id="{57AF7FED-AB2B-6DAF-A18B-FAD45B9483CE}"/>
            </a:ext>
            <a:ext uri="{147F2762-F138-4A5C-976F-8EAC2B608ADB}">
              <a16:predDERef xmlns:a16="http://schemas.microsoft.com/office/drawing/2014/main" pred="{C9895EF9-2FA7-B78D-2AD7-6BE3341E6029}"/>
            </a:ext>
          </a:extLst>
        </xdr:cNvPr>
        <xdr:cNvPicPr>
          <a:picLocks noChangeAspect="1"/>
        </xdr:cNvPicPr>
      </xdr:nvPicPr>
      <xdr:blipFill>
        <a:blip xmlns:r="http://schemas.openxmlformats.org/officeDocument/2006/relationships" r:embed="rId3"/>
        <a:stretch>
          <a:fillRect/>
        </a:stretch>
      </xdr:blipFill>
      <xdr:spPr>
        <a:xfrm>
          <a:off x="20335875" y="400050"/>
          <a:ext cx="2562225" cy="2381250"/>
        </a:xfrm>
        <a:prstGeom prst="rect">
          <a:avLst/>
        </a:prstGeom>
      </xdr:spPr>
    </xdr:pic>
    <xdr:clientData/>
  </xdr:twoCellAnchor>
  <xdr:twoCellAnchor editAs="oneCell">
    <xdr:from>
      <xdr:col>16</xdr:col>
      <xdr:colOff>0</xdr:colOff>
      <xdr:row>16</xdr:row>
      <xdr:rowOff>114300</xdr:rowOff>
    </xdr:from>
    <xdr:to>
      <xdr:col>17</xdr:col>
      <xdr:colOff>466725</xdr:colOff>
      <xdr:row>27</xdr:row>
      <xdr:rowOff>47625</xdr:rowOff>
    </xdr:to>
    <xdr:pic>
      <xdr:nvPicPr>
        <xdr:cNvPr id="10" name="Imagem 9">
          <a:extLst>
            <a:ext uri="{FF2B5EF4-FFF2-40B4-BE49-F238E27FC236}">
              <a16:creationId xmlns:a16="http://schemas.microsoft.com/office/drawing/2014/main" id="{DE23636C-D486-15AB-E712-0B83D4E1551C}"/>
            </a:ext>
            <a:ext uri="{147F2762-F138-4A5C-976F-8EAC2B608ADB}">
              <a16:predDERef xmlns:a16="http://schemas.microsoft.com/office/drawing/2014/main" pred="{57AF7FED-AB2B-6DAF-A18B-FAD45B9483CE}"/>
            </a:ext>
          </a:extLst>
        </xdr:cNvPr>
        <xdr:cNvPicPr>
          <a:picLocks noChangeAspect="1"/>
        </xdr:cNvPicPr>
      </xdr:nvPicPr>
      <xdr:blipFill>
        <a:blip xmlns:r="http://schemas.openxmlformats.org/officeDocument/2006/relationships" r:embed="rId4"/>
        <a:stretch>
          <a:fillRect/>
        </a:stretch>
      </xdr:blipFill>
      <xdr:spPr>
        <a:xfrm>
          <a:off x="15249525" y="2724150"/>
          <a:ext cx="2028825" cy="2028825"/>
        </a:xfrm>
        <a:prstGeom prst="rect">
          <a:avLst/>
        </a:prstGeom>
      </xdr:spPr>
    </xdr:pic>
    <xdr:clientData/>
  </xdr:twoCellAnchor>
  <xdr:twoCellAnchor editAs="oneCell">
    <xdr:from>
      <xdr:col>19</xdr:col>
      <xdr:colOff>352425</xdr:colOff>
      <xdr:row>4</xdr:row>
      <xdr:rowOff>57150</xdr:rowOff>
    </xdr:from>
    <xdr:to>
      <xdr:col>21</xdr:col>
      <xdr:colOff>466725</xdr:colOff>
      <xdr:row>19</xdr:row>
      <xdr:rowOff>47625</xdr:rowOff>
    </xdr:to>
    <xdr:pic>
      <xdr:nvPicPr>
        <xdr:cNvPr id="12" name="Imagem 11">
          <a:extLst>
            <a:ext uri="{FF2B5EF4-FFF2-40B4-BE49-F238E27FC236}">
              <a16:creationId xmlns:a16="http://schemas.microsoft.com/office/drawing/2014/main" id="{0E6D4B18-E19B-BAC1-4B05-89BDF0B5CD4F}"/>
            </a:ext>
            <a:ext uri="{147F2762-F138-4A5C-976F-8EAC2B608ADB}">
              <a16:predDERef xmlns:a16="http://schemas.microsoft.com/office/drawing/2014/main" pred="{BE93837A-74AB-5CA4-5824-2B48F762DC0B}"/>
            </a:ext>
          </a:extLst>
        </xdr:cNvPr>
        <xdr:cNvPicPr>
          <a:picLocks noChangeAspect="1"/>
        </xdr:cNvPicPr>
      </xdr:nvPicPr>
      <xdr:blipFill>
        <a:blip xmlns:r="http://schemas.openxmlformats.org/officeDocument/2006/relationships" r:embed="rId5"/>
        <a:stretch>
          <a:fillRect/>
        </a:stretch>
      </xdr:blipFill>
      <xdr:spPr>
        <a:xfrm>
          <a:off x="18688050" y="819150"/>
          <a:ext cx="1638300" cy="2286000"/>
        </a:xfrm>
        <a:prstGeom prst="rect">
          <a:avLst/>
        </a:prstGeom>
      </xdr:spPr>
    </xdr:pic>
    <xdr:clientData/>
  </xdr:twoCellAnchor>
  <xdr:twoCellAnchor editAs="oneCell">
    <xdr:from>
      <xdr:col>22</xdr:col>
      <xdr:colOff>609600</xdr:colOff>
      <xdr:row>18</xdr:row>
      <xdr:rowOff>19050</xdr:rowOff>
    </xdr:from>
    <xdr:to>
      <xdr:col>24</xdr:col>
      <xdr:colOff>695325</xdr:colOff>
      <xdr:row>28</xdr:row>
      <xdr:rowOff>152400</xdr:rowOff>
    </xdr:to>
    <xdr:pic>
      <xdr:nvPicPr>
        <xdr:cNvPr id="2" name="Imagem 1">
          <a:extLst>
            <a:ext uri="{FF2B5EF4-FFF2-40B4-BE49-F238E27FC236}">
              <a16:creationId xmlns:a16="http://schemas.microsoft.com/office/drawing/2014/main" id="{E04953D5-253B-72AE-CF13-BB5D5DFBF6EB}"/>
            </a:ext>
            <a:ext uri="{147F2762-F138-4A5C-976F-8EAC2B608ADB}">
              <a16:predDERef xmlns:a16="http://schemas.microsoft.com/office/drawing/2014/main" pred="{0E6D4B18-E19B-BAC1-4B05-89BDF0B5CD4F}"/>
            </a:ext>
          </a:extLst>
        </xdr:cNvPr>
        <xdr:cNvPicPr>
          <a:picLocks noChangeAspect="1"/>
        </xdr:cNvPicPr>
      </xdr:nvPicPr>
      <xdr:blipFill>
        <a:blip xmlns:r="http://schemas.openxmlformats.org/officeDocument/2006/relationships" r:embed="rId6"/>
        <a:stretch>
          <a:fillRect/>
        </a:stretch>
      </xdr:blipFill>
      <xdr:spPr>
        <a:xfrm>
          <a:off x="21231225" y="2952750"/>
          <a:ext cx="1609725" cy="2428875"/>
        </a:xfrm>
        <a:prstGeom prst="rect">
          <a:avLst/>
        </a:prstGeom>
      </xdr:spPr>
    </xdr:pic>
    <xdr:clientData/>
  </xdr:twoCellAnchor>
  <xdr:twoCellAnchor editAs="oneCell">
    <xdr:from>
      <xdr:col>20</xdr:col>
      <xdr:colOff>485775</xdr:colOff>
      <xdr:row>18</xdr:row>
      <xdr:rowOff>28575</xdr:rowOff>
    </xdr:from>
    <xdr:to>
      <xdr:col>22</xdr:col>
      <xdr:colOff>619125</xdr:colOff>
      <xdr:row>28</xdr:row>
      <xdr:rowOff>219075</xdr:rowOff>
    </xdr:to>
    <xdr:pic>
      <xdr:nvPicPr>
        <xdr:cNvPr id="5" name="Imagem 4">
          <a:extLst>
            <a:ext uri="{FF2B5EF4-FFF2-40B4-BE49-F238E27FC236}">
              <a16:creationId xmlns:a16="http://schemas.microsoft.com/office/drawing/2014/main" id="{9A2171DE-AA74-40E8-3D43-A5EF59719E29}"/>
            </a:ext>
            <a:ext uri="{147F2762-F138-4A5C-976F-8EAC2B608ADB}">
              <a16:predDERef xmlns:a16="http://schemas.microsoft.com/office/drawing/2014/main" pred="{E04953D5-253B-72AE-CF13-BB5D5DFBF6EB}"/>
            </a:ext>
          </a:extLst>
        </xdr:cNvPr>
        <xdr:cNvPicPr>
          <a:picLocks noChangeAspect="1"/>
        </xdr:cNvPicPr>
      </xdr:nvPicPr>
      <xdr:blipFill>
        <a:blip xmlns:r="http://schemas.openxmlformats.org/officeDocument/2006/relationships" r:embed="rId7"/>
        <a:stretch>
          <a:fillRect/>
        </a:stretch>
      </xdr:blipFill>
      <xdr:spPr>
        <a:xfrm>
          <a:off x="19583400" y="2962275"/>
          <a:ext cx="1657350" cy="2486025"/>
        </a:xfrm>
        <a:prstGeom prst="rect">
          <a:avLst/>
        </a:prstGeom>
      </xdr:spPr>
    </xdr:pic>
    <xdr:clientData/>
  </xdr:twoCellAnchor>
  <xdr:twoCellAnchor editAs="oneCell">
    <xdr:from>
      <xdr:col>22</xdr:col>
      <xdr:colOff>447675</xdr:colOff>
      <xdr:row>27</xdr:row>
      <xdr:rowOff>209550</xdr:rowOff>
    </xdr:from>
    <xdr:to>
      <xdr:col>24</xdr:col>
      <xdr:colOff>704850</xdr:colOff>
      <xdr:row>30</xdr:row>
      <xdr:rowOff>104775</xdr:rowOff>
    </xdr:to>
    <xdr:pic>
      <xdr:nvPicPr>
        <xdr:cNvPr id="13" name="Imagem 12">
          <a:extLst>
            <a:ext uri="{FF2B5EF4-FFF2-40B4-BE49-F238E27FC236}">
              <a16:creationId xmlns:a16="http://schemas.microsoft.com/office/drawing/2014/main" id="{C8DE10B5-F247-4790-B691-FE9937D38CA4}"/>
            </a:ext>
            <a:ext uri="{147F2762-F138-4A5C-976F-8EAC2B608ADB}">
              <a16:predDERef xmlns:a16="http://schemas.microsoft.com/office/drawing/2014/main" pred="{9A2171DE-AA74-40E8-3D43-A5EF59719E29}"/>
            </a:ext>
          </a:extLst>
        </xdr:cNvPr>
        <xdr:cNvPicPr>
          <a:picLocks noChangeAspect="1"/>
        </xdr:cNvPicPr>
      </xdr:nvPicPr>
      <xdr:blipFill>
        <a:blip xmlns:r="http://schemas.openxmlformats.org/officeDocument/2006/relationships" r:embed="rId8"/>
        <a:stretch>
          <a:fillRect/>
        </a:stretch>
      </xdr:blipFill>
      <xdr:spPr>
        <a:xfrm>
          <a:off x="21069300" y="4933950"/>
          <a:ext cx="1781175" cy="1152525"/>
        </a:xfrm>
        <a:prstGeom prst="rect">
          <a:avLst/>
        </a:prstGeom>
      </xdr:spPr>
    </xdr:pic>
    <xdr:clientData/>
  </xdr:twoCellAnchor>
  <xdr:twoCellAnchor editAs="oneCell">
    <xdr:from>
      <xdr:col>16</xdr:col>
      <xdr:colOff>47625</xdr:colOff>
      <xdr:row>27</xdr:row>
      <xdr:rowOff>38100</xdr:rowOff>
    </xdr:from>
    <xdr:to>
      <xdr:col>17</xdr:col>
      <xdr:colOff>104775</xdr:colOff>
      <xdr:row>32</xdr:row>
      <xdr:rowOff>447675</xdr:rowOff>
    </xdr:to>
    <xdr:pic>
      <xdr:nvPicPr>
        <xdr:cNvPr id="14" name="Imagem 13">
          <a:extLst>
            <a:ext uri="{FF2B5EF4-FFF2-40B4-BE49-F238E27FC236}">
              <a16:creationId xmlns:a16="http://schemas.microsoft.com/office/drawing/2014/main" id="{294ED112-DEB4-05A0-9B50-EE5B399AFA85}"/>
            </a:ext>
            <a:ext uri="{147F2762-F138-4A5C-976F-8EAC2B608ADB}">
              <a16:predDERef xmlns:a16="http://schemas.microsoft.com/office/drawing/2014/main" pred="{C8DE10B5-F247-4790-B691-FE9937D38CA4}"/>
            </a:ext>
          </a:extLst>
        </xdr:cNvPr>
        <xdr:cNvPicPr>
          <a:picLocks noChangeAspect="1"/>
        </xdr:cNvPicPr>
      </xdr:nvPicPr>
      <xdr:blipFill>
        <a:blip xmlns:r="http://schemas.openxmlformats.org/officeDocument/2006/relationships" r:embed="rId9"/>
        <a:stretch>
          <a:fillRect/>
        </a:stretch>
      </xdr:blipFill>
      <xdr:spPr>
        <a:xfrm>
          <a:off x="15297150" y="4762500"/>
          <a:ext cx="1619250" cy="2190750"/>
        </a:xfrm>
        <a:prstGeom prst="rect">
          <a:avLst/>
        </a:prstGeom>
      </xdr:spPr>
    </xdr:pic>
    <xdr:clientData/>
  </xdr:twoCellAnchor>
  <xdr:twoCellAnchor editAs="oneCell">
    <xdr:from>
      <xdr:col>17</xdr:col>
      <xdr:colOff>95250</xdr:colOff>
      <xdr:row>27</xdr:row>
      <xdr:rowOff>57150</xdr:rowOff>
    </xdr:from>
    <xdr:to>
      <xdr:col>18</xdr:col>
      <xdr:colOff>381000</xdr:colOff>
      <xdr:row>32</xdr:row>
      <xdr:rowOff>657225</xdr:rowOff>
    </xdr:to>
    <xdr:pic>
      <xdr:nvPicPr>
        <xdr:cNvPr id="17" name="Imagem 14">
          <a:extLst>
            <a:ext uri="{FF2B5EF4-FFF2-40B4-BE49-F238E27FC236}">
              <a16:creationId xmlns:a16="http://schemas.microsoft.com/office/drawing/2014/main" id="{EA3E803A-BE4B-ED23-0E04-2636BDF4E7D4}"/>
            </a:ext>
            <a:ext uri="{147F2762-F138-4A5C-976F-8EAC2B608ADB}">
              <a16:predDERef xmlns:a16="http://schemas.microsoft.com/office/drawing/2014/main" pred="{294ED112-DEB4-05A0-9B50-EE5B399AFA85}"/>
            </a:ext>
          </a:extLst>
        </xdr:cNvPr>
        <xdr:cNvPicPr>
          <a:picLocks noChangeAspect="1"/>
        </xdr:cNvPicPr>
      </xdr:nvPicPr>
      <xdr:blipFill>
        <a:blip xmlns:r="http://schemas.openxmlformats.org/officeDocument/2006/relationships" r:embed="rId10"/>
        <a:stretch>
          <a:fillRect/>
        </a:stretch>
      </xdr:blipFill>
      <xdr:spPr>
        <a:xfrm>
          <a:off x="16906875" y="4781550"/>
          <a:ext cx="1047750" cy="2381250"/>
        </a:xfrm>
        <a:prstGeom prst="rect">
          <a:avLst/>
        </a:prstGeom>
      </xdr:spPr>
    </xdr:pic>
    <xdr:clientData/>
  </xdr:twoCellAnchor>
  <xdr:twoCellAnchor editAs="oneCell">
    <xdr:from>
      <xdr:col>18</xdr:col>
      <xdr:colOff>390525</xdr:colOff>
      <xdr:row>27</xdr:row>
      <xdr:rowOff>152400</xdr:rowOff>
    </xdr:from>
    <xdr:to>
      <xdr:col>20</xdr:col>
      <xdr:colOff>285750</xdr:colOff>
      <xdr:row>32</xdr:row>
      <xdr:rowOff>533400</xdr:rowOff>
    </xdr:to>
    <xdr:pic>
      <xdr:nvPicPr>
        <xdr:cNvPr id="20" name="Imagem 15">
          <a:extLst>
            <a:ext uri="{FF2B5EF4-FFF2-40B4-BE49-F238E27FC236}">
              <a16:creationId xmlns:a16="http://schemas.microsoft.com/office/drawing/2014/main" id="{3600EE8A-C743-82CE-B421-13CA647803DA}"/>
            </a:ext>
            <a:ext uri="{147F2762-F138-4A5C-976F-8EAC2B608ADB}">
              <a16:predDERef xmlns:a16="http://schemas.microsoft.com/office/drawing/2014/main" pred="{EA3E803A-BE4B-ED23-0E04-2636BDF4E7D4}"/>
            </a:ext>
          </a:extLst>
        </xdr:cNvPr>
        <xdr:cNvPicPr>
          <a:picLocks noChangeAspect="1"/>
        </xdr:cNvPicPr>
      </xdr:nvPicPr>
      <xdr:blipFill>
        <a:blip xmlns:r="http://schemas.openxmlformats.org/officeDocument/2006/relationships" r:embed="rId11"/>
        <a:stretch>
          <a:fillRect/>
        </a:stretch>
      </xdr:blipFill>
      <xdr:spPr>
        <a:xfrm>
          <a:off x="17964150" y="4876800"/>
          <a:ext cx="1419225" cy="2162175"/>
        </a:xfrm>
        <a:prstGeom prst="rect">
          <a:avLst/>
        </a:prstGeom>
      </xdr:spPr>
    </xdr:pic>
    <xdr:clientData/>
  </xdr:twoCellAnchor>
  <xdr:twoCellAnchor editAs="oneCell">
    <xdr:from>
      <xdr:col>16</xdr:col>
      <xdr:colOff>1419225</xdr:colOff>
      <xdr:row>16</xdr:row>
      <xdr:rowOff>66675</xdr:rowOff>
    </xdr:from>
    <xdr:to>
      <xdr:col>18</xdr:col>
      <xdr:colOff>628650</xdr:colOff>
      <xdr:row>27</xdr:row>
      <xdr:rowOff>142875</xdr:rowOff>
    </xdr:to>
    <xdr:pic>
      <xdr:nvPicPr>
        <xdr:cNvPr id="28" name="Imagem 16">
          <a:extLst>
            <a:ext uri="{FF2B5EF4-FFF2-40B4-BE49-F238E27FC236}">
              <a16:creationId xmlns:a16="http://schemas.microsoft.com/office/drawing/2014/main" id="{16821C7C-74CB-E3FD-0BD7-5F4A815F97C6}"/>
            </a:ext>
            <a:ext uri="{147F2762-F138-4A5C-976F-8EAC2B608ADB}">
              <a16:predDERef xmlns:a16="http://schemas.microsoft.com/office/drawing/2014/main" pred="{3600EE8A-C743-82CE-B421-13CA647803DA}"/>
            </a:ext>
          </a:extLst>
        </xdr:cNvPr>
        <xdr:cNvPicPr>
          <a:picLocks noChangeAspect="1"/>
        </xdr:cNvPicPr>
      </xdr:nvPicPr>
      <xdr:blipFill>
        <a:blip xmlns:r="http://schemas.openxmlformats.org/officeDocument/2006/relationships" r:embed="rId12"/>
        <a:stretch>
          <a:fillRect/>
        </a:stretch>
      </xdr:blipFill>
      <xdr:spPr>
        <a:xfrm>
          <a:off x="16668750" y="2676525"/>
          <a:ext cx="1533525" cy="2171700"/>
        </a:xfrm>
        <a:prstGeom prst="rect">
          <a:avLst/>
        </a:prstGeom>
      </xdr:spPr>
    </xdr:pic>
    <xdr:clientData/>
  </xdr:twoCellAnchor>
  <xdr:twoCellAnchor editAs="oneCell">
    <xdr:from>
      <xdr:col>16</xdr:col>
      <xdr:colOff>0</xdr:colOff>
      <xdr:row>2</xdr:row>
      <xdr:rowOff>0</xdr:rowOff>
    </xdr:from>
    <xdr:to>
      <xdr:col>18</xdr:col>
      <xdr:colOff>47625</xdr:colOff>
      <xdr:row>17</xdr:row>
      <xdr:rowOff>9525</xdr:rowOff>
    </xdr:to>
    <xdr:pic>
      <xdr:nvPicPr>
        <xdr:cNvPr id="26" name="Imagem 3">
          <a:extLst>
            <a:ext uri="{FF2B5EF4-FFF2-40B4-BE49-F238E27FC236}">
              <a16:creationId xmlns:a16="http://schemas.microsoft.com/office/drawing/2014/main" id="{C9895EF9-2FA7-B78D-2AD7-6BE3341E6029}"/>
            </a:ext>
            <a:ext uri="{147F2762-F138-4A5C-976F-8EAC2B608ADB}">
              <a16:predDERef xmlns:a16="http://schemas.microsoft.com/office/drawing/2014/main" pred="{16821C7C-74CB-E3FD-0BD7-5F4A815F97C6}"/>
            </a:ext>
          </a:extLst>
        </xdr:cNvPr>
        <xdr:cNvPicPr>
          <a:picLocks noChangeAspect="1"/>
        </xdr:cNvPicPr>
      </xdr:nvPicPr>
      <xdr:blipFill>
        <a:blip xmlns:r="http://schemas.openxmlformats.org/officeDocument/2006/relationships" r:embed="rId13"/>
        <a:stretch>
          <a:fillRect/>
        </a:stretch>
      </xdr:blipFill>
      <xdr:spPr>
        <a:xfrm>
          <a:off x="15249525" y="361950"/>
          <a:ext cx="2371725" cy="2371725"/>
        </a:xfrm>
        <a:prstGeom prst="rect">
          <a:avLst/>
        </a:prstGeom>
      </xdr:spPr>
    </xdr:pic>
    <xdr:clientData/>
  </xdr:twoCellAnchor>
  <xdr:twoCellAnchor editAs="oneCell">
    <xdr:from>
      <xdr:col>9</xdr:col>
      <xdr:colOff>28575</xdr:colOff>
      <xdr:row>45</xdr:row>
      <xdr:rowOff>95250</xdr:rowOff>
    </xdr:from>
    <xdr:to>
      <xdr:col>16</xdr:col>
      <xdr:colOff>533400</xdr:colOff>
      <xdr:row>61</xdr:row>
      <xdr:rowOff>66675</xdr:rowOff>
    </xdr:to>
    <xdr:pic>
      <xdr:nvPicPr>
        <xdr:cNvPr id="4" name="Imagem 3">
          <a:extLst>
            <a:ext uri="{FF2B5EF4-FFF2-40B4-BE49-F238E27FC236}">
              <a16:creationId xmlns:a16="http://schemas.microsoft.com/office/drawing/2014/main" id="{40E2F31E-DC4A-2664-410E-BE17A3E3E354}"/>
            </a:ext>
            <a:ext uri="{147F2762-F138-4A5C-976F-8EAC2B608ADB}">
              <a16:predDERef xmlns:a16="http://schemas.microsoft.com/office/drawing/2014/main" pred="{C9895EF9-2FA7-B78D-2AD7-6BE3341E6029}"/>
            </a:ext>
          </a:extLst>
        </xdr:cNvPr>
        <xdr:cNvPicPr>
          <a:picLocks noChangeAspect="1"/>
        </xdr:cNvPicPr>
      </xdr:nvPicPr>
      <xdr:blipFill>
        <a:blip xmlns:r="http://schemas.openxmlformats.org/officeDocument/2006/relationships" r:embed="rId14"/>
        <a:stretch>
          <a:fillRect/>
        </a:stretch>
      </xdr:blipFill>
      <xdr:spPr>
        <a:xfrm>
          <a:off x="9944100" y="9229725"/>
          <a:ext cx="5838825" cy="2647950"/>
        </a:xfrm>
        <a:prstGeom prst="rect">
          <a:avLst/>
        </a:prstGeom>
      </xdr:spPr>
    </xdr:pic>
    <xdr:clientData/>
  </xdr:twoCellAnchor>
  <xdr:twoCellAnchor editAs="oneCell">
    <xdr:from>
      <xdr:col>9</xdr:col>
      <xdr:colOff>19050</xdr:colOff>
      <xdr:row>34</xdr:row>
      <xdr:rowOff>0</xdr:rowOff>
    </xdr:from>
    <xdr:to>
      <xdr:col>13</xdr:col>
      <xdr:colOff>400050</xdr:colOff>
      <xdr:row>39</xdr:row>
      <xdr:rowOff>85725</xdr:rowOff>
    </xdr:to>
    <xdr:pic>
      <xdr:nvPicPr>
        <xdr:cNvPr id="8" name="Imagem 10">
          <a:extLst>
            <a:ext uri="{FF2B5EF4-FFF2-40B4-BE49-F238E27FC236}">
              <a16:creationId xmlns:a16="http://schemas.microsoft.com/office/drawing/2014/main" id="{62B04BD2-6EFF-33EA-71FD-870B3A9BEF41}"/>
            </a:ext>
            <a:ext uri="{147F2762-F138-4A5C-976F-8EAC2B608ADB}">
              <a16:predDERef xmlns:a16="http://schemas.microsoft.com/office/drawing/2014/main" pred="{40E2F31E-DC4A-2664-410E-BE17A3E3E354}"/>
            </a:ext>
          </a:extLst>
        </xdr:cNvPr>
        <xdr:cNvPicPr>
          <a:picLocks noChangeAspect="1"/>
        </xdr:cNvPicPr>
      </xdr:nvPicPr>
      <xdr:blipFill>
        <a:blip xmlns:r="http://schemas.openxmlformats.org/officeDocument/2006/relationships" r:embed="rId15"/>
        <a:stretch>
          <a:fillRect/>
        </a:stretch>
      </xdr:blipFill>
      <xdr:spPr>
        <a:xfrm>
          <a:off x="9934575" y="7410450"/>
          <a:ext cx="3429000" cy="1600200"/>
        </a:xfrm>
        <a:prstGeom prst="rect">
          <a:avLst/>
        </a:prstGeom>
      </xdr:spPr>
    </xdr:pic>
    <xdr:clientData/>
  </xdr:twoCellAnchor>
  <xdr:twoCellAnchor editAs="oneCell">
    <xdr:from>
      <xdr:col>13</xdr:col>
      <xdr:colOff>314325</xdr:colOff>
      <xdr:row>34</xdr:row>
      <xdr:rowOff>19050</xdr:rowOff>
    </xdr:from>
    <xdr:to>
      <xdr:col>16</xdr:col>
      <xdr:colOff>1524000</xdr:colOff>
      <xdr:row>39</xdr:row>
      <xdr:rowOff>133350</xdr:rowOff>
    </xdr:to>
    <xdr:pic>
      <xdr:nvPicPr>
        <xdr:cNvPr id="15" name="Imagem 14">
          <a:extLst>
            <a:ext uri="{FF2B5EF4-FFF2-40B4-BE49-F238E27FC236}">
              <a16:creationId xmlns:a16="http://schemas.microsoft.com/office/drawing/2014/main" id="{4BF493B4-80BC-9BD7-6A76-B9D60DDD6783}"/>
            </a:ext>
            <a:ext uri="{147F2762-F138-4A5C-976F-8EAC2B608ADB}">
              <a16:predDERef xmlns:a16="http://schemas.microsoft.com/office/drawing/2014/main" pred="{62B04BD2-6EFF-33EA-71FD-870B3A9BEF41}"/>
            </a:ext>
          </a:extLst>
        </xdr:cNvPr>
        <xdr:cNvPicPr>
          <a:picLocks noChangeAspect="1"/>
        </xdr:cNvPicPr>
      </xdr:nvPicPr>
      <xdr:blipFill>
        <a:blip xmlns:r="http://schemas.openxmlformats.org/officeDocument/2006/relationships" r:embed="rId16"/>
        <a:stretch>
          <a:fillRect/>
        </a:stretch>
      </xdr:blipFill>
      <xdr:spPr>
        <a:xfrm>
          <a:off x="13277850" y="7429500"/>
          <a:ext cx="3495675" cy="1628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495300</xdr:colOff>
      <xdr:row>1</xdr:row>
      <xdr:rowOff>9525</xdr:rowOff>
    </xdr:from>
    <xdr:to>
      <xdr:col>1</xdr:col>
      <xdr:colOff>1504950</xdr:colOff>
      <xdr:row>1</xdr:row>
      <xdr:rowOff>1019175</xdr:rowOff>
    </xdr:to>
    <xdr:pic>
      <xdr:nvPicPr>
        <xdr:cNvPr id="6" name="Imagem 3">
          <a:extLst>
            <a:ext uri="{FF2B5EF4-FFF2-40B4-BE49-F238E27FC236}">
              <a16:creationId xmlns:a16="http://schemas.microsoft.com/office/drawing/2014/main" id="{2FD4B3C5-D4FB-9D20-DD79-3E7B37336BA6}"/>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1"/>
        <a:stretch>
          <a:fillRect/>
        </a:stretch>
      </xdr:blipFill>
      <xdr:spPr>
        <a:xfrm>
          <a:off x="523875" y="180975"/>
          <a:ext cx="1009650" cy="1009650"/>
        </a:xfrm>
        <a:prstGeom prst="rect">
          <a:avLst/>
        </a:prstGeom>
      </xdr:spPr>
    </xdr:pic>
    <xdr:clientData/>
  </xdr:twoCellAnchor>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10</xdr:col>
      <xdr:colOff>528777</xdr:colOff>
      <xdr:row>17</xdr:row>
      <xdr:rowOff>56029</xdr:rowOff>
    </xdr:from>
    <xdr:to>
      <xdr:col>18</xdr:col>
      <xdr:colOff>702468</xdr:colOff>
      <xdr:row>33</xdr:row>
      <xdr:rowOff>114301</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107156</xdr:colOff>
      <xdr:row>33</xdr:row>
      <xdr:rowOff>142875</xdr:rowOff>
    </xdr:from>
    <xdr:to>
      <xdr:col>20</xdr:col>
      <xdr:colOff>273843</xdr:colOff>
      <xdr:row>50</xdr:row>
      <xdr:rowOff>142875</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276225</xdr:colOff>
      <xdr:row>2</xdr:row>
      <xdr:rowOff>9525</xdr:rowOff>
    </xdr:from>
    <xdr:to>
      <xdr:col>1</xdr:col>
      <xdr:colOff>1752600</xdr:colOff>
      <xdr:row>2</xdr:row>
      <xdr:rowOff>1019175</xdr:rowOff>
    </xdr:to>
    <xdr:pic>
      <xdr:nvPicPr>
        <xdr:cNvPr id="5" name="Imagem 4">
          <a:extLst>
            <a:ext uri="{FF2B5EF4-FFF2-40B4-BE49-F238E27FC236}">
              <a16:creationId xmlns:a16="http://schemas.microsoft.com/office/drawing/2014/main" id="{E5B7B881-9792-ADDA-1AC1-D27B9EA3A2FD}"/>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4"/>
        <a:stretch>
          <a:fillRect/>
        </a:stretch>
      </xdr:blipFill>
      <xdr:spPr>
        <a:xfrm>
          <a:off x="304800" y="1219200"/>
          <a:ext cx="1476375" cy="1009650"/>
        </a:xfrm>
        <a:prstGeom prst="rect">
          <a:avLst/>
        </a:prstGeom>
      </xdr:spPr>
    </xdr:pic>
    <xdr:clientData/>
  </xdr:twoCellAnchor>
  <xdr:twoCellAnchor editAs="oneCell">
    <xdr:from>
      <xdr:col>1</xdr:col>
      <xdr:colOff>419100</xdr:colOff>
      <xdr:row>4</xdr:row>
      <xdr:rowOff>19050</xdr:rowOff>
    </xdr:from>
    <xdr:to>
      <xdr:col>1</xdr:col>
      <xdr:colOff>1419225</xdr:colOff>
      <xdr:row>4</xdr:row>
      <xdr:rowOff>1019175</xdr:rowOff>
    </xdr:to>
    <xdr:pic>
      <xdr:nvPicPr>
        <xdr:cNvPr id="8" name="Imagem 7">
          <a:extLst>
            <a:ext uri="{FF2B5EF4-FFF2-40B4-BE49-F238E27FC236}">
              <a16:creationId xmlns:a16="http://schemas.microsoft.com/office/drawing/2014/main" id="{88B51B0C-A8F7-1723-89FD-92228C3DFFDB}"/>
            </a:ext>
            <a:ext uri="{147F2762-F138-4A5C-976F-8EAC2B608ADB}">
              <a16:predDERef xmlns:a16="http://schemas.microsoft.com/office/drawing/2014/main" pred="{E5B7B881-9792-ADDA-1AC1-D27B9EA3A2FD}"/>
            </a:ext>
          </a:extLst>
        </xdr:cNvPr>
        <xdr:cNvPicPr>
          <a:picLocks noChangeAspect="1"/>
        </xdr:cNvPicPr>
      </xdr:nvPicPr>
      <xdr:blipFill>
        <a:blip xmlns:r="http://schemas.openxmlformats.org/officeDocument/2006/relationships" r:embed="rId5"/>
        <a:stretch>
          <a:fillRect/>
        </a:stretch>
      </xdr:blipFill>
      <xdr:spPr>
        <a:xfrm>
          <a:off x="447675" y="3305175"/>
          <a:ext cx="1000125" cy="1000125"/>
        </a:xfrm>
        <a:prstGeom prst="rect">
          <a:avLst/>
        </a:prstGeom>
      </xdr:spPr>
    </xdr:pic>
    <xdr:clientData/>
  </xdr:twoCellAnchor>
  <xdr:twoCellAnchor editAs="oneCell">
    <xdr:from>
      <xdr:col>1</xdr:col>
      <xdr:colOff>476250</xdr:colOff>
      <xdr:row>3</xdr:row>
      <xdr:rowOff>19050</xdr:rowOff>
    </xdr:from>
    <xdr:to>
      <xdr:col>1</xdr:col>
      <xdr:colOff>1485900</xdr:colOff>
      <xdr:row>3</xdr:row>
      <xdr:rowOff>1028700</xdr:rowOff>
    </xdr:to>
    <xdr:pic>
      <xdr:nvPicPr>
        <xdr:cNvPr id="9" name="Imagem 8">
          <a:extLst>
            <a:ext uri="{FF2B5EF4-FFF2-40B4-BE49-F238E27FC236}">
              <a16:creationId xmlns:a16="http://schemas.microsoft.com/office/drawing/2014/main" id="{324CEBD9-4632-57C2-37CA-2B4ED567A00F}"/>
            </a:ext>
            <a:ext uri="{147F2762-F138-4A5C-976F-8EAC2B608ADB}">
              <a16:predDERef xmlns:a16="http://schemas.microsoft.com/office/drawing/2014/main" pred="{88B51B0C-A8F7-1723-89FD-92228C3DFFDB}"/>
            </a:ext>
          </a:extLst>
        </xdr:cNvPr>
        <xdr:cNvPicPr>
          <a:picLocks noChangeAspect="1"/>
        </xdr:cNvPicPr>
      </xdr:nvPicPr>
      <xdr:blipFill>
        <a:blip xmlns:r="http://schemas.openxmlformats.org/officeDocument/2006/relationships" r:embed="rId6"/>
        <a:stretch>
          <a:fillRect/>
        </a:stretch>
      </xdr:blipFill>
      <xdr:spPr>
        <a:xfrm>
          <a:off x="504825" y="2266950"/>
          <a:ext cx="1009650" cy="1009650"/>
        </a:xfrm>
        <a:prstGeom prst="rect">
          <a:avLst/>
        </a:prstGeom>
      </xdr:spPr>
    </xdr:pic>
    <xdr:clientData/>
  </xdr:twoCellAnchor>
  <xdr:twoCellAnchor editAs="oneCell">
    <xdr:from>
      <xdr:col>1</xdr:col>
      <xdr:colOff>390525</xdr:colOff>
      <xdr:row>5</xdr:row>
      <xdr:rowOff>0</xdr:rowOff>
    </xdr:from>
    <xdr:to>
      <xdr:col>1</xdr:col>
      <xdr:colOff>1409700</xdr:colOff>
      <xdr:row>5</xdr:row>
      <xdr:rowOff>1019175</xdr:rowOff>
    </xdr:to>
    <xdr:pic>
      <xdr:nvPicPr>
        <xdr:cNvPr id="10" name="Imagem 9">
          <a:extLst>
            <a:ext uri="{FF2B5EF4-FFF2-40B4-BE49-F238E27FC236}">
              <a16:creationId xmlns:a16="http://schemas.microsoft.com/office/drawing/2014/main" id="{BF9FE8EC-F072-64E1-E878-C6AA6B114A17}"/>
            </a:ext>
            <a:ext uri="{147F2762-F138-4A5C-976F-8EAC2B608ADB}">
              <a16:predDERef xmlns:a16="http://schemas.microsoft.com/office/drawing/2014/main" pred="{324CEBD9-4632-57C2-37CA-2B4ED567A00F}"/>
            </a:ext>
          </a:extLst>
        </xdr:cNvPr>
        <xdr:cNvPicPr>
          <a:picLocks noChangeAspect="1"/>
        </xdr:cNvPicPr>
      </xdr:nvPicPr>
      <xdr:blipFill>
        <a:blip xmlns:r="http://schemas.openxmlformats.org/officeDocument/2006/relationships" r:embed="rId7"/>
        <a:stretch>
          <a:fillRect/>
        </a:stretch>
      </xdr:blipFill>
      <xdr:spPr>
        <a:xfrm>
          <a:off x="419100" y="4324350"/>
          <a:ext cx="1019175" cy="1019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 uri="{147F2762-F138-4A5C-976F-8EAC2B608ADB}">
              <a16:predDERef xmlns:a16="http://schemas.microsoft.com/office/drawing/2014/main" pre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 uri="{147F2762-F138-4A5C-976F-8EAC2B608ADB}">
              <a16:predDERef xmlns:a16="http://schemas.microsoft.com/office/drawing/2014/main" pre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 uri="{147F2762-F138-4A5C-976F-8EAC2B608ADB}">
              <a16:predDERef xmlns:a16="http://schemas.microsoft.com/office/drawing/2014/main" pre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171450</xdr:colOff>
      <xdr:row>44</xdr:row>
      <xdr:rowOff>133350</xdr:rowOff>
    </xdr:from>
    <xdr:to>
      <xdr:col>19</xdr:col>
      <xdr:colOff>504825</xdr:colOff>
      <xdr:row>61</xdr:row>
      <xdr:rowOff>38100</xdr:rowOff>
    </xdr:to>
    <xdr:graphicFrame macro="">
      <xdr:nvGraphicFramePr>
        <xdr:cNvPr id="24" name="Gráfico 5">
          <a:extLst>
            <a:ext uri="{FF2B5EF4-FFF2-40B4-BE49-F238E27FC236}">
              <a16:creationId xmlns:a16="http://schemas.microsoft.com/office/drawing/2014/main" id="{04A606DD-3C78-24DF-68F3-EE03B5D81E41}"/>
            </a:ext>
            <a:ext uri="{147F2762-F138-4A5C-976F-8EAC2B608ADB}">
              <a16:predDERef xmlns:a16="http://schemas.microsoft.com/office/drawing/2014/main" pred="{C4493915-4565-34C8-3DEC-967FCEF3B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666750</xdr:colOff>
      <xdr:row>44</xdr:row>
      <xdr:rowOff>152400</xdr:rowOff>
    </xdr:from>
    <xdr:to>
      <xdr:col>25</xdr:col>
      <xdr:colOff>152400</xdr:colOff>
      <xdr:row>61</xdr:row>
      <xdr:rowOff>57150</xdr:rowOff>
    </xdr:to>
    <xdr:graphicFrame macro="">
      <xdr:nvGraphicFramePr>
        <xdr:cNvPr id="3" name="Gráfico 2">
          <a:extLst>
            <a:ext uri="{FF2B5EF4-FFF2-40B4-BE49-F238E27FC236}">
              <a16:creationId xmlns:a16="http://schemas.microsoft.com/office/drawing/2014/main" id="{BD43934C-3D9D-78EF-3695-3EAB649618C0}"/>
            </a:ext>
            <a:ext uri="{147F2762-F138-4A5C-976F-8EAC2B608ADB}">
              <a16:predDERef xmlns:a16="http://schemas.microsoft.com/office/drawing/2014/main" pred="{04A606DD-3C78-24DF-68F3-EE03B5D81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LIS-GENERAL-SecuritiesResearch/Shared%20Documents/Securities%20Research/One%20Pagers/Luxury%201%20(Patr&#237;cia%20Nunes)/Apple,%20Inc.%20(AAPL.O)/Apple,%20Inc.%20(AAPL.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sheetName val="Fin"/>
      <sheetName val="SARD"/>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Patricia Figueiredo Franco" id="{B8ECA2EE-EA3E-46A3-B00B-F93DECA5FBAF}" userId="S::l61831@aln.iseg.ulisboa.pt::a8896beb-22f4-47f1-8e4a-33e3b9570a5b" providerId="AD"/>
  <person displayName="DAVID FILIPE DE SOUSA TITA" id="{6D2C5BD9-1C3E-4972-9F97-1CA81A3CC14E}" userId="S::david.tita@aln.iseg.ulisboa.pt::2b554b1a-dfdf-4fc2-8414-05963e9f059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8">
  <rv s="0">
    <v>https://www.bing.com/financeapi/forcetrigger?t=ajfy27&amp;q=XMIL%3aMONC&amp;form=skydnc</v>
    <v>Learn more on Bing</v>
  </rv>
  <rv s="1">
    <v>en-US</v>
    <v>ajfy27</v>
    <v>268435456</v>
    <v>1</v>
    <v>Powered by Refinitiv</v>
    <v>0</v>
    <v>1</v>
    <v>Moncler SpA (XMIL:MONC)</v>
    <v>3</v>
    <v>4</v>
    <v>Finance</v>
    <v>5</v>
    <v>70.34</v>
    <v>45.95</v>
    <v>0.77380000000000004</v>
    <v>0.32</v>
    <v>6.7069999999999994E-3</v>
    <v>EUR</v>
    <v>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v>
    <v>7316</v>
    <v>Borsa Italiana</v>
    <v>XMIL</v>
    <v>XMIL</v>
    <v>Via Venezia, 1, TREBASELEGHE, PADOVA, 35010 IT</v>
    <v>48.15</v>
    <v>Textiles &amp; Apparel</v>
    <v>Stock</v>
    <v>45611.483171296299</v>
    <v>0</v>
    <v>47.28</v>
    <v>13110990000</v>
    <v>Moncler SpA</v>
    <v>Moncler SpA</v>
    <v>47.32</v>
    <v>19.916499999999999</v>
    <v>47.71</v>
    <v>48.03</v>
    <v>274805900</v>
    <v>MONC</v>
    <v>Moncler SpA (XMIL:MONC)</v>
    <v>260426</v>
    <v>1147190</v>
    <v>2004</v>
  </rv>
  <rv s="2">
    <v>1</v>
  </rv>
  <rv s="0">
    <v>https://www.bing.com/financeapi/forcetrigger?t=afiq1h&amp;q=XFRA%3aPRP&amp;form=skydnc</v>
    <v>Learn more on Bing</v>
  </rv>
  <rv s="3">
    <v>pt-BR</v>
    <v>afiq1h</v>
    <v>268435456</v>
    <v>1</v>
    <v>Da plataforma Refinitiv</v>
    <v>6</v>
    <v>7</v>
    <v>Prada IT (XFRA:PRP)</v>
    <v>3</v>
    <v>8</v>
    <v>Finance</v>
    <v>9</v>
    <v>XFRA</v>
    <v>2558824000</v>
    <v>6.6459999999999999</v>
    <v>6.6040000000000001</v>
    <v>0.61270000000000002</v>
    <v>Deutsche Boerse AG</v>
    <v>139455900000</v>
    <v>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v>
    <v>XFRA</v>
    <v>6.5220000000000002</v>
    <v>14933</v>
    <v>45611.477777777778</v>
    <v>3</v>
    <v>899950</v>
    <v>EUR</v>
    <v>Prada IT</v>
    <v>Prada IT</v>
    <v>22.917200000000001</v>
    <v>6.6459999999999999</v>
    <v>6.6040000000000001</v>
    <v>via Antonio Fogazzaro, 28, MILANO, MILANO, 20135 IT</v>
    <v>Textiles &amp; Apparel</v>
    <v>PRP</v>
    <v>Ações</v>
    <v>Prada IT (XFRA:PRP)</v>
    <v>8.2000000000000003E-2</v>
    <v>1.2573000000000001E-2</v>
    <v>160</v>
  </rv>
  <rv s="2">
    <v>4</v>
  </rv>
  <rv s="0">
    <v>https://www.bing.com/financeapi/forcetrigger?t=ao6p1h&amp;q=XLON%3aBRBY&amp;form=skydnc</v>
    <v>Learn more on Bing</v>
  </rv>
  <rv s="4">
    <v>pt-BR</v>
    <v>ao6p1h</v>
    <v>268435456</v>
    <v>1</v>
    <v>Da plataforma Refinitiv</v>
    <v>10</v>
    <v>11</v>
    <v>Burberry Group (XLON:BRBY)</v>
    <v>3</v>
    <v>12</v>
    <v>Finance</v>
    <v>13</v>
    <v>1744.5</v>
    <v>555.61</v>
    <v>XLON</v>
    <v>358583600</v>
    <v>878.4</v>
    <v>1997</v>
    <v>849.8</v>
    <v>1.4645999999999999</v>
    <v>London Stock Exchange</v>
    <v>3112506000</v>
    <v>Burberry Group plc is a United Kingdom-based global luxury goods manufacturer, retailer, and wholesaler. The Company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department stores globally and multi-brand specialty accounts. The flow of global product between retail and wholesale channels and across its regions is monitored and optimized at a corporate level and implemented via the Company's inventory hubs situated in Europe, the United States, mainland China, Hong Kong, and Special Administrative Regions (S.A.R.) China. The Company’s Licensing segment includes royalties from global licensees of beauty products, eyewear and licenses relating to the use of non-Burberry trademarks in Japan.</v>
    <v>XLON</v>
    <v>868</v>
    <v>9336</v>
    <v>45611.48226759219</v>
    <v>6</v>
    <v>4564550</v>
    <v>GBp</v>
    <v>Burberry Group</v>
    <v>Burberry Group</v>
    <v>82.041600000000003</v>
    <v>864</v>
    <v>862.6</v>
    <v>Horseferry House, Horseferry Road, Westminster, LONDON, SW1P 2AW GB</v>
    <v>Specialty Retailers</v>
    <v>BRBY</v>
    <v>Ações</v>
    <v>Burberry Group (XLON:BRBY)</v>
    <v>-5.4</v>
    <v>-6.221E-3</v>
    <v>476144</v>
  </rv>
  <rv s="2">
    <v>7</v>
  </rv>
  <rv s="0">
    <v>https://www.bing.com/financeapi/forcetrigger?t=af5q3m&amp;q=XFRA%3aBOSS&amp;form=skydnc</v>
    <v>Learn more on Bing</v>
  </rv>
  <rv s="4">
    <v>pt-BR</v>
    <v>af5q3m</v>
    <v>268435456</v>
    <v>1</v>
    <v>Da plataforma Refinitiv</v>
    <v>10</v>
    <v>11</v>
    <v>Hugo Boss (XFRA:BOSS)</v>
    <v>3</v>
    <v>14</v>
    <v>Finance</v>
    <v>9</v>
    <v>81.400000000000006</v>
    <v>19.2</v>
    <v>XFRA</v>
    <v>70400000</v>
    <v>40.28</v>
    <v>1948</v>
    <v>40.08</v>
    <v>1.2593000000000001</v>
    <v>Deutsche Boerse AG</v>
    <v>2853312000</v>
    <v xml:space="preserve">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children’s fashion, home textiles and writing instruments. The Company's brand portfolio comprises BOSS, BOSS Orange, Camel, Green, Black, Blue and HUGO and others: BOSS comprises business wear, leisurewear and evening apparel, as well as watches, eyewear and fragrances; BOSS Orange and BOSS Camel focuses on womenswear; BOSS Green comprises sportswear and BOSS Black focuses on modern tailoring, BOSS Blue focuses on denimwear, HUGO provides apparel for both business and leisure, as well as shoes, accessories and licensed fragrances. </v>
    <v>XFRA</v>
    <v>40.29</v>
    <v>18209</v>
    <v>45611.482638888891</v>
    <v>9</v>
    <v>339040</v>
    <v>EUR</v>
    <v>Hugo Boss</v>
    <v>Hugo Boss</v>
    <v>12.929</v>
    <v>40.08</v>
    <v>40.28</v>
    <v>Holy-Allee 3, METZINGEN, BADEN-WUERTTEMBERG, 72555 DE</v>
    <v>Textiles &amp; Apparel</v>
    <v>BOSS</v>
    <v>Ações</v>
    <v>Hugo Boss (XFRA:BOSS)</v>
    <v>-0.01</v>
    <v>-2.4819999999999996E-4</v>
    <v>10</v>
  </rv>
  <rv s="2">
    <v>10</v>
  </rv>
  <rv s="0">
    <v>https://www.bing.com/financeapi/forcetrigger?t=aayfu2&amp;q=XTSE%3aGOOS&amp;form=skydnc</v>
    <v>Learn more on Bing</v>
  </rv>
  <rv s="5">
    <v>pt-BR</v>
    <v>aayfu2</v>
    <v>268435456</v>
    <v>1</v>
    <v>Da plataforma Refinitiv</v>
    <v>15</v>
    <v>16</v>
    <v>Canada Goose (XTSE:GOOS)</v>
    <v>3</v>
    <v>17</v>
    <v>Finance</v>
    <v>18</v>
    <v>20.09</v>
    <v>12.95</v>
    <v>XTSE</v>
    <v>96794990</v>
    <v>0</v>
    <v>0</v>
    <v>13.71</v>
    <v>2013</v>
    <v>13.23</v>
    <v>1.3065</v>
    <v>Toronto Stock Exchange</v>
    <v>1283501567</v>
    <v>Canada Goose Holdings Inc. is a Canada-based company that operates a performance luxury outerwear, apparel, footwear and accessories brand. The Company designs, manufactures, and sells performance luxury apparel for men, women, youth, children, and babies. Its direct to consumer (DTC) includes sales to customers through its directly operated retail stores and e-commerce Website available across numerous markets, which includes the recommerce platform, Canada Goose Generations, available in the United States and Canada. Its Wholesale segment comprises sales made to a mix of retailers and international distributors. The Company’s product offerings include various styles of heavyweight down and lightweight down jackets, rain and everyday jackets, fleece, vests, apparel, footwear, and accessories for the fall, winter, and spring seasons. It has its operations in Canada, the United States, North America, Greater China, Asia Pacific and Europe, the Middle East, Africa (EMEA).</v>
    <v>XTSE</v>
    <v>13.56</v>
    <v>4462</v>
    <v>45610.875</v>
    <v>12</v>
    <v>398380</v>
    <v>CAD</v>
    <v>Canada Goose</v>
    <v>Canada Goose</v>
    <v>22.278600000000001</v>
    <v>13.63</v>
    <v>13.26</v>
    <v>13.26</v>
    <v>250 Bowie Avenue, TORONTO, ON, M6E 4Y2 CA</v>
    <v>Textiles &amp; Apparel</v>
    <v>GOOS</v>
    <v>Ações</v>
    <v>Canada Goose (XTSE:GOOS)</v>
    <v>-0.3</v>
    <v>-2.2124000000000001E-2</v>
    <v>233532</v>
  </rv>
  <rv s="2">
    <v>13</v>
  </rv>
  <rv s="0">
    <v>https://www.bing.com/financeapi/forcetrigger?t=ae92im&amp;q=XPAR%3aKER&amp;form=skydnc</v>
    <v>Learn more on Bing</v>
  </rv>
  <rv s="4">
    <v>pt-BR</v>
    <v>ae92im</v>
    <v>268435456</v>
    <v>1</v>
    <v>Da plataforma Refinitiv</v>
    <v>10</v>
    <v>11</v>
    <v>Kering (XPAR:KER)</v>
    <v>3</v>
    <v>14</v>
    <v>Finance</v>
    <v>9</v>
    <v>438.6</v>
    <v>208.25</v>
    <v>XPAR</v>
    <v>123420800</v>
    <v>224.75</v>
    <v>1955</v>
    <v>219.2</v>
    <v>0.98819999999999997</v>
    <v>Euronext Paris</v>
    <v>27294510000</v>
    <v>Kering SA is a France-based company that mainly active in fashion group on luxurious branded products. The Group manages the development of a series of renowned Houses in Fashion, Leather Goods and Jewelry: Gucci, Saint Laurent, Bottega Veneta, Balenciaga, Alexander McQueen, Brioni, Boucheron, Pomellato, DoDo, Ginori 1735, as well as Kering Eyewear and Kering Beaute. It manufactures and sell, mostly through managed retail stores, an array of products, including leather goods, apparel, accessories, footwear, jewelry among others, for man, woman, and children. The Group is actively working in globally.</v>
    <v>XPAR</v>
    <v>221.15</v>
    <v>46444</v>
    <v>45611.483287037037</v>
    <v>15</v>
    <v>360710</v>
    <v>EUR</v>
    <v>Kering</v>
    <v>Kering</v>
    <v>13.0502</v>
    <v>220.55</v>
    <v>223.5</v>
    <v>40 Rue de Sevres, Paris 7, PARIS, ILE-DE-FRANCE, 75007 FR</v>
    <v>Specialty Retailers</v>
    <v>KER</v>
    <v>Ações</v>
    <v>Kering (XPAR:KER)</v>
    <v>2.35</v>
    <v>1.0626E-2</v>
    <v>59056</v>
  </rv>
  <rv s="2">
    <v>16</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CanonicalPropertyNames" t="spb"/>
    <k n="_Display" t="spb"/>
    <k n="_DisplayString" t="s"/>
    <k n="_Flags" t="spb"/>
    <k n="_Format" t="spb"/>
    <k n="_Icon" t="s"/>
    <k n="_SubLabel" t="spb"/>
    <k n="Abreviatura do câmbio" t="s"/>
    <k n="Ações em circulação"/>
    <k n="Alt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Sede" t="s"/>
    <k n="Setor" t="s"/>
    <k n="Símbolo do ticker" t="s"/>
    <k n="Tipo de instrumento" t="s"/>
    <k n="UniqueName" t="s"/>
    <k n="Variação"/>
    <k n="Variação (%)"/>
    <k n="Volume"/>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breviatura do câmbio" t="s"/>
    <k n="Ações em circulaçã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Sede" t="s"/>
    <k n="Setor" t="s"/>
    <k n="Símbolo do ticker" t="s"/>
    <k n="Tipo de instrumento" t="s"/>
    <k n="UniqueName" t="s"/>
    <k n="Variação"/>
    <k n="Variação (%)"/>
    <k n="Volume"/>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breviatura do câmbio" t="s"/>
    <k n="Ações em circulação"/>
    <k n="Alteração % (Horário prolongado)"/>
    <k n="Alteração (Horário prolongado)"/>
    <k n="Alto"/>
    <k n="Ano de incorporação"/>
    <k n="Baixo"/>
    <k n="Beta"/>
    <k n="Bolsa" t="s"/>
    <k n="Capitalização de mercado"/>
    <k n="Descrição" t="s"/>
    <k n="ExchangeID" t="s"/>
    <k n="Fechamento anterior"/>
    <k n="Funcionários"/>
    <k n="Hora da última transação"/>
    <k n="LearnMoreOnLink" t="r"/>
    <k n="Média de volume"/>
    <k n="Moeda" t="s"/>
    <k n="Nome" t="s"/>
    <k n="Nome oficial" t="s"/>
    <k n="P/E"/>
    <k n="Pendência"/>
    <k n="Preço"/>
    <k n="Preço (Horário prolongado)"/>
    <k n="Sede" t="s"/>
    <k n="Setor" t="s"/>
    <k n="Símbolo do ticker" t="s"/>
    <k n="Tipo de instrumento" t="s"/>
    <k n="UniqueName" t="s"/>
    <k n="Variação"/>
    <k n="Variação (%)"/>
    <k n="Volume"/>
  </s>
</rvStructures>
</file>

<file path=xl/richData/rdsupportingpropertybag.xml><?xml version="1.0" encoding="utf-8"?>
<supportingPropertyBags xmlns="http://schemas.microsoft.com/office/spreadsheetml/2017/richdata2">
  <spbArrays count="4">
    <a count="43">
      <v t="s">%EntityServiceId</v>
      <v t="s">_Format</v>
      <v t="s">%IsRefreshable</v>
      <v t="s">_CanonicalPropertyNames</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_CanonicalPropertyNames</v>
      <v t="s">%EntityCulture</v>
      <v t="s">%EntityId</v>
      <v t="s">_Icon</v>
      <v t="s">_Display</v>
      <v t="s">Nome</v>
      <v t="s">_SubLabel</v>
      <v t="s">Preço</v>
      <v t="s">Bolsa</v>
      <v t="s">Nome oficial</v>
      <v t="s">Hora da última transação</v>
      <v t="s">Símbolo do ticker</v>
      <v t="s">Abreviatura do câmbio</v>
      <v t="s">Variação</v>
      <v t="s">Variação (%)</v>
      <v t="s">Moeda</v>
      <v t="s">Fechamento anterior</v>
      <v t="s">Pendência</v>
      <v t="s">Alto</v>
      <v t="s">Baixo</v>
      <v t="s">Volume</v>
      <v t="s">Média de volume</v>
      <v t="s">Capitalização de mercado</v>
      <v t="s">Beta</v>
      <v t="s">P/E</v>
      <v t="s">Ações em circulação</v>
      <v t="s">Descrição</v>
      <v t="s">Funcionários</v>
      <v t="s">Sede</v>
      <v t="s">Setor</v>
      <v t="s">Tipo de instrumento</v>
      <v t="s">_Flags</v>
      <v t="s">UniqueName</v>
      <v t="s">_DisplayString</v>
      <v t="s">LearnMoreOnLink</v>
      <v t="s">ExchangeID</v>
      <v t="s">%ProviderInfo</v>
    </a>
    <a count="43">
      <v t="s">%EntityServiceId</v>
      <v t="s">_Format</v>
      <v t="s">%IsRefreshable</v>
      <v t="s">_CanonicalPropertyNames</v>
      <v t="s">%EntityCulture</v>
      <v t="s">%EntityId</v>
      <v t="s">_Icon</v>
      <v t="s">_Display</v>
      <v t="s">Nome</v>
      <v t="s">_SubLabel</v>
      <v t="s">Preço</v>
      <v t="s">Bolsa</v>
      <v t="s">Nome oficial</v>
      <v t="s">Hora da última transação</v>
      <v t="s">Símbolo do ticker</v>
      <v t="s">Abreviatura do câmbio</v>
      <v t="s">Variação</v>
      <v t="s">Variação (%)</v>
      <v t="s">Moeda</v>
      <v t="s">Fechamento anterior</v>
      <v t="s">Pendência</v>
      <v t="s">Alto</v>
      <v t="s">Baixo</v>
      <v t="s">52 semanas de alta</v>
      <v t="s">52 semanas de baixa</v>
      <v t="s">Volume</v>
      <v t="s">Média de volume</v>
      <v t="s">Capitalização de mercado</v>
      <v t="s">Beta</v>
      <v t="s">P/E</v>
      <v t="s">Ações em circulação</v>
      <v t="s">Descrição</v>
      <v t="s">Funcionários</v>
      <v t="s">Sede</v>
      <v t="s">Setor</v>
      <v t="s">Tipo de instrumento</v>
      <v t="s">Ano de incorporação</v>
      <v t="s">_Flags</v>
      <v t="s">UniqueName</v>
      <v t="s">_DisplayString</v>
      <v t="s">LearnMoreOnLink</v>
      <v t="s">ExchangeID</v>
      <v t="s">%ProviderInfo</v>
    </a>
    <a count="46">
      <v t="s">%EntityServiceId</v>
      <v t="s">_Format</v>
      <v t="s">%IsRefreshable</v>
      <v t="s">_CanonicalPropertyNames</v>
      <v t="s">%EntityCulture</v>
      <v t="s">%EntityId</v>
      <v t="s">_Icon</v>
      <v t="s">_Display</v>
      <v t="s">Nome</v>
      <v t="s">_SubLabel</v>
      <v t="s">Preço</v>
      <v t="s">Preço (Horário prolongado)</v>
      <v t="s">Bolsa</v>
      <v t="s">Nome oficial</v>
      <v t="s">Hora da última transação</v>
      <v t="s">Símbolo do ticker</v>
      <v t="s">Abreviatura do câmbio</v>
      <v t="s">Variação</v>
      <v t="s">Alteração (Horário prolongado)</v>
      <v t="s">Variação (%)</v>
      <v t="s">Alteração % (Horário prolongado)</v>
      <v t="s">Moeda</v>
      <v t="s">Fechamento anterior</v>
      <v t="s">Pendência</v>
      <v t="s">Alto</v>
      <v t="s">Baixo</v>
      <v t="s">52 semanas de alta</v>
      <v t="s">52 semanas de baixa</v>
      <v t="s">Volume</v>
      <v t="s">Média de volume</v>
      <v t="s">Capitalização de mercado</v>
      <v t="s">Beta</v>
      <v t="s">P/E</v>
      <v t="s">Ações em circulação</v>
      <v t="s">Descrição</v>
      <v t="s">Funcionários</v>
      <v t="s">Sede</v>
      <v t="s">Setor</v>
      <v t="s">Tipo de instrumento</v>
      <v t="s">Ano de incorporação</v>
      <v t="s">_Flags</v>
      <v t="s">UniqueName</v>
      <v t="s">_DisplayString</v>
      <v t="s">LearnMoreOnLink</v>
      <v t="s">ExchangeID</v>
      <v t="s">%ProviderInfo</v>
    </a>
  </spbArrays>
  <spbData count="19">
    <spb s="0">
      <v>Low</v>
      <v>P/E</v>
      <v>Beta</v>
      <v>High</v>
      <v>Name</v>
      <v>Open</v>
      <v>Price</v>
      <v>Change</v>
      <v>Volume</v>
      <v>Currency</v>
      <v>Exchange</v>
      <v>Industry</v>
      <v>Employees</v>
      <v>Change (%)</v>
      <v>ExchangeID</v>
      <v>Market cap</v>
      <v>UniqueName</v>
      <v>52 week low</v>
      <v>Description</v>
      <v>52 week high</v>
      <v>Headquarters</v>
      <v>%ProviderInfo</v>
      <v>Official name</v>
      <v>Ticker symbol</v>
      <v>Previous close</v>
      <v>Volume average</v>
      <v>Instrument type</v>
      <v>Last trade time</v>
      <v>LearnMoreOnLink</v>
      <v>Year incorporated</v>
      <v>Shares outstanding</v>
      <v>Exchange abbreviation</v>
    </spb>
    <spb s="1">
      <v>0</v>
      <v>Name</v>
      <v>LearnMoreOnLink</v>
    </spb>
    <spb s="2">
      <v>0</v>
      <v>0</v>
      <v>0</v>
    </spb>
    <spb s="3">
      <v>2</v>
      <v>2</v>
      <v>2</v>
      <v>2</v>
    </spb>
    <spb s="4">
      <v>1</v>
      <v>2</v>
      <v>2</v>
      <v>1</v>
      <v>3</v>
      <v>1</v>
      <v>1</v>
      <v>1</v>
      <v>4</v>
      <v>4</v>
      <v>5</v>
      <v>6</v>
      <v>1</v>
      <v>1</v>
      <v>1</v>
      <v>4</v>
      <v>7</v>
      <v>8</v>
      <v>9</v>
      <v>4</v>
    </spb>
    <spb s="5">
      <v>Delayed 15 minutes</v>
      <v>from previous close</v>
      <v>from previous close</v>
      <v>Borsa Italia</v>
      <v>GMT</v>
    </spb>
    <spb s="6">
      <v>P/E</v>
      <v>High</v>
      <v>Beta</v>
      <v>Name</v>
      <v>Headquarters</v>
      <v>Low</v>
      <v>Exchange</v>
      <v>Currency</v>
      <v>Price</v>
      <v>Industry</v>
      <v>Volume</v>
      <v>Change</v>
      <v>Description</v>
      <v>Open</v>
      <v>ExchangeID</v>
      <v>UniqueName</v>
      <v>Employees</v>
      <v>Official name</v>
      <v>Change (%)</v>
      <v>%ProviderInfo</v>
      <v>LearnMoreOnLink</v>
      <v>Volume average</v>
      <v>Ticker symbol</v>
      <v>Shares outstanding</v>
      <v>Previous close</v>
      <v>Instrument type</v>
      <v>Exchange abbreviation</v>
      <v>Market cap</v>
      <v>Last trade time</v>
    </spb>
    <spb s="1">
      <v>1</v>
      <v>Name</v>
      <v>LearnMoreOnLink</v>
    </spb>
    <spb s="7">
      <v>2</v>
      <v>1</v>
      <v>2</v>
      <v>3</v>
      <v>1</v>
      <v>1</v>
      <v>4</v>
      <v>1</v>
      <v>1</v>
      <v>4</v>
      <v>5</v>
      <v>4</v>
      <v>9</v>
      <v>4</v>
      <v>1</v>
      <v>10</v>
      <v>7</v>
    </spb>
    <spb s="8">
      <v>Atraso de 15 minutos</v>
      <v xml:space="preserve">do fechamento anterior </v>
      <v xml:space="preserve">do fechamento anterior </v>
      <v>GMT</v>
    </spb>
    <spb s="9">
      <v>P/E</v>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spb>
    <spb s="1">
      <v>2</v>
      <v>Name</v>
      <v>LearnMoreOnLink</v>
    </spb>
    <spb s="10">
      <v>2</v>
      <v>11</v>
      <v>2</v>
      <v>3</v>
      <v>11</v>
      <v>11</v>
      <v>4</v>
      <v>11</v>
      <v>11</v>
      <v>4</v>
      <v>5</v>
      <v>4</v>
      <v>9</v>
      <v>11</v>
      <v>11</v>
      <v>8</v>
      <v>4</v>
      <v>11</v>
      <v>12</v>
      <v>7</v>
    </spb>
    <spb s="11">
      <v>Atraso de 15 minutos</v>
      <v xml:space="preserve">do fechamento anterior </v>
      <v>LSE</v>
      <v xml:space="preserve">do fechamento anterior </v>
      <v>GMT</v>
    </spb>
    <spb s="10">
      <v>2</v>
      <v>1</v>
      <v>2</v>
      <v>3</v>
      <v>1</v>
      <v>1</v>
      <v>4</v>
      <v>1</v>
      <v>1</v>
      <v>4</v>
      <v>5</v>
      <v>4</v>
      <v>9</v>
      <v>1</v>
      <v>1</v>
      <v>8</v>
      <v>4</v>
      <v>1</v>
      <v>6</v>
      <v>7</v>
    </spb>
    <spb s="12">
      <v>P/E</v>
      <v>High</v>
      <v>Beta</v>
      <v>Name</v>
      <v>Headquarters</v>
      <v>Low</v>
      <v>Exchange</v>
      <v>Currency</v>
      <v>Price</v>
      <v>Industry</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v>Price (Extended hours)</v>
      <v>Change (Extended hours)</v>
      <v>Change % (Extended hours)</v>
    </spb>
    <spb s="1">
      <v>3</v>
      <v>Name</v>
      <v>LearnMoreOnLink</v>
    </spb>
    <spb s="13">
      <v>2</v>
      <v>13</v>
      <v>2</v>
      <v>3</v>
      <v>13</v>
      <v>13</v>
      <v>4</v>
      <v>13</v>
      <v>13</v>
      <v>4</v>
      <v>5</v>
      <v>4</v>
      <v>9</v>
      <v>13</v>
      <v>13</v>
      <v>8</v>
      <v>4</v>
      <v>13</v>
      <v>14</v>
      <v>7</v>
      <v>13</v>
      <v>13</v>
      <v>5</v>
    </spb>
    <spb s="14">
      <v xml:space="preserve">no fechamento </v>
      <v xml:space="preserve">do fechamento anterior </v>
      <v xml:space="preserve">do fechamento anterior </v>
      <v>GMT</v>
      <v>Atraso de 20 minutos</v>
      <v xml:space="preserve">do fechamento </v>
      <v xml:space="preserve">do fechamento </v>
    </spb>
  </spbData>
</supportingPropertyBags>
</file>

<file path=xl/richData/rdsupportingpropertybagstructure.xml><?xml version="1.0" encoding="utf-8"?>
<spbStructures xmlns="http://schemas.microsoft.com/office/spreadsheetml/2017/richdata2" count="15">
  <s>
    <k n="Low" t="s"/>
    <k n="P/E" t="s"/>
    <k n="Beta" t="s"/>
    <k n="High" t="s"/>
    <k n="Name" t="s"/>
    <k n="Open" t="s"/>
    <k n="Price" t="s"/>
    <k n="Change" t="s"/>
    <k n="Volume" t="s"/>
    <k n="Currency" t="s"/>
    <k n="Exchange" t="s"/>
    <k n="Industry" t="s"/>
    <k n="Employees" t="s"/>
    <k n="Change (%)" t="s"/>
    <k n="ExchangeID" t="s"/>
    <k n="Market cap" t="s"/>
    <k n="UniqueName" t="s"/>
    <k n="52 week low" t="s"/>
    <k n="Description" t="s"/>
    <k n="52 week high" t="s"/>
    <k n="Headquarters" t="s"/>
    <k n="%ProviderInfo" t="s"/>
    <k n="Official name" t="s"/>
    <k n="Ticker symbol" t="s"/>
    <k n="Previous close" t="s"/>
    <k n="Volume average" t="s"/>
    <k n="Instrument type" t="s"/>
    <k n="Last trade time" t="s"/>
    <k n="LearnMoreOnLink" t="s"/>
    <k n="Year incorporated" t="s"/>
    <k n="Shares outstanding" t="s"/>
    <k n="Exchange abbreviation" t="s"/>
  </s>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Ações em circulação" t="s"/>
    <k n="Fechamento anterior" t="s"/>
    <k n="Tipo de instrumento" t="s"/>
    <k n="Abreviatura do câmbio" t="s"/>
    <k n="Capitalização de mercado" t="s"/>
    <k n="Hora da última transação" t="s"/>
  </s>
  <s>
    <k n="P/E" t="i"/>
    <k n="Alto" t="i"/>
    <k n="Beta" t="i"/>
    <k n="Nome" t="i"/>
    <k n="Baixo" t="i"/>
    <k n="Preço" t="i"/>
    <k n="Volume" t="i"/>
    <k n="Variação" t="i"/>
    <k n="Pendência" t="i"/>
    <k n="Funcionários" t="i"/>
    <k n="Variação (%)" t="i"/>
    <k n="Média de volume" t="i"/>
    <k n="`%EntityServiceId" t="i"/>
    <k n="Ações em circulação" t="i"/>
    <k n="Fechamento anterior" t="i"/>
    <k n="Capitalização de mercado" t="i"/>
    <k n="Hora da última transação" t="i"/>
  </s>
  <s>
    <k n="Preço" t="s"/>
    <k n="Variação" t="s"/>
    <k n="Variação (%)" t="s"/>
    <k n="Hora da última transação" t="s"/>
  </s>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s>
  <s>
    <k n="P/E" t="i"/>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s>
  <s>
    <k n="Preço" t="s"/>
    <k n="Variação" t="s"/>
    <k n="ExchangeID" t="s"/>
    <k n="Variação (%)" t="s"/>
    <k n="Hora da última transação" t="s"/>
  </s>
  <s>
    <k n="P/E" t="s"/>
    <k n="Alto" t="s"/>
    <k n="Beta" t="s"/>
    <k n="Nome" t="s"/>
    <k n="Sede" t="s"/>
    <k n="Baixo" t="s"/>
    <k n="Bolsa" t="s"/>
    <k n="Moeda" t="s"/>
    <k n="Preço" t="s"/>
    <k n="Setor"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k n="Preço (Horário prolongado)" t="s"/>
    <k n="Alteração (Horário prolongado)" t="s"/>
    <k n="Alteração % (Horário prolongado)" t="s"/>
  </s>
  <s>
    <k n="P/E" t="i"/>
    <k n="Alto" t="i"/>
    <k n="Beta" t="i"/>
    <k n="Nome" t="i"/>
    <k n="Baixo" t="i"/>
    <k n="Preço"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k n="Preço (Horário prolongado)" t="i"/>
    <k n="Alteração (Horário prolongado)" t="i"/>
    <k n="Alteração % (Horário prolongado)" t="i"/>
  </s>
  <s>
    <k n="Preço" t="s"/>
    <k n="Variação" t="s"/>
    <k n="Variação (%)" t="s"/>
    <k n="Hora da última transação" t="s"/>
    <k n="Preço (Horário prolongado)" t="s"/>
    <k n="Alteração (Horário prolongado)" t="s"/>
    <k n="Alteração % (Horário prolongad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4" formatCode="#,##0.00"/>
    </x:dxf>
    <x:dxf>
      <x:numFmt numFmtId="3" formatCode="#,##0"/>
    </x:dxf>
    <x:dxf>
      <x:numFmt numFmtId="14" formatCode="0.00%"/>
    </x:dxf>
    <x:dxf>
      <x:numFmt numFmtId="2" formatCode="0.00"/>
    </x:dxf>
    <x:dxf>
      <x:numFmt numFmtId="1" formatCode="0"/>
    </x:dxf>
    <x:dxf>
      <x:numFmt numFmtId="27" formatCode="yyyy/m/d\ h:mm"/>
    </x:dxf>
    <x:dxf>
      <x:numFmt numFmtId="0" formatCode="General"/>
    </x:dxf>
    <x:dxf>
      <x:numFmt numFmtId="35" formatCode="_ * #,##0.00_ ;_ * \-#,##0.00_ ;_ * &quot;-&quot;??_ ;_ @_ "/>
    </x:dxf>
  </dxfs>
  <richProperties>
    <rPr n="NumberFormat" t="s"/>
    <rPr n="IsTitleField" t="b"/>
  </richProperties>
  <richStyles>
    <rSty dxfid="6">
      <rpv i="0">_([$€-x-euro2] * #,##0.00_);_([$€-x-euro2] * (#,##0.00);_([$€-x-euro2] * "-"??_);_(@_)</rpv>
    </rSty>
    <rSty dxfid="0">
      <rpv i="0">#,##0.00</rpv>
    </rSty>
    <rSty>
      <rpv i="1">1</rpv>
    </rSty>
    <rSty dxfid="1">
      <rpv i="0">#,##0</rpv>
    </rSty>
    <rSty dxfid="2"/>
    <rSty dxfid="6">
      <rpv i="0">_([$€-x-euro2] * #,##0_);_([$€-x-euro2] * (#,##0);_([$€-x-euro2] * "-"_);_(@_)</rpv>
    </rSty>
    <rSty dxfid="5"/>
    <rSty dxfid="4">
      <rpv i="0">0</rpv>
    </rSty>
    <rSty dxfid="3">
      <rpv i="0">0.00</rpv>
    </rSty>
    <rSty dxfid="6">
      <rpv i="0">_-[$$-en-HK]* #,##0_-;-[$$-en-HK]* #,##0_-;_-[$$-en-HK]* "-"_-;_-@_-</rpv>
    </rSty>
    <rSty dxfid="7">
      <rpv i="0">_(* #,##0.00_);_(* (#,##0.00);_(* "-"??_);_(@_)</rpv>
    </rSty>
    <rSty dxfid="6">
      <rpv i="0">_-[$£-en-GB]* #,##0_-;-[$£-en-GB]* #,##0_-;_-[$£-en-GB]* "-"_-;_-@_-</rpv>
    </rSty>
    <rSty dxfid="6">
      <rpv i="0">_-[$$-en-CA]* #,##0.00_-;-[$$-en-CA]* #,##0.00_-;_-[$$-en-CA]* "-"??_-;_-@_-</rpv>
    </rSty>
    <rSty dxfid="6">
      <rpv i="0">_-[$$-en-CA]* #,##0_-;-[$$-en-CA]* #,##0_-;_-[$$-en-CA]* "-"_-;_-@_-</rpv>
    </rSty>
  </richStyles>
</richStyleShee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4-04-17T15:52:11.70" personId="{B8ECA2EE-EA3E-46A3-B00B-F93DECA5FBAF}" id="{7EBE0EC2-CCBB-42E4-84C2-29AAA74983FF}">
    <text>MONCLER Brand:
EMEA reported revenues of EUR 910.5 million in 2023, growing +13.2% compared to 2022. This acceleration was driven by the DTC channel, with a positive contribution from both tourists and locals. Chinese, Korean and American customers remained the strongest contributors to tourist purchases in the region</text>
  </threadedComment>
  <threadedComment ref="D6" dT="2024-04-17T15:52:32.56" personId="{B8ECA2EE-EA3E-46A3-B00B-F93DECA5FBAF}" id="{076FB482-CCB2-4247-A427-BCFE75CBC6F4}">
    <text>MONCLER Brand:
Americas registered revenues of EUR 371.3 million in 2023, +0.9% compared to 2022, driven mainly by the DTC channel. The performance of the region in the two channels was influenced by the conversions of Nordstrom and part of Saks from a wholesale to a DTC business model.</text>
  </threadedComment>
  <threadedComment ref="D6" dT="2024-04-17T15:54:35.47" personId="{B8ECA2EE-EA3E-46A3-B00B-F93DECA5FBAF}" id="{3844EDAF-51C4-4FCF-8F35-3DF6B7AEAC0A}" parentId="{076FB482-CCB2-4247-A427-BCFE75CBC6F4}">
    <text>STONE ISLAND Brand
Americas registered revenues of EUR 34.1 million, with a decline of -19.3% as performance continued to be impacted by challenging trends mostly among department stores, as well as by the ongoing efforts in upgrading the quality of this channel.  </text>
  </threadedComment>
  <threadedComment ref="D7" dT="2024-04-17T15:52:53.07" personId="{B8ECA2EE-EA3E-46A3-B00B-F93DECA5FBAF}" id="{D2F56C7F-6783-4D10-9912-21434C2EC4E3}">
    <text>MONCLER Brand:
In 2023, revenues in Asia (which includes APAC, Japan and Korea) were equal to EUR 1,291.4 million registering a +25.5% growth compared to the 2022, thanks to a strong growth registered in the Chinese mainland. The performance in the APAC region in 2022 was penalized by the severe Covid restrictions in Mainland China occurred in the last months of the year. Japan, Korea and the rest of APAC continued to record a very solid performance.</text>
  </threadedComment>
  <threadedComment ref="D7" dT="2024-04-17T15:54:50.34" personId="{B8ECA2EE-EA3E-46A3-B00B-F93DECA5FBAF}" id="{D9C2A375-1CA8-43BE-8384-25047C308CF4}" parentId="{D2F56C7F-6783-4D10-9912-21434C2EC4E3}">
    <text>STONE ISLAND Brand:
Asia reached EUR 89.4 million revenues with the strong performance of Japan and the Chinese mainland fully compensating for a weaker performance of the Korean market</text>
  </threadedComment>
  <threadedComment ref="F7" dT="2024-04-19T16:42:39.80" personId="{B8ECA2EE-EA3E-46A3-B00B-F93DECA5FBAF}" id="{4316AA6E-8A0F-4E06-9489-2738E4E791D4}">
    <text>Values = Moncler Brand + Stone Island Brand</text>
  </threadedComment>
  <threadedComment ref="D18" dT="2024-04-19T16:42:09.28" personId="{B8ECA2EE-EA3E-46A3-B00B-F93DECA5FBAF}" id="{67640A9A-35F4-456B-9BD9-AD6196E60C80}">
    <text>Values = Moncler Brand + Stone Island Brand</text>
  </threadedComment>
  <threadedComment ref="C19" dT="2024-04-17T15:20:04.81" personId="{B8ECA2EE-EA3E-46A3-B00B-F93DECA5FBAF}" id="{9CC32F89-8D8A-49DF-816B-5028BD743007}">
    <text>Está de acordo com o anual report, em vez de estar retail como normal.
 DTC- direct to consumer- é um modelo de negócio vertical, onde o fabricante negoceia diretamente com o consumidor.</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finbox.com/BIT:MONC/explorer/total_rev_cagr_7y/" TargetMode="External"/><Relationship Id="rId7" Type="http://schemas.openxmlformats.org/officeDocument/2006/relationships/vmlDrawing" Target="../drawings/vmlDrawing2.vml"/><Relationship Id="rId2" Type="http://schemas.openxmlformats.org/officeDocument/2006/relationships/hyperlink" Target="https://www.monclergroup.com/en/investor-relations/company-profile/trends-market-context" TargetMode="External"/><Relationship Id="rId1" Type="http://schemas.openxmlformats.org/officeDocument/2006/relationships/hyperlink" Target="https://simplywall.st/stocks/it/consumer-durables/bit-monc/moncler-shares/future" TargetMode="Externa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hyperlink" Target="https://finbox.com/BIT:MONC/explorer/total_rev_cagr_3y/" TargetMode="External"/><Relationship Id="rId9"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17" Type="http://schemas.openxmlformats.org/officeDocument/2006/relationships/hyperlink" Target="http://meye.bo/" TargetMode="External"/><Relationship Id="rId299" Type="http://schemas.openxmlformats.org/officeDocument/2006/relationships/hyperlink" Target="http://yjgj.pk/" TargetMode="External"/><Relationship Id="rId21" Type="http://schemas.openxmlformats.org/officeDocument/2006/relationships/hyperlink" Target="http://crtl.pk/" TargetMode="External"/><Relationship Id="rId63" Type="http://schemas.openxmlformats.org/officeDocument/2006/relationships/hyperlink" Target="http://sfg1t.tl/" TargetMode="External"/><Relationship Id="rId159" Type="http://schemas.openxmlformats.org/officeDocument/2006/relationships/hyperlink" Target="http://002154.sz/" TargetMode="External"/><Relationship Id="rId324" Type="http://schemas.openxmlformats.org/officeDocument/2006/relationships/hyperlink" Target="http://ashd.bo/" TargetMode="External"/><Relationship Id="rId170" Type="http://schemas.openxmlformats.org/officeDocument/2006/relationships/hyperlink" Target="http://002269.sz/" TargetMode="External"/><Relationship Id="rId226" Type="http://schemas.openxmlformats.org/officeDocument/2006/relationships/hyperlink" Target="http://mitr.bo/" TargetMode="External"/><Relationship Id="rId268" Type="http://schemas.openxmlformats.org/officeDocument/2006/relationships/hyperlink" Target="http://4438.tw/" TargetMode="External"/><Relationship Id="rId32" Type="http://schemas.openxmlformats.org/officeDocument/2006/relationships/hyperlink" Target="http://elza.am/" TargetMode="External"/><Relationship Id="rId74" Type="http://schemas.openxmlformats.org/officeDocument/2006/relationships/hyperlink" Target="http://0986.hk/" TargetMode="External"/><Relationship Id="rId128" Type="http://schemas.openxmlformats.org/officeDocument/2006/relationships/hyperlink" Target="http://caq.ax/" TargetMode="External"/><Relationship Id="rId335" Type="http://schemas.openxmlformats.org/officeDocument/2006/relationships/hyperlink" Target="http://rojw.bo/" TargetMode="External"/><Relationship Id="rId5" Type="http://schemas.openxmlformats.org/officeDocument/2006/relationships/hyperlink" Target="http://0518.hk/" TargetMode="External"/><Relationship Id="rId181" Type="http://schemas.openxmlformats.org/officeDocument/2006/relationships/hyperlink" Target="http://jasn.bj/" TargetMode="External"/><Relationship Id="rId237" Type="http://schemas.openxmlformats.org/officeDocument/2006/relationships/hyperlink" Target="http://mdnl.pk/" TargetMode="External"/><Relationship Id="rId279" Type="http://schemas.openxmlformats.org/officeDocument/2006/relationships/hyperlink" Target="http://1982.hk/" TargetMode="External"/><Relationship Id="rId43" Type="http://schemas.openxmlformats.org/officeDocument/2006/relationships/hyperlink" Target="http://1417.tw/" TargetMode="External"/><Relationship Id="rId139" Type="http://schemas.openxmlformats.org/officeDocument/2006/relationships/hyperlink" Target="http://gle.ax/" TargetMode="External"/><Relationship Id="rId290" Type="http://schemas.openxmlformats.org/officeDocument/2006/relationships/hyperlink" Target="http://1749.hk/" TargetMode="External"/><Relationship Id="rId304" Type="http://schemas.openxmlformats.org/officeDocument/2006/relationships/hyperlink" Target="http://8107.hk/" TargetMode="External"/><Relationship Id="rId346" Type="http://schemas.openxmlformats.org/officeDocument/2006/relationships/hyperlink" Target="http://nanv.bo/" TargetMode="External"/><Relationship Id="rId85" Type="http://schemas.openxmlformats.org/officeDocument/2006/relationships/hyperlink" Target="http://viri.bo/" TargetMode="External"/><Relationship Id="rId150" Type="http://schemas.openxmlformats.org/officeDocument/2006/relationships/hyperlink" Target="http://002098.sz/" TargetMode="External"/><Relationship Id="rId192" Type="http://schemas.openxmlformats.org/officeDocument/2006/relationships/hyperlink" Target="http://300005.sz/" TargetMode="External"/><Relationship Id="rId206" Type="http://schemas.openxmlformats.org/officeDocument/2006/relationships/hyperlink" Target="http://drcr.pk/" TargetMode="External"/><Relationship Id="rId248" Type="http://schemas.openxmlformats.org/officeDocument/2006/relationships/hyperlink" Target="http://1400.hk/" TargetMode="External"/><Relationship Id="rId12" Type="http://schemas.openxmlformats.org/officeDocument/2006/relationships/hyperlink" Target="http://0213.hk/" TargetMode="External"/><Relationship Id="rId108" Type="http://schemas.openxmlformats.org/officeDocument/2006/relationships/hyperlink" Target="http://be0034169251.br/" TargetMode="External"/><Relationship Id="rId315" Type="http://schemas.openxmlformats.org/officeDocument/2006/relationships/hyperlink" Target="http://palj.bo/" TargetMode="External"/><Relationship Id="rId357" Type="http://schemas.openxmlformats.org/officeDocument/2006/relationships/hyperlink" Target="http://bizo.bo/" TargetMode="External"/><Relationship Id="rId54" Type="http://schemas.openxmlformats.org/officeDocument/2006/relationships/hyperlink" Target="http://600630.ss/" TargetMode="External"/><Relationship Id="rId96" Type="http://schemas.openxmlformats.org/officeDocument/2006/relationships/hyperlink" Target="http://gil.to/" TargetMode="External"/><Relationship Id="rId161" Type="http://schemas.openxmlformats.org/officeDocument/2006/relationships/hyperlink" Target="http://3818.hk/" TargetMode="External"/><Relationship Id="rId217" Type="http://schemas.openxmlformats.org/officeDocument/2006/relationships/hyperlink" Target="http://4011.se/" TargetMode="External"/><Relationship Id="rId259" Type="http://schemas.openxmlformats.org/officeDocument/2006/relationships/hyperlink" Target="http://603665.ss/" TargetMode="External"/><Relationship Id="rId23" Type="http://schemas.openxmlformats.org/officeDocument/2006/relationships/hyperlink" Target="http://0933.hk/" TargetMode="External"/><Relationship Id="rId119" Type="http://schemas.openxmlformats.org/officeDocument/2006/relationships/hyperlink" Target="http://002003.sz/" TargetMode="External"/><Relationship Id="rId270" Type="http://schemas.openxmlformats.org/officeDocument/2006/relationships/hyperlink" Target="http://2199.hk/" TargetMode="External"/><Relationship Id="rId326" Type="http://schemas.openxmlformats.org/officeDocument/2006/relationships/hyperlink" Target="http://1906.hk/" TargetMode="External"/><Relationship Id="rId65" Type="http://schemas.openxmlformats.org/officeDocument/2006/relationships/hyperlink" Target="http://edoardob.mx/" TargetMode="External"/><Relationship Id="rId130" Type="http://schemas.openxmlformats.org/officeDocument/2006/relationships/hyperlink" Target="http://scob.bo/" TargetMode="External"/><Relationship Id="rId172" Type="http://schemas.openxmlformats.org/officeDocument/2006/relationships/hyperlink" Target="http://gngr.pk/" TargetMode="External"/><Relationship Id="rId228" Type="http://schemas.openxmlformats.org/officeDocument/2006/relationships/hyperlink" Target="http://002687.sz/" TargetMode="External"/><Relationship Id="rId281" Type="http://schemas.openxmlformats.org/officeDocument/2006/relationships/hyperlink" Target="http://8442.tw/" TargetMode="External"/><Relationship Id="rId337" Type="http://schemas.openxmlformats.org/officeDocument/2006/relationships/hyperlink" Target="http://600916.ss/" TargetMode="External"/><Relationship Id="rId34" Type="http://schemas.openxmlformats.org/officeDocument/2006/relationships/hyperlink" Target="http://dior.pa/" TargetMode="External"/><Relationship Id="rId76" Type="http://schemas.openxmlformats.org/officeDocument/2006/relationships/hyperlink" Target="http://mdmd.bo/" TargetMode="External"/><Relationship Id="rId141" Type="http://schemas.openxmlformats.org/officeDocument/2006/relationships/hyperlink" Target="http://3398.hk/" TargetMode="External"/><Relationship Id="rId7" Type="http://schemas.openxmlformats.org/officeDocument/2006/relationships/hyperlink" Target="http://kabo.ca/" TargetMode="External"/><Relationship Id="rId183" Type="http://schemas.openxmlformats.org/officeDocument/2006/relationships/hyperlink" Target="http://kurj.bj/" TargetMode="External"/><Relationship Id="rId239" Type="http://schemas.openxmlformats.org/officeDocument/2006/relationships/hyperlink" Target="http://6116.hk/" TargetMode="External"/><Relationship Id="rId250" Type="http://schemas.openxmlformats.org/officeDocument/2006/relationships/hyperlink" Target="http://1856.hk/" TargetMode="External"/><Relationship Id="rId292" Type="http://schemas.openxmlformats.org/officeDocument/2006/relationships/hyperlink" Target="http://goos.to/" TargetMode="External"/><Relationship Id="rId306" Type="http://schemas.openxmlformats.org/officeDocument/2006/relationships/hyperlink" Target="http://8507.hk/" TargetMode="External"/><Relationship Id="rId45" Type="http://schemas.openxmlformats.org/officeDocument/2006/relationships/hyperlink" Target="http://adz.mc/" TargetMode="External"/><Relationship Id="rId87" Type="http://schemas.openxmlformats.org/officeDocument/2006/relationships/hyperlink" Target="http://elbr.at/" TargetMode="External"/><Relationship Id="rId110" Type="http://schemas.openxmlformats.org/officeDocument/2006/relationships/hyperlink" Target="http://0130.hk/" TargetMode="External"/><Relationship Id="rId348" Type="http://schemas.openxmlformats.org/officeDocument/2006/relationships/hyperlink" Target="http://hela.cm/" TargetMode="External"/><Relationship Id="rId152" Type="http://schemas.openxmlformats.org/officeDocument/2006/relationships/hyperlink" Target="http://cfgh.ca/" TargetMode="External"/><Relationship Id="rId194" Type="http://schemas.openxmlformats.org/officeDocument/2006/relationships/hyperlink" Target="http://tet.hn/" TargetMode="External"/><Relationship Id="rId208" Type="http://schemas.openxmlformats.org/officeDocument/2006/relationships/hyperlink" Target="http://002563.sz/" TargetMode="External"/><Relationship Id="rId261" Type="http://schemas.openxmlformats.org/officeDocument/2006/relationships/hyperlink" Target="http://1027.hk/" TargetMode="External"/><Relationship Id="rId14" Type="http://schemas.openxmlformats.org/officeDocument/2006/relationships/hyperlink" Target="http://0458.hk/" TargetMode="External"/><Relationship Id="rId56" Type="http://schemas.openxmlformats.org/officeDocument/2006/relationships/hyperlink" Target="http://avew.pk/" TargetMode="External"/><Relationship Id="rId317" Type="http://schemas.openxmlformats.org/officeDocument/2006/relationships/hyperlink" Target="http://1731.hk/" TargetMode="External"/><Relationship Id="rId359" Type="http://schemas.openxmlformats.org/officeDocument/2006/relationships/hyperlink" Target="http://khaz.bo/" TargetMode="External"/><Relationship Id="rId98" Type="http://schemas.openxmlformats.org/officeDocument/2006/relationships/hyperlink" Target="http://vakko.is/" TargetMode="External"/><Relationship Id="rId121" Type="http://schemas.openxmlformats.org/officeDocument/2006/relationships/hyperlink" Target="http://0311.hk/" TargetMode="External"/><Relationship Id="rId163" Type="http://schemas.openxmlformats.org/officeDocument/2006/relationships/hyperlink" Target="http://002193.sz/" TargetMode="External"/><Relationship Id="rId219" Type="http://schemas.openxmlformats.org/officeDocument/2006/relationships/hyperlink" Target="http://002612.sz/" TargetMode="External"/><Relationship Id="rId230" Type="http://schemas.openxmlformats.org/officeDocument/2006/relationships/hyperlink" Target="http://002721.sz/" TargetMode="External"/><Relationship Id="rId25" Type="http://schemas.openxmlformats.org/officeDocument/2006/relationships/hyperlink" Target="http://olym.bo/" TargetMode="External"/><Relationship Id="rId67" Type="http://schemas.openxmlformats.org/officeDocument/2006/relationships/hyperlink" Target="http://mrv.at/" TargetMode="External"/><Relationship Id="rId272" Type="http://schemas.openxmlformats.org/officeDocument/2006/relationships/hyperlink" Target="http://603196.ss/" TargetMode="External"/><Relationship Id="rId328" Type="http://schemas.openxmlformats.org/officeDocument/2006/relationships/hyperlink" Target="http://1957.hk/" TargetMode="External"/><Relationship Id="rId88" Type="http://schemas.openxmlformats.org/officeDocument/2006/relationships/hyperlink" Target="http://vart.za/" TargetMode="External"/><Relationship Id="rId111" Type="http://schemas.openxmlformats.org/officeDocument/2006/relationships/hyperlink" Target="http://miza.bb/" TargetMode="External"/><Relationship Id="rId132" Type="http://schemas.openxmlformats.org/officeDocument/2006/relationships/hyperlink" Target="http://neog.bo/" TargetMode="External"/><Relationship Id="rId153" Type="http://schemas.openxmlformats.org/officeDocument/2006/relationships/hyperlink" Target="http://1388.hk/" TargetMode="External"/><Relationship Id="rId174" Type="http://schemas.openxmlformats.org/officeDocument/2006/relationships/hyperlink" Target="http://omve.pk/" TargetMode="External"/><Relationship Id="rId195" Type="http://schemas.openxmlformats.org/officeDocument/2006/relationships/hyperlink" Target="http://002404.sz/" TargetMode="External"/><Relationship Id="rId209" Type="http://schemas.openxmlformats.org/officeDocument/2006/relationships/hyperlink" Target="http://002574.sz/" TargetMode="External"/><Relationship Id="rId360" Type="http://schemas.openxmlformats.org/officeDocument/2006/relationships/hyperlink" Target="http://vivt.bo/" TargetMode="External"/><Relationship Id="rId220" Type="http://schemas.openxmlformats.org/officeDocument/2006/relationships/hyperlink" Target="http://002634.sz/" TargetMode="External"/><Relationship Id="rId241" Type="http://schemas.openxmlformats.org/officeDocument/2006/relationships/hyperlink" Target="http://1520.hk/" TargetMode="External"/><Relationship Id="rId15" Type="http://schemas.openxmlformats.org/officeDocument/2006/relationships/hyperlink" Target="http://wino.bo/" TargetMode="External"/><Relationship Id="rId36" Type="http://schemas.openxmlformats.org/officeDocument/2006/relationships/hyperlink" Target="http://1473.tw/" TargetMode="External"/><Relationship Id="rId57" Type="http://schemas.openxmlformats.org/officeDocument/2006/relationships/hyperlink" Target="http://0907.hk/" TargetMode="External"/><Relationship Id="rId262" Type="http://schemas.openxmlformats.org/officeDocument/2006/relationships/hyperlink" Target="http://0442.hk/" TargetMode="External"/><Relationship Id="rId283" Type="http://schemas.openxmlformats.org/officeDocument/2006/relationships/hyperlink" Target="http://dbi.vi/" TargetMode="External"/><Relationship Id="rId318" Type="http://schemas.openxmlformats.org/officeDocument/2006/relationships/hyperlink" Target="http://tdt.hn/" TargetMode="External"/><Relationship Id="rId339" Type="http://schemas.openxmlformats.org/officeDocument/2006/relationships/hyperlink" Target="http://301177.sz/" TargetMode="External"/><Relationship Id="rId78" Type="http://schemas.openxmlformats.org/officeDocument/2006/relationships/hyperlink" Target="http://zodc.bo/" TargetMode="External"/><Relationship Id="rId99" Type="http://schemas.openxmlformats.org/officeDocument/2006/relationships/hyperlink" Target="http://aspa.si/" TargetMode="External"/><Relationship Id="rId101" Type="http://schemas.openxmlformats.org/officeDocument/2006/relationships/hyperlink" Target="http://1100.hk/" TargetMode="External"/><Relationship Id="rId122" Type="http://schemas.openxmlformats.org/officeDocument/2006/relationships/hyperlink" Target="http://002029.sz/" TargetMode="External"/><Relationship Id="rId143" Type="http://schemas.openxmlformats.org/officeDocument/2006/relationships/hyperlink" Target="http://suub.pk/" TargetMode="External"/><Relationship Id="rId164" Type="http://schemas.openxmlformats.org/officeDocument/2006/relationships/hyperlink" Target="http://tng.hn/" TargetMode="External"/><Relationship Id="rId185" Type="http://schemas.openxmlformats.org/officeDocument/2006/relationships/hyperlink" Target="http://novt.bj/" TargetMode="External"/><Relationship Id="rId350" Type="http://schemas.openxmlformats.org/officeDocument/2006/relationships/hyperlink" Target="http://eigh.bo/" TargetMode="External"/><Relationship Id="rId9" Type="http://schemas.openxmlformats.org/officeDocument/2006/relationships/hyperlink" Target="http://aldev.pa/" TargetMode="External"/><Relationship Id="rId210" Type="http://schemas.openxmlformats.org/officeDocument/2006/relationships/hyperlink" Target="http://ztto.pk/" TargetMode="External"/><Relationship Id="rId26" Type="http://schemas.openxmlformats.org/officeDocument/2006/relationships/hyperlink" Target="http://dkgr.pk/" TargetMode="External"/><Relationship Id="rId231" Type="http://schemas.openxmlformats.org/officeDocument/2006/relationships/hyperlink" Target="http://ifa.to/" TargetMode="External"/><Relationship Id="rId252" Type="http://schemas.openxmlformats.org/officeDocument/2006/relationships/hyperlink" Target="http://yaan.bo/" TargetMode="External"/><Relationship Id="rId273" Type="http://schemas.openxmlformats.org/officeDocument/2006/relationships/hyperlink" Target="http://603587.ss/" TargetMode="External"/><Relationship Id="rId294" Type="http://schemas.openxmlformats.org/officeDocument/2006/relationships/hyperlink" Target="http://8471.hk/" TargetMode="External"/><Relationship Id="rId308" Type="http://schemas.openxmlformats.org/officeDocument/2006/relationships/hyperlink" Target="http://gata.bo/" TargetMode="External"/><Relationship Id="rId329" Type="http://schemas.openxmlformats.org/officeDocument/2006/relationships/hyperlink" Target="http://300840.sz/" TargetMode="External"/><Relationship Id="rId47" Type="http://schemas.openxmlformats.org/officeDocument/2006/relationships/hyperlink" Target="http://0333.hk/" TargetMode="External"/><Relationship Id="rId68" Type="http://schemas.openxmlformats.org/officeDocument/2006/relationships/hyperlink" Target="http://blue.cm/" TargetMode="External"/><Relationship Id="rId89" Type="http://schemas.openxmlformats.org/officeDocument/2006/relationships/hyperlink" Target="http://taln.pk/" TargetMode="External"/><Relationship Id="rId112" Type="http://schemas.openxmlformats.org/officeDocument/2006/relationships/hyperlink" Target="http://rdsl.bb/" TargetMode="External"/><Relationship Id="rId133" Type="http://schemas.openxmlformats.org/officeDocument/2006/relationships/hyperlink" Target="http://ansh.bo/" TargetMode="External"/><Relationship Id="rId154" Type="http://schemas.openxmlformats.org/officeDocument/2006/relationships/hyperlink" Target="http://jada.pk/" TargetMode="External"/><Relationship Id="rId175" Type="http://schemas.openxmlformats.org/officeDocument/2006/relationships/hyperlink" Target="http://pnj.hm/" TargetMode="External"/><Relationship Id="rId340" Type="http://schemas.openxmlformats.org/officeDocument/2006/relationships/hyperlink" Target="http://301066.sz/" TargetMode="External"/><Relationship Id="rId361" Type="http://schemas.openxmlformats.org/officeDocument/2006/relationships/hyperlink" Target="http://medsr.at/" TargetMode="External"/><Relationship Id="rId196" Type="http://schemas.openxmlformats.org/officeDocument/2006/relationships/hyperlink" Target="http://skbl.bo/" TargetMode="External"/><Relationship Id="rId200" Type="http://schemas.openxmlformats.org/officeDocument/2006/relationships/hyperlink" Target="http://pndora.co/" TargetMode="External"/><Relationship Id="rId16" Type="http://schemas.openxmlformats.org/officeDocument/2006/relationships/hyperlink" Target="http://dgix.pk/" TargetMode="External"/><Relationship Id="rId221" Type="http://schemas.openxmlformats.org/officeDocument/2006/relationships/hyperlink" Target="http://vakn.bo/" TargetMode="External"/><Relationship Id="rId242" Type="http://schemas.openxmlformats.org/officeDocument/2006/relationships/hyperlink" Target="http://2929.tw/" TargetMode="External"/><Relationship Id="rId263" Type="http://schemas.openxmlformats.org/officeDocument/2006/relationships/hyperlink" Target="http://brko.pk/" TargetMode="External"/><Relationship Id="rId284" Type="http://schemas.openxmlformats.org/officeDocument/2006/relationships/hyperlink" Target="http://3860.hk/" TargetMode="External"/><Relationship Id="rId319" Type="http://schemas.openxmlformats.org/officeDocument/2006/relationships/hyperlink" Target="http://smgo.bo/" TargetMode="External"/><Relationship Id="rId37" Type="http://schemas.openxmlformats.org/officeDocument/2006/relationships/hyperlink" Target="http://0256.hk/" TargetMode="External"/><Relationship Id="rId58" Type="http://schemas.openxmlformats.org/officeDocument/2006/relationships/hyperlink" Target="http://1315.tw/" TargetMode="External"/><Relationship Id="rId79" Type="http://schemas.openxmlformats.org/officeDocument/2006/relationships/hyperlink" Target="http://ctmn.bo/" TargetMode="External"/><Relationship Id="rId102" Type="http://schemas.openxmlformats.org/officeDocument/2006/relationships/hyperlink" Target="http://8048.hk/" TargetMode="External"/><Relationship Id="rId123" Type="http://schemas.openxmlformats.org/officeDocument/2006/relationships/hyperlink" Target="http://zaag.pk/" TargetMode="External"/><Relationship Id="rId144" Type="http://schemas.openxmlformats.org/officeDocument/2006/relationships/hyperlink" Target="http://tcm.hm/" TargetMode="External"/><Relationship Id="rId330" Type="http://schemas.openxmlformats.org/officeDocument/2006/relationships/hyperlink" Target="http://300952.sz/" TargetMode="External"/><Relationship Id="rId90" Type="http://schemas.openxmlformats.org/officeDocument/2006/relationships/hyperlink" Target="http://600177.ss/" TargetMode="External"/><Relationship Id="rId165" Type="http://schemas.openxmlformats.org/officeDocument/2006/relationships/hyperlink" Target="http://jdtc.za/" TargetMode="External"/><Relationship Id="rId186" Type="http://schemas.openxmlformats.org/officeDocument/2006/relationships/hyperlink" Target="http://ribn.bj/" TargetMode="External"/><Relationship Id="rId351" Type="http://schemas.openxmlformats.org/officeDocument/2006/relationships/hyperlink" Target="http://ensri.is/" TargetMode="External"/><Relationship Id="rId211" Type="http://schemas.openxmlformats.org/officeDocument/2006/relationships/hyperlink" Target="http://601566.ss/" TargetMode="External"/><Relationship Id="rId232" Type="http://schemas.openxmlformats.org/officeDocument/2006/relationships/hyperlink" Target="http://disr.bo/" TargetMode="External"/><Relationship Id="rId253" Type="http://schemas.openxmlformats.org/officeDocument/2006/relationships/hyperlink" Target="http://003016.sz/" TargetMode="External"/><Relationship Id="rId274" Type="http://schemas.openxmlformats.org/officeDocument/2006/relationships/hyperlink" Target="http://darh.bo/" TargetMode="External"/><Relationship Id="rId295" Type="http://schemas.openxmlformats.org/officeDocument/2006/relationships/hyperlink" Target="http://stap.bo/" TargetMode="External"/><Relationship Id="rId309" Type="http://schemas.openxmlformats.org/officeDocument/2006/relationships/hyperlink" Target="http://kenv.bo/" TargetMode="External"/><Relationship Id="rId27" Type="http://schemas.openxmlformats.org/officeDocument/2006/relationships/hyperlink" Target="http://2911.tw/" TargetMode="External"/><Relationship Id="rId48" Type="http://schemas.openxmlformats.org/officeDocument/2006/relationships/hyperlink" Target="http://timx.bo/" TargetMode="External"/><Relationship Id="rId69" Type="http://schemas.openxmlformats.org/officeDocument/2006/relationships/hyperlink" Target="http://600278.ss/" TargetMode="External"/><Relationship Id="rId113" Type="http://schemas.openxmlformats.org/officeDocument/2006/relationships/hyperlink" Target="http://aldar.pa/" TargetMode="External"/><Relationship Id="rId134" Type="http://schemas.openxmlformats.org/officeDocument/2006/relationships/hyperlink" Target="http://sovn.bo/" TargetMode="External"/><Relationship Id="rId320" Type="http://schemas.openxmlformats.org/officeDocument/2006/relationships/hyperlink" Target="http://8537.hk/" TargetMode="External"/><Relationship Id="rId80" Type="http://schemas.openxmlformats.org/officeDocument/2006/relationships/hyperlink" Target="http://gdj.bo/" TargetMode="External"/><Relationship Id="rId155" Type="http://schemas.openxmlformats.org/officeDocument/2006/relationships/hyperlink" Target="http://atym.pk/" TargetMode="External"/><Relationship Id="rId176" Type="http://schemas.openxmlformats.org/officeDocument/2006/relationships/hyperlink" Target="http://glob.sj/" TargetMode="External"/><Relationship Id="rId197" Type="http://schemas.openxmlformats.org/officeDocument/2006/relationships/hyperlink" Target="http://4012.se/" TargetMode="External"/><Relationship Id="rId341" Type="http://schemas.openxmlformats.org/officeDocument/2006/relationships/hyperlink" Target="http://603511.ss/" TargetMode="External"/><Relationship Id="rId362" Type="http://schemas.openxmlformats.org/officeDocument/2006/relationships/hyperlink" Target="http://kour.bo/" TargetMode="External"/><Relationship Id="rId201" Type="http://schemas.openxmlformats.org/officeDocument/2006/relationships/hyperlink" Target="http://1682.hk/" TargetMode="External"/><Relationship Id="rId222" Type="http://schemas.openxmlformats.org/officeDocument/2006/relationships/hyperlink" Target="http://002656.sz/" TargetMode="External"/><Relationship Id="rId243" Type="http://schemas.openxmlformats.org/officeDocument/2006/relationships/hyperlink" Target="http://1247.hk/" TargetMode="External"/><Relationship Id="rId264" Type="http://schemas.openxmlformats.org/officeDocument/2006/relationships/hyperlink" Target="http://gara.bo/" TargetMode="External"/><Relationship Id="rId285" Type="http://schemas.openxmlformats.org/officeDocument/2006/relationships/hyperlink" Target="http://8297.hk/" TargetMode="External"/><Relationship Id="rId17" Type="http://schemas.openxmlformats.org/officeDocument/2006/relationships/hyperlink" Target="http://atp.ax/" TargetMode="External"/><Relationship Id="rId38" Type="http://schemas.openxmlformats.org/officeDocument/2006/relationships/hyperlink" Target="http://1467.tw/" TargetMode="External"/><Relationship Id="rId59" Type="http://schemas.openxmlformats.org/officeDocument/2006/relationships/hyperlink" Target="http://hrms.pa/" TargetMode="External"/><Relationship Id="rId103" Type="http://schemas.openxmlformats.org/officeDocument/2006/relationships/hyperlink" Target="http://1476.tw/" TargetMode="External"/><Relationship Id="rId124" Type="http://schemas.openxmlformats.org/officeDocument/2006/relationships/hyperlink" Target="http://appm.pk/" TargetMode="External"/><Relationship Id="rId310" Type="http://schemas.openxmlformats.org/officeDocument/2006/relationships/hyperlink" Target="http://acti.bo/" TargetMode="External"/><Relationship Id="rId70" Type="http://schemas.openxmlformats.org/officeDocument/2006/relationships/hyperlink" Target="http://000025.sz/" TargetMode="External"/><Relationship Id="rId91" Type="http://schemas.openxmlformats.org/officeDocument/2006/relationships/hyperlink" Target="http://newab.st/" TargetMode="External"/><Relationship Id="rId145" Type="http://schemas.openxmlformats.org/officeDocument/2006/relationships/hyperlink" Target="http://pngb.pk/" TargetMode="External"/><Relationship Id="rId166" Type="http://schemas.openxmlformats.org/officeDocument/2006/relationships/hyperlink" Target="http://edsff.pk/" TargetMode="External"/><Relationship Id="rId187" Type="http://schemas.openxmlformats.org/officeDocument/2006/relationships/hyperlink" Target="http://slin.bj/" TargetMode="External"/><Relationship Id="rId331" Type="http://schemas.openxmlformats.org/officeDocument/2006/relationships/hyperlink" Target="http://gobl.bo/" TargetMode="External"/><Relationship Id="rId352" Type="http://schemas.openxmlformats.org/officeDocument/2006/relationships/hyperlink" Target="http://suntk.is/" TargetMode="External"/><Relationship Id="rId1" Type="http://schemas.openxmlformats.org/officeDocument/2006/relationships/hyperlink" Target="http://bossn.de/" TargetMode="External"/><Relationship Id="rId212" Type="http://schemas.openxmlformats.org/officeDocument/2006/relationships/hyperlink" Target="http://1929.hk/" TargetMode="External"/><Relationship Id="rId233" Type="http://schemas.openxmlformats.org/officeDocument/2006/relationships/hyperlink" Target="http://york.bo/" TargetMode="External"/><Relationship Id="rId254" Type="http://schemas.openxmlformats.org/officeDocument/2006/relationships/hyperlink" Target="http://ssok.pk/" TargetMode="External"/><Relationship Id="rId28" Type="http://schemas.openxmlformats.org/officeDocument/2006/relationships/hyperlink" Target="http://samt.bo/" TargetMode="External"/><Relationship Id="rId49" Type="http://schemas.openxmlformats.org/officeDocument/2006/relationships/hyperlink" Target="http://0533.hk/" TargetMode="External"/><Relationship Id="rId114" Type="http://schemas.openxmlformats.org/officeDocument/2006/relationships/hyperlink" Target="http://1477.tw/" TargetMode="External"/><Relationship Id="rId275" Type="http://schemas.openxmlformats.org/officeDocument/2006/relationships/hyperlink" Target="http://uday.bo/" TargetMode="External"/><Relationship Id="rId296" Type="http://schemas.openxmlformats.org/officeDocument/2006/relationships/hyperlink" Target="http://bhas.bo/" TargetMode="External"/><Relationship Id="rId300" Type="http://schemas.openxmlformats.org/officeDocument/2006/relationships/hyperlink" Target="http://2683.hk/" TargetMode="External"/><Relationship Id="rId60" Type="http://schemas.openxmlformats.org/officeDocument/2006/relationships/hyperlink" Target="http://000026.sz/" TargetMode="External"/><Relationship Id="rId81" Type="http://schemas.openxmlformats.org/officeDocument/2006/relationships/hyperlink" Target="http://rjni.bo/" TargetMode="External"/><Relationship Id="rId135" Type="http://schemas.openxmlformats.org/officeDocument/2006/relationships/hyperlink" Target="http://sjco.bo/" TargetMode="External"/><Relationship Id="rId156" Type="http://schemas.openxmlformats.org/officeDocument/2006/relationships/hyperlink" Target="http://tarl.bo/" TargetMode="External"/><Relationship Id="rId177" Type="http://schemas.openxmlformats.org/officeDocument/2006/relationships/hyperlink" Target="http://unev.sj/" TargetMode="External"/><Relationship Id="rId198" Type="http://schemas.openxmlformats.org/officeDocument/2006/relationships/hyperlink" Target="http://1913.hk/" TargetMode="External"/><Relationship Id="rId321" Type="http://schemas.openxmlformats.org/officeDocument/2006/relationships/hyperlink" Target="http://1025.hk/" TargetMode="External"/><Relationship Id="rId342" Type="http://schemas.openxmlformats.org/officeDocument/2006/relationships/hyperlink" Target="http://605138.ss/" TargetMode="External"/><Relationship Id="rId363" Type="http://schemas.openxmlformats.org/officeDocument/2006/relationships/hyperlink" Target="http://misd.bo/" TargetMode="External"/><Relationship Id="rId202" Type="http://schemas.openxmlformats.org/officeDocument/2006/relationships/hyperlink" Target="http://002569.sz/" TargetMode="External"/><Relationship Id="rId223" Type="http://schemas.openxmlformats.org/officeDocument/2006/relationships/hyperlink" Target="http://0844.hk/" TargetMode="External"/><Relationship Id="rId244" Type="http://schemas.openxmlformats.org/officeDocument/2006/relationships/hyperlink" Target="http://002763.sz/" TargetMode="External"/><Relationship Id="rId18" Type="http://schemas.openxmlformats.org/officeDocument/2006/relationships/hyperlink" Target="http://trua.pk/" TargetMode="External"/><Relationship Id="rId39" Type="http://schemas.openxmlformats.org/officeDocument/2006/relationships/hyperlink" Target="http://0918.hk/" TargetMode="External"/><Relationship Id="rId265" Type="http://schemas.openxmlformats.org/officeDocument/2006/relationships/hyperlink" Target="http://300577.sz/" TargetMode="External"/><Relationship Id="rId286" Type="http://schemas.openxmlformats.org/officeDocument/2006/relationships/hyperlink" Target="http://1657.hk/" TargetMode="External"/><Relationship Id="rId50" Type="http://schemas.openxmlformats.org/officeDocument/2006/relationships/hyperlink" Target="http://0608.hk/" TargetMode="External"/><Relationship Id="rId104" Type="http://schemas.openxmlformats.org/officeDocument/2006/relationships/hyperlink" Target="http://ktmg.si/" TargetMode="External"/><Relationship Id="rId125" Type="http://schemas.openxmlformats.org/officeDocument/2006/relationships/hyperlink" Target="http://borg.st/" TargetMode="External"/><Relationship Id="rId146" Type="http://schemas.openxmlformats.org/officeDocument/2006/relationships/hyperlink" Target="http://3322.hk/" TargetMode="External"/><Relationship Id="rId167" Type="http://schemas.openxmlformats.org/officeDocument/2006/relationships/hyperlink" Target="http://x20.hn/" TargetMode="External"/><Relationship Id="rId188" Type="http://schemas.openxmlformats.org/officeDocument/2006/relationships/hyperlink" Target="http://lkms.bj/" TargetMode="External"/><Relationship Id="rId311" Type="http://schemas.openxmlformats.org/officeDocument/2006/relationships/hyperlink" Target="http://char.bo/" TargetMode="External"/><Relationship Id="rId332" Type="http://schemas.openxmlformats.org/officeDocument/2006/relationships/hyperlink" Target="http://alper.pa/" TargetMode="External"/><Relationship Id="rId353" Type="http://schemas.openxmlformats.org/officeDocument/2006/relationships/hyperlink" Target="http://001222.sz/" TargetMode="External"/><Relationship Id="rId71" Type="http://schemas.openxmlformats.org/officeDocument/2006/relationships/hyperlink" Target="http://bani.pk/" TargetMode="External"/><Relationship Id="rId92" Type="http://schemas.openxmlformats.org/officeDocument/2006/relationships/hyperlink" Target="http://bbui.pa/" TargetMode="External"/><Relationship Id="rId213" Type="http://schemas.openxmlformats.org/officeDocument/2006/relationships/hyperlink" Target="http://iwal.pk/" TargetMode="External"/><Relationship Id="rId234" Type="http://schemas.openxmlformats.org/officeDocument/2006/relationships/hyperlink" Target="http://psdtc.is/" TargetMode="External"/><Relationship Id="rId2" Type="http://schemas.openxmlformats.org/officeDocument/2006/relationships/hyperlink" Target="http://0116.hk/" TargetMode="External"/><Relationship Id="rId29" Type="http://schemas.openxmlformats.org/officeDocument/2006/relationships/hyperlink" Target="http://addi.bo/" TargetMode="External"/><Relationship Id="rId255" Type="http://schemas.openxmlformats.org/officeDocument/2006/relationships/hyperlink" Target="http://1466.hk/" TargetMode="External"/><Relationship Id="rId276" Type="http://schemas.openxmlformats.org/officeDocument/2006/relationships/hyperlink" Target="http://3326.hk/" TargetMode="External"/><Relationship Id="rId297" Type="http://schemas.openxmlformats.org/officeDocument/2006/relationships/hyperlink" Target="http://pare.bo/" TargetMode="External"/><Relationship Id="rId40" Type="http://schemas.openxmlformats.org/officeDocument/2006/relationships/hyperlink" Target="http://asan.bo/" TargetMode="External"/><Relationship Id="rId115" Type="http://schemas.openxmlformats.org/officeDocument/2006/relationships/hyperlink" Target="http://2368.hk/" TargetMode="External"/><Relationship Id="rId136" Type="http://schemas.openxmlformats.org/officeDocument/2006/relationships/hyperlink" Target="http://minl.bo/" TargetMode="External"/><Relationship Id="rId157" Type="http://schemas.openxmlformats.org/officeDocument/2006/relationships/hyperlink" Target="http://deim.bo/" TargetMode="External"/><Relationship Id="rId178" Type="http://schemas.openxmlformats.org/officeDocument/2006/relationships/hyperlink" Target="http://agny.pk/" TargetMode="External"/><Relationship Id="rId301" Type="http://schemas.openxmlformats.org/officeDocument/2006/relationships/hyperlink" Target="http://8285.hk/" TargetMode="External"/><Relationship Id="rId322" Type="http://schemas.openxmlformats.org/officeDocument/2006/relationships/hyperlink" Target="http://1425.hk/" TargetMode="External"/><Relationship Id="rId343" Type="http://schemas.openxmlformats.org/officeDocument/2006/relationships/hyperlink" Target="http://001209.sz/" TargetMode="External"/><Relationship Id="rId61" Type="http://schemas.openxmlformats.org/officeDocument/2006/relationships/hyperlink" Target="http://aldlt.pa/" TargetMode="External"/><Relationship Id="rId82" Type="http://schemas.openxmlformats.org/officeDocument/2006/relationships/hyperlink" Target="http://shuk.bo/" TargetMode="External"/><Relationship Id="rId199" Type="http://schemas.openxmlformats.org/officeDocument/2006/relationships/hyperlink" Target="http://8404.tw/" TargetMode="External"/><Relationship Id="rId203" Type="http://schemas.openxmlformats.org/officeDocument/2006/relationships/hyperlink" Target="http://8269.hk/" TargetMode="External"/><Relationship Id="rId19" Type="http://schemas.openxmlformats.org/officeDocument/2006/relationships/hyperlink" Target="http://ctsa3.sa/" TargetMode="External"/><Relationship Id="rId224" Type="http://schemas.openxmlformats.org/officeDocument/2006/relationships/hyperlink" Target="http://1023.hk/" TargetMode="External"/><Relationship Id="rId245" Type="http://schemas.openxmlformats.org/officeDocument/2006/relationships/hyperlink" Target="http://603558.ss/" TargetMode="External"/><Relationship Id="rId266" Type="http://schemas.openxmlformats.org/officeDocument/2006/relationships/hyperlink" Target="http://pnth.bo/" TargetMode="External"/><Relationship Id="rId287" Type="http://schemas.openxmlformats.org/officeDocument/2006/relationships/hyperlink" Target="http://supn.bo/" TargetMode="External"/><Relationship Id="rId30" Type="http://schemas.openxmlformats.org/officeDocument/2006/relationships/hyperlink" Target="http://spia.bo/" TargetMode="External"/><Relationship Id="rId105" Type="http://schemas.openxmlformats.org/officeDocument/2006/relationships/hyperlink" Target="http://600287.ss/" TargetMode="External"/><Relationship Id="rId126" Type="http://schemas.openxmlformats.org/officeDocument/2006/relationships/hyperlink" Target="http://suff.pk/" TargetMode="External"/><Relationship Id="rId147" Type="http://schemas.openxmlformats.org/officeDocument/2006/relationships/hyperlink" Target="http://esyl.pk/" TargetMode="External"/><Relationship Id="rId168" Type="http://schemas.openxmlformats.org/officeDocument/2006/relationships/hyperlink" Target="http://dscw.ca/" TargetMode="External"/><Relationship Id="rId312" Type="http://schemas.openxmlformats.org/officeDocument/2006/relationships/hyperlink" Target="http://uhza.bo/" TargetMode="External"/><Relationship Id="rId333" Type="http://schemas.openxmlformats.org/officeDocument/2006/relationships/hyperlink" Target="http://viva3.sa/" TargetMode="External"/><Relationship Id="rId354" Type="http://schemas.openxmlformats.org/officeDocument/2006/relationships/hyperlink" Target="http://301276.sz/" TargetMode="External"/><Relationship Id="rId51" Type="http://schemas.openxmlformats.org/officeDocument/2006/relationships/hyperlink" Target="http://1451.tw/" TargetMode="External"/><Relationship Id="rId72" Type="http://schemas.openxmlformats.org/officeDocument/2006/relationships/hyperlink" Target="http://lanr.at/" TargetMode="External"/><Relationship Id="rId93" Type="http://schemas.openxmlformats.org/officeDocument/2006/relationships/hyperlink" Target="http://sstu.pk/" TargetMode="External"/><Relationship Id="rId189" Type="http://schemas.openxmlformats.org/officeDocument/2006/relationships/hyperlink" Target="http://snel.bj/" TargetMode="External"/><Relationship Id="rId3" Type="http://schemas.openxmlformats.org/officeDocument/2006/relationships/hyperlink" Target="http://0513.hk/" TargetMode="External"/><Relationship Id="rId214" Type="http://schemas.openxmlformats.org/officeDocument/2006/relationships/hyperlink" Target="http://1146.hk/" TargetMode="External"/><Relationship Id="rId235" Type="http://schemas.openxmlformats.org/officeDocument/2006/relationships/hyperlink" Target="http://2033.hk/" TargetMode="External"/><Relationship Id="rId256" Type="http://schemas.openxmlformats.org/officeDocument/2006/relationships/hyperlink" Target="http://002867.sz/" TargetMode="External"/><Relationship Id="rId277" Type="http://schemas.openxmlformats.org/officeDocument/2006/relationships/hyperlink" Target="http://deed.bo/" TargetMode="External"/><Relationship Id="rId298" Type="http://schemas.openxmlformats.org/officeDocument/2006/relationships/hyperlink" Target="http://htg.hm/" TargetMode="External"/><Relationship Id="rId116" Type="http://schemas.openxmlformats.org/officeDocument/2006/relationships/hyperlink" Target="http://blhi.pk/" TargetMode="External"/><Relationship Id="rId137" Type="http://schemas.openxmlformats.org/officeDocument/2006/relationships/hyperlink" Target="http://3389.hk/" TargetMode="External"/><Relationship Id="rId158" Type="http://schemas.openxmlformats.org/officeDocument/2006/relationships/hyperlink" Target="http://2020.hk/" TargetMode="External"/><Relationship Id="rId302" Type="http://schemas.openxmlformats.org/officeDocument/2006/relationships/hyperlink" Target="http://8456.hk/" TargetMode="External"/><Relationship Id="rId323" Type="http://schemas.openxmlformats.org/officeDocument/2006/relationships/hyperlink" Target="http://skin.bo/" TargetMode="External"/><Relationship Id="rId344" Type="http://schemas.openxmlformats.org/officeDocument/2006/relationships/hyperlink" Target="http://skfg.pk/" TargetMode="External"/><Relationship Id="rId20" Type="http://schemas.openxmlformats.org/officeDocument/2006/relationships/hyperlink" Target="http://hari.bo/" TargetMode="External"/><Relationship Id="rId41" Type="http://schemas.openxmlformats.org/officeDocument/2006/relationships/hyperlink" Target="http://600400.ss/" TargetMode="External"/><Relationship Id="rId62" Type="http://schemas.openxmlformats.org/officeDocument/2006/relationships/hyperlink" Target="http://8026.hk/" TargetMode="External"/><Relationship Id="rId83" Type="http://schemas.openxmlformats.org/officeDocument/2006/relationships/hyperlink" Target="http://spil.bo/" TargetMode="External"/><Relationship Id="rId179" Type="http://schemas.openxmlformats.org/officeDocument/2006/relationships/hyperlink" Target="http://decb.bj/" TargetMode="External"/><Relationship Id="rId190" Type="http://schemas.openxmlformats.org/officeDocument/2006/relationships/hyperlink" Target="http://tena.bj/" TargetMode="External"/><Relationship Id="rId204" Type="http://schemas.openxmlformats.org/officeDocument/2006/relationships/hyperlink" Target="http://002494.sz/" TargetMode="External"/><Relationship Id="rId225" Type="http://schemas.openxmlformats.org/officeDocument/2006/relationships/hyperlink" Target="http://atlj.bo/" TargetMode="External"/><Relationship Id="rId246" Type="http://schemas.openxmlformats.org/officeDocument/2006/relationships/hyperlink" Target="http://002832.sz/" TargetMode="External"/><Relationship Id="rId267" Type="http://schemas.openxmlformats.org/officeDocument/2006/relationships/hyperlink" Target="http://elbg.de/" TargetMode="External"/><Relationship Id="rId288" Type="http://schemas.openxmlformats.org/officeDocument/2006/relationships/hyperlink" Target="http://4807.tw/" TargetMode="External"/><Relationship Id="rId106" Type="http://schemas.openxmlformats.org/officeDocument/2006/relationships/hyperlink" Target="http://600398.ss/" TargetMode="External"/><Relationship Id="rId127" Type="http://schemas.openxmlformats.org/officeDocument/2006/relationships/hyperlink" Target="http://oros.bo/" TargetMode="External"/><Relationship Id="rId313" Type="http://schemas.openxmlformats.org/officeDocument/2006/relationships/hyperlink" Target="http://8219.hk/" TargetMode="External"/><Relationship Id="rId10" Type="http://schemas.openxmlformats.org/officeDocument/2006/relationships/hyperlink" Target="http://uni.to/" TargetMode="External"/><Relationship Id="rId31" Type="http://schemas.openxmlformats.org/officeDocument/2006/relationships/hyperlink" Target="http://sprt.bo/" TargetMode="External"/><Relationship Id="rId52" Type="http://schemas.openxmlformats.org/officeDocument/2006/relationships/hyperlink" Target="http://evkg.pk/" TargetMode="External"/><Relationship Id="rId73" Type="http://schemas.openxmlformats.org/officeDocument/2006/relationships/hyperlink" Target="http://rgem.cm/" TargetMode="External"/><Relationship Id="rId94" Type="http://schemas.openxmlformats.org/officeDocument/2006/relationships/hyperlink" Target="http://kgji.pk/" TargetMode="External"/><Relationship Id="rId148" Type="http://schemas.openxmlformats.org/officeDocument/2006/relationships/hyperlink" Target="http://ladi.bo/" TargetMode="External"/><Relationship Id="rId169" Type="http://schemas.openxmlformats.org/officeDocument/2006/relationships/hyperlink" Target="http://brgo.pk/" TargetMode="External"/><Relationship Id="rId334" Type="http://schemas.openxmlformats.org/officeDocument/2006/relationships/hyperlink" Target="http://4439.tw/" TargetMode="External"/><Relationship Id="rId355" Type="http://schemas.openxmlformats.org/officeDocument/2006/relationships/hyperlink" Target="http://kmfg.pk/" TargetMode="External"/><Relationship Id="rId4" Type="http://schemas.openxmlformats.org/officeDocument/2006/relationships/hyperlink" Target="http://0122.hk/" TargetMode="External"/><Relationship Id="rId180" Type="http://schemas.openxmlformats.org/officeDocument/2006/relationships/hyperlink" Target="http://inks.bj/" TargetMode="External"/><Relationship Id="rId215" Type="http://schemas.openxmlformats.org/officeDocument/2006/relationships/hyperlink" Target="http://dagi.is/" TargetMode="External"/><Relationship Id="rId236" Type="http://schemas.openxmlformats.org/officeDocument/2006/relationships/hyperlink" Target="http://0540.hk/" TargetMode="External"/><Relationship Id="rId257" Type="http://schemas.openxmlformats.org/officeDocument/2006/relationships/hyperlink" Target="http://603839.ss/" TargetMode="External"/><Relationship Id="rId278" Type="http://schemas.openxmlformats.org/officeDocument/2006/relationships/hyperlink" Target="http://acem.bo/" TargetMode="External"/><Relationship Id="rId303" Type="http://schemas.openxmlformats.org/officeDocument/2006/relationships/hyperlink" Target="http://1825.hk/" TargetMode="External"/><Relationship Id="rId42" Type="http://schemas.openxmlformats.org/officeDocument/2006/relationships/hyperlink" Target="http://600107.ss/" TargetMode="External"/><Relationship Id="rId84" Type="http://schemas.openxmlformats.org/officeDocument/2006/relationships/hyperlink" Target="http://narb.bo/" TargetMode="External"/><Relationship Id="rId138" Type="http://schemas.openxmlformats.org/officeDocument/2006/relationships/hyperlink" Target="http://0444.hk/" TargetMode="External"/><Relationship Id="rId345" Type="http://schemas.openxmlformats.org/officeDocument/2006/relationships/hyperlink" Target="http://aat.hm/" TargetMode="External"/><Relationship Id="rId191" Type="http://schemas.openxmlformats.org/officeDocument/2006/relationships/hyperlink" Target="http://1234.hk/" TargetMode="External"/><Relationship Id="rId205" Type="http://schemas.openxmlformats.org/officeDocument/2006/relationships/hyperlink" Target="http://5906.tw/" TargetMode="External"/><Relationship Id="rId247" Type="http://schemas.openxmlformats.org/officeDocument/2006/relationships/hyperlink" Target="http://002762.sz/" TargetMode="External"/><Relationship Id="rId107" Type="http://schemas.openxmlformats.org/officeDocument/2006/relationships/hyperlink" Target="http://glb.ax/" TargetMode="External"/><Relationship Id="rId289" Type="http://schemas.openxmlformats.org/officeDocument/2006/relationships/hyperlink" Target="http://fran.bo/" TargetMode="External"/><Relationship Id="rId11" Type="http://schemas.openxmlformats.org/officeDocument/2006/relationships/hyperlink" Target="http://nich.pk/" TargetMode="External"/><Relationship Id="rId53" Type="http://schemas.openxmlformats.org/officeDocument/2006/relationships/hyperlink" Target="http://600710.ss/" TargetMode="External"/><Relationship Id="rId149" Type="http://schemas.openxmlformats.org/officeDocument/2006/relationships/hyperlink" Target="http://eand.bo/" TargetMode="External"/><Relationship Id="rId314" Type="http://schemas.openxmlformats.org/officeDocument/2006/relationships/hyperlink" Target="http://1842.hk/" TargetMode="External"/><Relationship Id="rId356" Type="http://schemas.openxmlformats.org/officeDocument/2006/relationships/hyperlink" Target="http://devl.bo/" TargetMode="External"/><Relationship Id="rId95" Type="http://schemas.openxmlformats.org/officeDocument/2006/relationships/hyperlink" Target="http://veld.br/" TargetMode="External"/><Relationship Id="rId160" Type="http://schemas.openxmlformats.org/officeDocument/2006/relationships/hyperlink" Target="http://fxcg.si/" TargetMode="External"/><Relationship Id="rId216" Type="http://schemas.openxmlformats.org/officeDocument/2006/relationships/hyperlink" Target="http://1910.hk/" TargetMode="External"/><Relationship Id="rId258" Type="http://schemas.openxmlformats.org/officeDocument/2006/relationships/hyperlink" Target="http://symb.bo/" TargetMode="External"/><Relationship Id="rId22" Type="http://schemas.openxmlformats.org/officeDocument/2006/relationships/hyperlink" Target="http://ackt.bo/" TargetMode="External"/><Relationship Id="rId64" Type="http://schemas.openxmlformats.org/officeDocument/2006/relationships/hyperlink" Target="http://4414.tw/" TargetMode="External"/><Relationship Id="rId118" Type="http://schemas.openxmlformats.org/officeDocument/2006/relationships/hyperlink" Target="http://desa.is/" TargetMode="External"/><Relationship Id="rId325" Type="http://schemas.openxmlformats.org/officeDocument/2006/relationships/hyperlink" Target="http://1346.hk/" TargetMode="External"/><Relationship Id="rId171" Type="http://schemas.openxmlformats.org/officeDocument/2006/relationships/hyperlink" Target="http://hist.bo/" TargetMode="External"/><Relationship Id="rId227" Type="http://schemas.openxmlformats.org/officeDocument/2006/relationships/hyperlink" Target="http://002731.sz/" TargetMode="External"/><Relationship Id="rId269" Type="http://schemas.openxmlformats.org/officeDocument/2006/relationships/hyperlink" Target="http://pajl.bo/" TargetMode="External"/><Relationship Id="rId33" Type="http://schemas.openxmlformats.org/officeDocument/2006/relationships/hyperlink" Target="http://lvmh.pa/" TargetMode="External"/><Relationship Id="rId129" Type="http://schemas.openxmlformats.org/officeDocument/2006/relationships/hyperlink" Target="http://swam.bo/" TargetMode="External"/><Relationship Id="rId280" Type="http://schemas.openxmlformats.org/officeDocument/2006/relationships/hyperlink" Target="http://8187.hk/" TargetMode="External"/><Relationship Id="rId336" Type="http://schemas.openxmlformats.org/officeDocument/2006/relationships/hyperlink" Target="http://bilw.bo/" TargetMode="External"/><Relationship Id="rId75" Type="http://schemas.openxmlformats.org/officeDocument/2006/relationships/hyperlink" Target="http://0330.hk/" TargetMode="External"/><Relationship Id="rId140" Type="http://schemas.openxmlformats.org/officeDocument/2006/relationships/hyperlink" Target="http://2313.hk/" TargetMode="External"/><Relationship Id="rId182" Type="http://schemas.openxmlformats.org/officeDocument/2006/relationships/hyperlink" Target="http://kppr.bj/" TargetMode="External"/><Relationship Id="rId6" Type="http://schemas.openxmlformats.org/officeDocument/2006/relationships/hyperlink" Target="http://0294.hk/" TargetMode="External"/><Relationship Id="rId238" Type="http://schemas.openxmlformats.org/officeDocument/2006/relationships/hyperlink" Target="http://nbl.tn/" TargetMode="External"/><Relationship Id="rId291" Type="http://schemas.openxmlformats.org/officeDocument/2006/relationships/hyperlink" Target="http://newl.bo/" TargetMode="External"/><Relationship Id="rId305" Type="http://schemas.openxmlformats.org/officeDocument/2006/relationships/hyperlink" Target="http://sgar.bo/" TargetMode="External"/><Relationship Id="rId347" Type="http://schemas.openxmlformats.org/officeDocument/2006/relationships/hyperlink" Target="http://001234.sz/" TargetMode="External"/><Relationship Id="rId44" Type="http://schemas.openxmlformats.org/officeDocument/2006/relationships/hyperlink" Target="http://2906.tw/" TargetMode="External"/><Relationship Id="rId86" Type="http://schemas.openxmlformats.org/officeDocument/2006/relationships/hyperlink" Target="http://fbap.pa/" TargetMode="External"/><Relationship Id="rId151" Type="http://schemas.openxmlformats.org/officeDocument/2006/relationships/hyperlink" Target="http://gmc.hm/" TargetMode="External"/><Relationship Id="rId193" Type="http://schemas.openxmlformats.org/officeDocument/2006/relationships/hyperlink" Target="http://002345.sz/" TargetMode="External"/><Relationship Id="rId207" Type="http://schemas.openxmlformats.org/officeDocument/2006/relationships/hyperlink" Target="http://2011.hk/" TargetMode="External"/><Relationship Id="rId249" Type="http://schemas.openxmlformats.org/officeDocument/2006/relationships/hyperlink" Target="http://2298.hk/" TargetMode="External"/><Relationship Id="rId13" Type="http://schemas.openxmlformats.org/officeDocument/2006/relationships/hyperlink" Target="http://jlmcq.pk/" TargetMode="External"/><Relationship Id="rId109" Type="http://schemas.openxmlformats.org/officeDocument/2006/relationships/hyperlink" Target="http://gil.hm/" TargetMode="External"/><Relationship Id="rId260" Type="http://schemas.openxmlformats.org/officeDocument/2006/relationships/hyperlink" Target="http://1327.hk/" TargetMode="External"/><Relationship Id="rId316" Type="http://schemas.openxmlformats.org/officeDocument/2006/relationships/hyperlink" Target="http://299670.kn/" TargetMode="External"/><Relationship Id="rId55" Type="http://schemas.openxmlformats.org/officeDocument/2006/relationships/hyperlink" Target="http://600137.ss/" TargetMode="External"/><Relationship Id="rId97" Type="http://schemas.openxmlformats.org/officeDocument/2006/relationships/hyperlink" Target="http://jajp.pa/" TargetMode="External"/><Relationship Id="rId120" Type="http://schemas.openxmlformats.org/officeDocument/2006/relationships/hyperlink" Target="http://2331.hk/" TargetMode="External"/><Relationship Id="rId358" Type="http://schemas.openxmlformats.org/officeDocument/2006/relationships/hyperlink" Target="http://shoo.bo/" TargetMode="External"/><Relationship Id="rId162" Type="http://schemas.openxmlformats.org/officeDocument/2006/relationships/hyperlink" Target="http://3998.hk/" TargetMode="External"/><Relationship Id="rId218" Type="http://schemas.openxmlformats.org/officeDocument/2006/relationships/hyperlink" Target="http://603518.ss/" TargetMode="External"/><Relationship Id="rId271" Type="http://schemas.openxmlformats.org/officeDocument/2006/relationships/hyperlink" Target="http://1532.hk/" TargetMode="External"/><Relationship Id="rId24" Type="http://schemas.openxmlformats.org/officeDocument/2006/relationships/hyperlink" Target="http://ateks.is/" TargetMode="External"/><Relationship Id="rId66" Type="http://schemas.openxmlformats.org/officeDocument/2006/relationships/hyperlink" Target="http://000017.sz/" TargetMode="External"/><Relationship Id="rId131" Type="http://schemas.openxmlformats.org/officeDocument/2006/relationships/hyperlink" Target="http://roya.bo/" TargetMode="External"/><Relationship Id="rId327" Type="http://schemas.openxmlformats.org/officeDocument/2006/relationships/hyperlink" Target="http://pahv.bo/" TargetMode="External"/><Relationship Id="rId173" Type="http://schemas.openxmlformats.org/officeDocument/2006/relationships/hyperlink" Target="http://gemz.pk/" TargetMode="External"/><Relationship Id="rId229" Type="http://schemas.openxmlformats.org/officeDocument/2006/relationships/hyperlink" Target="http://suri.bo/" TargetMode="External"/><Relationship Id="rId240" Type="http://schemas.openxmlformats.org/officeDocument/2006/relationships/hyperlink" Target="http://2030.hk/" TargetMode="External"/><Relationship Id="rId35" Type="http://schemas.openxmlformats.org/officeDocument/2006/relationships/hyperlink" Target="http://600612.ss/" TargetMode="External"/><Relationship Id="rId77" Type="http://schemas.openxmlformats.org/officeDocument/2006/relationships/hyperlink" Target="http://0417.hk/" TargetMode="External"/><Relationship Id="rId100" Type="http://schemas.openxmlformats.org/officeDocument/2006/relationships/hyperlink" Target="http://0643.hk/" TargetMode="External"/><Relationship Id="rId282" Type="http://schemas.openxmlformats.org/officeDocument/2006/relationships/hyperlink" Target="http://3306.hk/" TargetMode="External"/><Relationship Id="rId338" Type="http://schemas.openxmlformats.org/officeDocument/2006/relationships/hyperlink" Target="http://605599.ss/" TargetMode="External"/><Relationship Id="rId8" Type="http://schemas.openxmlformats.org/officeDocument/2006/relationships/hyperlink" Target="http://finm.pa/" TargetMode="External"/><Relationship Id="rId142" Type="http://schemas.openxmlformats.org/officeDocument/2006/relationships/hyperlink" Target="http://fifa.bo/" TargetMode="External"/><Relationship Id="rId184" Type="http://schemas.openxmlformats.org/officeDocument/2006/relationships/hyperlink" Target="http://nsdm.bj/" TargetMode="External"/><Relationship Id="rId251" Type="http://schemas.openxmlformats.org/officeDocument/2006/relationships/hyperlink" Target="http://crml.bo/" TargetMode="External"/><Relationship Id="rId46" Type="http://schemas.openxmlformats.org/officeDocument/2006/relationships/hyperlink" Target="http://wlfd.vi/" TargetMode="External"/><Relationship Id="rId293" Type="http://schemas.openxmlformats.org/officeDocument/2006/relationships/hyperlink" Target="http://2232.hk/" TargetMode="External"/><Relationship Id="rId307" Type="http://schemas.openxmlformats.org/officeDocument/2006/relationships/hyperlink" Target="http://ench.bo/" TargetMode="External"/><Relationship Id="rId349" Type="http://schemas.openxmlformats.org/officeDocument/2006/relationships/hyperlink" Target="http://suwen.is/"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6"/>
  <sheetViews>
    <sheetView showGridLines="0" topLeftCell="C1" zoomScaleNormal="100" workbookViewId="0">
      <selection activeCell="C38" sqref="B38:G38"/>
    </sheetView>
  </sheetViews>
  <sheetFormatPr defaultColWidth="11.42578125" defaultRowHeight="12.75"/>
  <cols>
    <col min="1" max="1" width="11.42578125" customWidth="1"/>
    <col min="2" max="2" width="21.140625" bestFit="1" customWidth="1"/>
    <col min="3" max="3" width="20.7109375" customWidth="1"/>
    <col min="4" max="4" width="29.7109375" customWidth="1"/>
    <col min="5" max="7" width="20.7109375" customWidth="1"/>
    <col min="8" max="8" width="22.7109375" customWidth="1"/>
    <col min="9" max="9" width="18.7109375" customWidth="1"/>
    <col min="10" max="11" width="15.7109375" customWidth="1"/>
    <col min="12" max="12" width="23.5703125" customWidth="1"/>
    <col min="13" max="13" width="35.7109375" customWidth="1"/>
  </cols>
  <sheetData>
    <row r="1" spans="2:17" ht="3.75" customHeight="1" thickBot="1"/>
    <row r="2" spans="2:17" ht="22.5" customHeight="1">
      <c r="B2" s="326">
        <v>45039</v>
      </c>
      <c r="C2" s="253" t="s">
        <v>0</v>
      </c>
      <c r="D2" s="327"/>
      <c r="E2" s="1199" t="e" vm="1">
        <f>Inputs!H3</f>
        <v>#VALUE!</v>
      </c>
      <c r="F2" s="1200"/>
      <c r="G2" s="1200"/>
      <c r="H2" s="1200"/>
      <c r="I2" s="1200"/>
      <c r="J2" s="1200"/>
      <c r="K2" s="1201"/>
      <c r="L2" s="254" t="s">
        <v>1</v>
      </c>
      <c r="M2" s="394" t="s">
        <v>2</v>
      </c>
    </row>
    <row r="3" spans="2:17" ht="26.25" customHeight="1">
      <c r="B3" s="1113"/>
      <c r="C3" s="1114"/>
      <c r="D3" s="1211" t="s">
        <v>3</v>
      </c>
      <c r="E3" s="1211"/>
      <c r="F3" s="1211"/>
      <c r="G3" s="1211"/>
      <c r="H3" s="1211" t="s">
        <v>4</v>
      </c>
      <c r="I3" s="1211"/>
      <c r="J3" s="1211"/>
      <c r="K3" s="1211"/>
      <c r="L3" s="1211"/>
      <c r="M3" s="1212"/>
    </row>
    <row r="4" spans="2:17">
      <c r="B4" s="1115"/>
      <c r="C4" s="1116"/>
      <c r="D4" s="1210" t="str" cm="1">
        <f t="array" aca="1" ref="D4" ca="1">_FV(Inputs!H3,"Description")</f>
        <v>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v>
      </c>
      <c r="E4" s="1210"/>
      <c r="F4" s="1210"/>
      <c r="G4" s="1210"/>
      <c r="H4" s="109" t="s">
        <v>5</v>
      </c>
      <c r="I4" s="110" t="s">
        <v>6</v>
      </c>
      <c r="J4" s="110" t="s">
        <v>7</v>
      </c>
      <c r="K4" s="110" t="s">
        <v>8</v>
      </c>
      <c r="L4" s="110" t="s">
        <v>9</v>
      </c>
      <c r="M4" s="111" t="s">
        <v>10</v>
      </c>
    </row>
    <row r="5" spans="2:17" ht="35.25" customHeight="1">
      <c r="B5" s="1115"/>
      <c r="C5" s="1116"/>
      <c r="D5" s="1210"/>
      <c r="E5" s="1210"/>
      <c r="F5" s="1210"/>
      <c r="G5" s="1210"/>
      <c r="H5" s="112" t="s">
        <v>11</v>
      </c>
      <c r="I5" s="317" t="s">
        <v>12</v>
      </c>
      <c r="J5" s="317">
        <v>62</v>
      </c>
      <c r="K5" s="317">
        <v>21</v>
      </c>
      <c r="L5" s="317" t="s">
        <v>13</v>
      </c>
      <c r="M5" s="255" t="s">
        <v>14</v>
      </c>
    </row>
    <row r="6" spans="2:17" ht="39.75" customHeight="1">
      <c r="B6" s="1115"/>
      <c r="C6" s="1116"/>
      <c r="D6" s="1210"/>
      <c r="E6" s="1210"/>
      <c r="F6" s="1210"/>
      <c r="G6" s="1210"/>
      <c r="H6" s="112" t="s">
        <v>15</v>
      </c>
      <c r="I6" s="317" t="s">
        <v>16</v>
      </c>
      <c r="J6" s="317">
        <v>61</v>
      </c>
      <c r="K6" s="317" t="s">
        <v>17</v>
      </c>
      <c r="L6" s="317" t="s">
        <v>18</v>
      </c>
      <c r="M6" s="653" t="s">
        <v>19</v>
      </c>
    </row>
    <row r="7" spans="2:17" ht="35.25" customHeight="1">
      <c r="B7" s="1115"/>
      <c r="C7" s="1116"/>
      <c r="D7" s="1210"/>
      <c r="E7" s="1210"/>
      <c r="F7" s="1210"/>
      <c r="G7" s="1210"/>
      <c r="H7" s="112" t="s">
        <v>20</v>
      </c>
      <c r="I7" s="317" t="s">
        <v>16</v>
      </c>
      <c r="J7" s="317">
        <v>58</v>
      </c>
      <c r="K7" s="317">
        <v>9</v>
      </c>
      <c r="L7" s="317" t="s">
        <v>13</v>
      </c>
      <c r="M7" s="255" t="s">
        <v>21</v>
      </c>
    </row>
    <row r="8" spans="2:17" ht="35.25" customHeight="1">
      <c r="B8" s="1115"/>
      <c r="C8" s="1116"/>
      <c r="D8" s="1210"/>
      <c r="E8" s="1210"/>
      <c r="F8" s="1210"/>
      <c r="G8" s="1210"/>
      <c r="H8" s="112" t="s">
        <v>22</v>
      </c>
      <c r="I8" s="317" t="s">
        <v>23</v>
      </c>
      <c r="J8" s="317">
        <v>43</v>
      </c>
      <c r="K8" s="317" t="s">
        <v>17</v>
      </c>
      <c r="L8" s="317" t="s">
        <v>18</v>
      </c>
      <c r="M8" s="653" t="s">
        <v>24</v>
      </c>
    </row>
    <row r="9" spans="2:17" ht="39.75" customHeight="1">
      <c r="B9" s="1115"/>
      <c r="C9" s="1116"/>
      <c r="D9" s="1210"/>
      <c r="E9" s="1210"/>
      <c r="F9" s="1210"/>
      <c r="G9" s="1210"/>
      <c r="H9" s="112" t="s">
        <v>25</v>
      </c>
      <c r="I9" s="317" t="s">
        <v>16</v>
      </c>
      <c r="J9" s="317">
        <v>76</v>
      </c>
      <c r="K9" s="317">
        <v>13</v>
      </c>
      <c r="L9" s="317" t="s">
        <v>18</v>
      </c>
      <c r="M9" s="653" t="s">
        <v>26</v>
      </c>
    </row>
    <row r="10" spans="2:17" ht="39.75" customHeight="1">
      <c r="B10" s="1115"/>
      <c r="C10" s="1116"/>
      <c r="D10" s="1210"/>
      <c r="E10" s="1210"/>
      <c r="F10" s="1210"/>
      <c r="G10" s="1210"/>
      <c r="H10" s="112" t="s">
        <v>27</v>
      </c>
      <c r="I10" s="317" t="s">
        <v>23</v>
      </c>
      <c r="J10" s="317">
        <v>62</v>
      </c>
      <c r="K10" s="317" t="s">
        <v>17</v>
      </c>
      <c r="L10" s="317" t="s">
        <v>18</v>
      </c>
      <c r="M10" s="653" t="s">
        <v>28</v>
      </c>
    </row>
    <row r="11" spans="2:17" ht="35.25" customHeight="1">
      <c r="B11" s="1115"/>
      <c r="C11" s="1116"/>
      <c r="D11" s="1210"/>
      <c r="E11" s="1210"/>
      <c r="F11" s="1210"/>
      <c r="G11" s="1210"/>
      <c r="H11" s="112" t="s">
        <v>29</v>
      </c>
      <c r="I11" s="317" t="s">
        <v>23</v>
      </c>
      <c r="J11" s="317">
        <v>67</v>
      </c>
      <c r="K11" s="317">
        <v>2</v>
      </c>
      <c r="L11" s="317" t="s">
        <v>18</v>
      </c>
      <c r="M11" s="255" t="s">
        <v>30</v>
      </c>
    </row>
    <row r="12" spans="2:17" ht="39.75" customHeight="1">
      <c r="B12" s="1115"/>
      <c r="C12" s="1116"/>
      <c r="D12" s="1210"/>
      <c r="E12" s="1210"/>
      <c r="F12" s="1210"/>
      <c r="G12" s="1210"/>
      <c r="H12" s="112" t="s">
        <v>31</v>
      </c>
      <c r="I12" s="317" t="s">
        <v>23</v>
      </c>
      <c r="J12" s="317">
        <v>55</v>
      </c>
      <c r="K12" s="317">
        <v>9</v>
      </c>
      <c r="L12" s="317" t="s">
        <v>18</v>
      </c>
      <c r="M12" s="255" t="s">
        <v>32</v>
      </c>
      <c r="P12" s="328"/>
    </row>
    <row r="13" spans="2:17" ht="39.75" customHeight="1">
      <c r="B13" s="1115"/>
      <c r="C13" s="1116"/>
      <c r="D13" s="1210"/>
      <c r="E13" s="1210"/>
      <c r="F13" s="1210"/>
      <c r="G13" s="1210"/>
      <c r="H13" s="112" t="s">
        <v>33</v>
      </c>
      <c r="I13" s="317" t="s">
        <v>16</v>
      </c>
      <c r="J13" s="317">
        <v>71</v>
      </c>
      <c r="K13" s="317">
        <v>8</v>
      </c>
      <c r="L13" s="317" t="s">
        <v>18</v>
      </c>
      <c r="M13" s="653" t="s">
        <v>34</v>
      </c>
    </row>
    <row r="14" spans="2:17" ht="35.25" customHeight="1">
      <c r="B14" s="1115"/>
      <c r="C14" s="1116"/>
      <c r="D14" s="1210"/>
      <c r="E14" s="1210"/>
      <c r="F14" s="1210"/>
      <c r="G14" s="1210"/>
      <c r="H14" s="112" t="s">
        <v>35</v>
      </c>
      <c r="I14" s="317" t="s">
        <v>16</v>
      </c>
      <c r="J14" s="317">
        <v>67</v>
      </c>
      <c r="K14" s="317" t="s">
        <v>17</v>
      </c>
      <c r="L14" s="317" t="s">
        <v>18</v>
      </c>
      <c r="M14" s="255" t="s">
        <v>36</v>
      </c>
      <c r="Q14" s="256"/>
    </row>
    <row r="15" spans="2:17" ht="35.25" customHeight="1">
      <c r="B15" s="1117"/>
      <c r="C15" s="1118"/>
      <c r="D15" s="1210"/>
      <c r="E15" s="1210"/>
      <c r="F15" s="1210"/>
      <c r="G15" s="1210"/>
      <c r="H15" s="112" t="s">
        <v>37</v>
      </c>
      <c r="I15" s="317" t="s">
        <v>16</v>
      </c>
      <c r="J15" s="317">
        <v>67</v>
      </c>
      <c r="K15" s="317">
        <v>10</v>
      </c>
      <c r="L15" s="317" t="s">
        <v>13</v>
      </c>
      <c r="M15" s="255" t="s">
        <v>21</v>
      </c>
    </row>
    <row r="16" spans="2:17" ht="35.25" customHeight="1">
      <c r="B16" s="1119" t="s">
        <v>38</v>
      </c>
      <c r="C16" s="1120"/>
      <c r="D16" s="1210"/>
      <c r="E16" s="1210"/>
      <c r="F16" s="1210"/>
      <c r="G16" s="1210"/>
      <c r="H16" s="112" t="s">
        <v>39</v>
      </c>
      <c r="I16" s="318" t="s">
        <v>23</v>
      </c>
      <c r="J16" s="317">
        <v>37</v>
      </c>
      <c r="K16" s="317" t="s">
        <v>17</v>
      </c>
      <c r="L16" s="317" t="s">
        <v>18</v>
      </c>
      <c r="M16" s="255" t="s">
        <v>24</v>
      </c>
    </row>
    <row r="17" spans="2:13" ht="18">
      <c r="B17" s="1147" t="s">
        <v>40</v>
      </c>
      <c r="C17" s="1148"/>
      <c r="D17" s="1148"/>
      <c r="E17" s="1148"/>
      <c r="F17" s="1148"/>
      <c r="G17" s="1148"/>
      <c r="H17" s="1148"/>
      <c r="I17" s="1148"/>
      <c r="J17" s="1148"/>
      <c r="K17" s="1148"/>
      <c r="L17" s="1148"/>
      <c r="M17" s="1149"/>
    </row>
    <row r="18" spans="2:13" ht="15.75">
      <c r="B18" s="1166" t="s">
        <v>41</v>
      </c>
      <c r="C18" s="1167"/>
      <c r="D18" s="1124" t="s">
        <v>42</v>
      </c>
      <c r="E18" s="1126"/>
      <c r="F18" s="1213" t="s">
        <v>43</v>
      </c>
      <c r="G18" s="1214"/>
      <c r="H18" s="1215"/>
      <c r="I18" s="1124" t="s">
        <v>44</v>
      </c>
      <c r="J18" s="1125"/>
      <c r="K18" s="1126"/>
      <c r="L18" s="1124" t="s">
        <v>45</v>
      </c>
      <c r="M18" s="1216"/>
    </row>
    <row r="19" spans="2:13">
      <c r="B19" s="393" t="s">
        <v>46</v>
      </c>
      <c r="C19" s="777" cm="1">
        <f t="array" aca="1" ref="C19" ca="1">_FV(E2,"Price")</f>
        <v>48.03</v>
      </c>
      <c r="D19" s="13" t="s">
        <v>47</v>
      </c>
      <c r="E19" s="785">
        <f>Inputs!B38</f>
        <v>4992</v>
      </c>
      <c r="F19" s="1202" t="s">
        <v>48</v>
      </c>
      <c r="G19" s="1203"/>
      <c r="H19" s="103" t="s">
        <v>49</v>
      </c>
      <c r="I19" t="s">
        <v>50</v>
      </c>
      <c r="J19" s="1171">
        <v>2023</v>
      </c>
      <c r="K19" s="1172"/>
      <c r="L19" s="12" t="s">
        <v>51</v>
      </c>
      <c r="M19" s="841">
        <v>0.81399999999999995</v>
      </c>
    </row>
    <row r="20" spans="2:13" ht="12.75" customHeight="1">
      <c r="B20" s="393" t="s">
        <v>52</v>
      </c>
      <c r="C20" s="842" cm="1">
        <f t="array" aca="1" ref="C20" ca="1">_FV(E2,"Shares outstanding",TRUE)</f>
        <v>274805900</v>
      </c>
      <c r="D20" s="12" t="s">
        <v>53</v>
      </c>
      <c r="E20" s="785">
        <f>Inputs!B51</f>
        <v>1777.6</v>
      </c>
      <c r="F20" s="1175" t="str">
        <f>Segments!C5</f>
        <v>EMAE</v>
      </c>
      <c r="G20" s="1176"/>
      <c r="H20" s="17">
        <f>Segments!B5</f>
        <v>0.40144352724901461</v>
      </c>
      <c r="I20" s="12" t="s">
        <v>54</v>
      </c>
      <c r="J20" s="1206">
        <v>45291</v>
      </c>
      <c r="K20" s="1207"/>
      <c r="L20" s="12" t="s">
        <v>55</v>
      </c>
      <c r="M20" s="786" t="s">
        <v>56</v>
      </c>
    </row>
    <row r="21" spans="2:13" ht="12.75" customHeight="1">
      <c r="B21" s="393" t="s">
        <v>57</v>
      </c>
      <c r="C21" s="843">
        <f ca="1">C19*C20/1000000</f>
        <v>13198.927377</v>
      </c>
      <c r="D21" s="12" t="s">
        <v>58</v>
      </c>
      <c r="E21" s="307">
        <f ca="1">_xlfn.XLOOKUP("Cash &amp; Eq.",'Fin. Data'!A:A,'Fin. Data'!B:B,,0)*1000000/C20</f>
        <v>3.6345617033695419</v>
      </c>
      <c r="F21" s="1175" t="str">
        <f>Segments!C6</f>
        <v>Americas</v>
      </c>
      <c r="G21" s="1176"/>
      <c r="H21" s="17">
        <f>Segments!B6</f>
        <v>0.13584965977686617</v>
      </c>
      <c r="I21" s="1134" t="s">
        <v>59</v>
      </c>
      <c r="J21" s="1134"/>
      <c r="K21" s="778">
        <f>_xlfn.XLOOKUP(I21,'Fin. Data'!A:A,'Fin. Data'!B:B,,0)</f>
        <v>1185.539</v>
      </c>
      <c r="L21" s="8" t="s">
        <v>60</v>
      </c>
      <c r="M21" s="392">
        <v>1.07</v>
      </c>
    </row>
    <row r="22" spans="2:13" ht="12.75" customHeight="1">
      <c r="B22" s="391" t="s">
        <v>61</v>
      </c>
      <c r="C22" s="843">
        <f>'Fin. Data'!B58</f>
        <v>848.59100000000001</v>
      </c>
      <c r="D22" s="12" t="s">
        <v>62</v>
      </c>
      <c r="E22" s="307">
        <f>_xlfn.XLOOKUP("EBITDA",'Fin. Data'!A:A,'Fin. Data'!B:B,,0)/_xlfn.XLOOKUP("Net Financial Cost",'Fin. Data'!A:A,'Fin. Data'!B:B,,0)</f>
        <v>-51.100818965517242</v>
      </c>
      <c r="F22" s="1175" t="str">
        <f>Segments!C7</f>
        <v>Asia</v>
      </c>
      <c r="G22" s="1176"/>
      <c r="H22" s="17">
        <f>Segments!B7</f>
        <v>0.4627068129741192</v>
      </c>
      <c r="I22" s="1208" t="s">
        <v>63</v>
      </c>
      <c r="J22" s="1208"/>
      <c r="K22" s="778">
        <f>_xlfn.XLOOKUP(I22,'Fin. Data'!A:A,'Fin. Data'!B:B,,0)</f>
        <v>291.7</v>
      </c>
      <c r="L22" s="12" t="s">
        <v>64</v>
      </c>
      <c r="M22" s="654" t="s">
        <v>17</v>
      </c>
    </row>
    <row r="23" spans="2:13" ht="12.75" customHeight="1">
      <c r="B23" s="391" t="s">
        <v>65</v>
      </c>
      <c r="C23" s="843">
        <f>'Fin. Data'!B39</f>
        <v>998.79899999999998</v>
      </c>
      <c r="D23" s="853" t="s">
        <v>66</v>
      </c>
      <c r="E23" s="307">
        <f>_xlfn.XLOOKUP("Total Debt",'Fin. Data'!A:A,'Fin. Data'!B:B,,0)/_xlfn.XLOOKUP("EBITDA",'Fin. Data'!A:A,'Fin. Data'!B:B,,0)</f>
        <v>0.71578497206755742</v>
      </c>
      <c r="F23" s="1175"/>
      <c r="G23" s="1176"/>
      <c r="H23" s="42"/>
      <c r="I23" s="1208" t="s">
        <v>67</v>
      </c>
      <c r="J23" s="1208"/>
      <c r="K23" s="778">
        <f>_xlfn.XLOOKUP(I23,'Fin. Data'!A:A,'Fin. Data'!B:B,,0)</f>
        <v>893.83900000000006</v>
      </c>
      <c r="L23" s="12" t="s">
        <v>68</v>
      </c>
      <c r="M23" s="390">
        <f ca="1">IFERROR((C19*C20/(E19-E20))/1000000,"")</f>
        <v>4.106186963974614</v>
      </c>
    </row>
    <row r="24" spans="2:13" ht="12.75" customHeight="1">
      <c r="B24" s="391" t="s">
        <v>69</v>
      </c>
      <c r="C24" s="843">
        <f ca="1">C21+C22-C23</f>
        <v>13048.719377000001</v>
      </c>
      <c r="D24" s="853" t="s">
        <v>70</v>
      </c>
      <c r="E24" s="307">
        <f>_xlfn.XLOOKUP("Other Assets",'Fin. Data'!A:A,'Fin. Data'!B:B,,0)/_xlfn.XLOOKUP("Total Assets",'Fin. Data'!A:A,'Fin. Data'!B:B,,0)</f>
        <v>0.2793353365384616</v>
      </c>
      <c r="F24" s="1175"/>
      <c r="G24" s="1176"/>
      <c r="H24" s="42"/>
      <c r="I24" s="1134" t="s">
        <v>71</v>
      </c>
      <c r="J24" s="1134"/>
      <c r="K24" s="778">
        <f>_xlfn.XLOOKUP(I24,'Fin. Data'!A:A,'Fin. Data'!B:B,,0)</f>
        <v>611.93100000000004</v>
      </c>
      <c r="L24" s="12" t="s">
        <v>72</v>
      </c>
      <c r="M24" s="389">
        <f>IFERROR(K30/E19,"")</f>
        <v>0.10764983974358976</v>
      </c>
    </row>
    <row r="25" spans="2:13" ht="12.75" customHeight="1">
      <c r="B25" s="391" t="s">
        <v>73</v>
      </c>
      <c r="C25" s="123" t="s">
        <v>74</v>
      </c>
      <c r="D25" s="853" t="s">
        <v>75</v>
      </c>
      <c r="E25" s="307">
        <f>_xlfn.XLOOKUP(D25,'Fin. Data'!A:A,'Fin. Data'!B:B,,0)</f>
        <v>0.16999018429487181</v>
      </c>
      <c r="F25" s="1204" t="s">
        <v>76</v>
      </c>
      <c r="G25" s="1205"/>
      <c r="H25" s="104" t="s">
        <v>49</v>
      </c>
      <c r="I25" s="1134" t="s">
        <v>77</v>
      </c>
      <c r="J25" s="1134"/>
      <c r="K25" s="778">
        <f ca="1">1000000*K24/C20</f>
        <v>2.22677533488182</v>
      </c>
      <c r="L25" s="12" t="s">
        <v>78</v>
      </c>
      <c r="M25" s="388">
        <f ca="1">IFERROR(C21/K29,"")</f>
        <v>24.561261838745931</v>
      </c>
    </row>
    <row r="26" spans="2:13" ht="12.75" customHeight="1">
      <c r="B26" s="393" t="s">
        <v>79</v>
      </c>
      <c r="C26" s="124" t="s">
        <v>74</v>
      </c>
      <c r="D26" s="853" t="s">
        <v>80</v>
      </c>
      <c r="E26" s="122">
        <f>AVERAGE(_xlfn.XLOOKUP("EBITDA Margin",'Fin. Data'!A:A,'Fin. Data'!B:D,,0))</f>
        <v>0.40005241428244337</v>
      </c>
      <c r="F26" s="1175" t="str">
        <f>Segments!C18</f>
        <v>Wholesale</v>
      </c>
      <c r="G26" s="1176"/>
      <c r="H26" s="17">
        <f>Segments!B18</f>
        <v>0.21695908843090161</v>
      </c>
      <c r="I26" s="1209" t="s">
        <v>81</v>
      </c>
      <c r="J26" s="1209"/>
      <c r="K26" s="68">
        <f>K24/E19</f>
        <v>0.12258233173076924</v>
      </c>
      <c r="L26" s="12" t="s">
        <v>82</v>
      </c>
      <c r="M26" s="387">
        <f ca="1">IFERROR(C24/E19,"")</f>
        <v>2.6139261572516026</v>
      </c>
    </row>
    <row r="27" spans="2:13" ht="12.75" customHeight="1">
      <c r="B27" s="393" t="s">
        <v>83</v>
      </c>
      <c r="C27" s="998">
        <v>4.5995999999999997E-3</v>
      </c>
      <c r="D27" s="853" t="s">
        <v>84</v>
      </c>
      <c r="E27" s="122">
        <f>AVERAGE(_xlfn.XLOOKUP("Operating Margin",'Fin. Data'!A:A,'Fin. Data'!B:D,,0))</f>
        <v>0.2933838912155744</v>
      </c>
      <c r="F27" s="1175" t="str">
        <f>Segments!C19</f>
        <v>DTC</v>
      </c>
      <c r="G27" s="1176"/>
      <c r="H27" s="17">
        <f>Segments!B19</f>
        <v>0.78304091156909839</v>
      </c>
      <c r="I27" s="1134" t="s">
        <v>85</v>
      </c>
      <c r="J27" s="1134"/>
      <c r="K27" s="68">
        <f>Peers!C18</f>
        <v>0.20502331100769972</v>
      </c>
      <c r="L27" s="853" t="s">
        <v>86</v>
      </c>
      <c r="M27" s="387">
        <f ca="1">IFERROR(C24/K28,"")</f>
        <v>12.831995527209122</v>
      </c>
    </row>
    <row r="28" spans="2:13" ht="15.75">
      <c r="B28" s="1166" t="s">
        <v>87</v>
      </c>
      <c r="C28" s="1167"/>
      <c r="D28" s="853" t="s">
        <v>88</v>
      </c>
      <c r="E28" s="122">
        <f>AVERAGE(_xlfn.XLOOKUP("Net Income Margin",'Fin. Data'!A:A,'Fin. Data'!B:D,,0))</f>
        <v>0.21015878636702937</v>
      </c>
      <c r="F28" s="1175"/>
      <c r="G28" s="1176"/>
      <c r="H28" s="17"/>
      <c r="I28" s="1133" t="s">
        <v>89</v>
      </c>
      <c r="J28" s="1133"/>
      <c r="K28" s="779">
        <f>AVERAGE(_xlfn.XLOOKUP("EBITDA",'Fin. Data'!A:A,'Fin. Data'!B:D,,0))</f>
        <v>1016.8893333333335</v>
      </c>
      <c r="L28" s="12" t="s">
        <v>90</v>
      </c>
      <c r="M28" s="388">
        <f ca="1">IFERROR(C21/K30,"")</f>
        <v>24.561261838745931</v>
      </c>
    </row>
    <row r="29" spans="2:13" ht="12.75" customHeight="1">
      <c r="B29" s="9" t="s">
        <v>91</v>
      </c>
      <c r="C29" s="850"/>
      <c r="D29" s="559"/>
      <c r="E29" s="129"/>
      <c r="F29" s="1175"/>
      <c r="G29" s="1176"/>
      <c r="H29" s="17"/>
      <c r="I29" s="1134" t="s">
        <v>92</v>
      </c>
      <c r="J29" s="1134"/>
      <c r="K29" s="778">
        <f>AVERAGE(_xlfn.XLOOKUP("Net Income",'Fin. Data'!A:A,'Fin. Data'!B:D,,0))</f>
        <v>537.38800000000003</v>
      </c>
      <c r="L29" s="12" t="s">
        <v>93</v>
      </c>
      <c r="M29" s="386" t="s">
        <v>74</v>
      </c>
    </row>
    <row r="30" spans="2:13" ht="12.75" customHeight="1">
      <c r="B30" s="9" t="s">
        <v>94</v>
      </c>
      <c r="C30" s="850"/>
      <c r="D30" s="12" t="s">
        <v>95</v>
      </c>
      <c r="E30" s="427">
        <f>-_xlfn.XLOOKUP("Net Financial Cost",'Fin. Data'!A:A,'Fin. Data'!B:B,,0)/AVERAGE(_xlfn.XLOOKUP("Net Debt",'Fin. Data'!A:A,'Fin. Data'!B:D,,0))</f>
        <v>-0.50273397716027546</v>
      </c>
      <c r="F30" s="1175"/>
      <c r="G30" s="1176"/>
      <c r="H30" s="17"/>
      <c r="I30" s="1134" t="s">
        <v>96</v>
      </c>
      <c r="J30" s="1134"/>
      <c r="K30" s="778">
        <f>AVERAGE(_xlfn.XLOOKUP("Net Income",'Fin. Data'!A:A,'Fin. Data'!B:D,,0))</f>
        <v>537.38800000000003</v>
      </c>
      <c r="L30" s="12" t="s">
        <v>97</v>
      </c>
      <c r="M30" s="385">
        <f ca="1">-IFERROR(SUM(E51:E53)/(3*C21),"")</f>
        <v>1.6766286659446628E-2</v>
      </c>
    </row>
    <row r="31" spans="2:13" ht="12.6" customHeight="1">
      <c r="B31" s="9" t="s">
        <v>98</v>
      </c>
      <c r="C31" s="849"/>
      <c r="D31" s="126"/>
      <c r="E31" s="128"/>
      <c r="F31" s="1173"/>
      <c r="G31" s="1174"/>
      <c r="H31" s="18"/>
      <c r="I31" s="126"/>
      <c r="J31" s="127"/>
      <c r="K31" s="127"/>
      <c r="L31" s="12" t="s">
        <v>99</v>
      </c>
      <c r="M31" s="384">
        <f ca="1">-IFERROR(L52/C21,"")</f>
        <v>2.2986716369747928E-2</v>
      </c>
    </row>
    <row r="32" spans="2:13" ht="18.75" thickBot="1">
      <c r="B32" s="1147" t="s">
        <v>100</v>
      </c>
      <c r="C32" s="1148"/>
      <c r="D32" s="1148"/>
      <c r="E32" s="1148"/>
      <c r="F32" s="1148"/>
      <c r="G32" s="1148"/>
      <c r="H32" s="1148"/>
      <c r="I32" s="1148"/>
      <c r="J32" s="1148"/>
      <c r="K32" s="1148"/>
      <c r="L32" s="1148"/>
      <c r="M32" s="1149"/>
    </row>
    <row r="33" spans="1:19" ht="15.75">
      <c r="B33" s="1122" t="s">
        <v>101</v>
      </c>
      <c r="C33" s="1123"/>
      <c r="D33" s="1123"/>
      <c r="E33" s="1123"/>
      <c r="F33" s="1123"/>
      <c r="G33" s="1123"/>
      <c r="H33" s="852" t="s">
        <v>102</v>
      </c>
      <c r="I33" s="1135" t="s">
        <v>103</v>
      </c>
      <c r="J33" s="1136"/>
      <c r="K33" s="1136"/>
      <c r="L33" s="1136"/>
      <c r="M33" s="1137"/>
      <c r="N33" s="11"/>
    </row>
    <row r="34" spans="1:19" ht="13.35" customHeight="1">
      <c r="A34" s="11"/>
      <c r="B34" s="431" t="s">
        <v>104</v>
      </c>
      <c r="C34" s="1144" t="s">
        <v>105</v>
      </c>
      <c r="D34" s="1145"/>
      <c r="E34" s="1145"/>
      <c r="F34" s="1145"/>
      <c r="G34" s="1146"/>
      <c r="H34" s="1177"/>
      <c r="I34" s="1188"/>
      <c r="J34" s="1189"/>
      <c r="K34" s="1189"/>
      <c r="L34" s="1189"/>
      <c r="M34" s="1190"/>
    </row>
    <row r="35" spans="1:19" ht="30" customHeight="1">
      <c r="A35" s="11"/>
      <c r="B35" s="432" t="s">
        <v>106</v>
      </c>
      <c r="C35" s="1150" t="s">
        <v>107</v>
      </c>
      <c r="D35" s="1151"/>
      <c r="E35" s="1151"/>
      <c r="F35" s="1151"/>
      <c r="G35" s="1152"/>
      <c r="H35" s="1177"/>
      <c r="I35" s="1191"/>
      <c r="J35" s="1192"/>
      <c r="K35" s="1192"/>
      <c r="L35" s="1192"/>
      <c r="M35" s="1193"/>
    </row>
    <row r="36" spans="1:19" ht="30" customHeight="1">
      <c r="A36" s="11"/>
      <c r="B36" s="432" t="s">
        <v>108</v>
      </c>
      <c r="C36" s="1150" t="s">
        <v>109</v>
      </c>
      <c r="D36" s="1151"/>
      <c r="E36" s="1151"/>
      <c r="F36" s="1151"/>
      <c r="G36" s="1152"/>
      <c r="H36" s="1177"/>
      <c r="I36" s="1191"/>
      <c r="J36" s="1192"/>
      <c r="K36" s="1192"/>
      <c r="L36" s="1192"/>
      <c r="M36" s="1193"/>
    </row>
    <row r="37" spans="1:19" ht="30" customHeight="1">
      <c r="B37" s="433" t="s">
        <v>110</v>
      </c>
      <c r="C37" s="1179" t="s">
        <v>111</v>
      </c>
      <c r="D37" s="1180"/>
      <c r="E37" s="1180"/>
      <c r="F37" s="1180"/>
      <c r="G37" s="1181"/>
      <c r="H37" s="1178"/>
      <c r="I37" s="1194"/>
      <c r="J37" s="1195"/>
      <c r="K37" s="1195"/>
      <c r="L37" s="1195"/>
      <c r="M37" s="1196"/>
    </row>
    <row r="38" spans="1:19" ht="16.5" thickBot="1">
      <c r="B38" s="1138" t="s">
        <v>112</v>
      </c>
      <c r="C38" s="1139"/>
      <c r="D38" s="1139"/>
      <c r="E38" s="1139"/>
      <c r="F38" s="1139"/>
      <c r="G38" s="1140"/>
      <c r="H38" s="434" t="s">
        <v>113</v>
      </c>
      <c r="I38" s="1197" t="s">
        <v>114</v>
      </c>
      <c r="J38" s="1197"/>
      <c r="K38" s="1197"/>
      <c r="L38" s="1197"/>
      <c r="M38" s="1198"/>
    </row>
    <row r="39" spans="1:19" ht="13.35" customHeight="1" thickBot="1">
      <c r="B39" s="435" t="s">
        <v>115</v>
      </c>
      <c r="C39" s="1141" t="s">
        <v>105</v>
      </c>
      <c r="D39" s="1142"/>
      <c r="E39" s="1142"/>
      <c r="F39" s="1142"/>
      <c r="G39" s="1143"/>
      <c r="H39" s="1168">
        <f ca="1">DCF!D73</f>
        <v>42.17158470476668</v>
      </c>
      <c r="I39" s="1154" t="s">
        <v>116</v>
      </c>
      <c r="J39" s="1156">
        <f>DCF!F50</f>
        <v>0.09</v>
      </c>
      <c r="K39" s="1157"/>
      <c r="L39" s="1162" t="s">
        <v>117</v>
      </c>
      <c r="M39" s="1185" t="e">
        <f>#REF!</f>
        <v>#REF!</v>
      </c>
    </row>
    <row r="40" spans="1:19" ht="30" customHeight="1">
      <c r="B40" s="432" t="s">
        <v>118</v>
      </c>
      <c r="C40" s="1182" t="s">
        <v>119</v>
      </c>
      <c r="D40" s="1183"/>
      <c r="E40" s="1183"/>
      <c r="F40" s="1183"/>
      <c r="G40" s="1184"/>
      <c r="H40" s="1169"/>
      <c r="I40" s="1155"/>
      <c r="J40" s="1158"/>
      <c r="K40" s="1159"/>
      <c r="L40" s="1163"/>
      <c r="M40" s="1186"/>
    </row>
    <row r="41" spans="1:19" ht="30" customHeight="1" thickBot="1">
      <c r="B41" s="436" t="s">
        <v>120</v>
      </c>
      <c r="C41" s="1130" t="s">
        <v>121</v>
      </c>
      <c r="D41" s="1131"/>
      <c r="E41" s="1131"/>
      <c r="F41" s="1131"/>
      <c r="G41" s="1132"/>
      <c r="H41" s="1169"/>
      <c r="I41" s="1154" t="s">
        <v>122</v>
      </c>
      <c r="J41" s="1160">
        <f ca="1">DCF!D72</f>
        <v>-0.12197408484766437</v>
      </c>
      <c r="K41" s="1161"/>
      <c r="L41" s="1164" t="s">
        <v>123</v>
      </c>
      <c r="M41" s="1187" t="e">
        <f>#REF!</f>
        <v>#REF!</v>
      </c>
    </row>
    <row r="42" spans="1:19" ht="30" customHeight="1" thickBot="1">
      <c r="B42" s="437"/>
      <c r="C42" s="1127"/>
      <c r="D42" s="1128"/>
      <c r="E42" s="1128"/>
      <c r="F42" s="1128"/>
      <c r="G42" s="1129"/>
      <c r="H42" s="1170"/>
      <c r="I42" s="1155"/>
      <c r="J42" s="1158"/>
      <c r="K42" s="1159"/>
      <c r="L42" s="1165"/>
      <c r="M42" s="1186"/>
    </row>
    <row r="43" spans="1:19" ht="18">
      <c r="B43" s="1147" t="s">
        <v>124</v>
      </c>
      <c r="C43" s="1148"/>
      <c r="D43" s="1148"/>
      <c r="E43" s="1148"/>
      <c r="F43" s="1148"/>
      <c r="G43" s="1148"/>
      <c r="H43" s="1148"/>
      <c r="I43" s="1148"/>
      <c r="J43" s="1148"/>
      <c r="K43" s="1148"/>
      <c r="L43" s="1148"/>
      <c r="M43" s="1149"/>
    </row>
    <row r="44" spans="1:19">
      <c r="B44" s="560" t="s">
        <v>125</v>
      </c>
      <c r="C44" s="113" t="s">
        <v>126</v>
      </c>
      <c r="D44" s="113" t="s">
        <v>127</v>
      </c>
      <c r="E44" s="131" t="s">
        <v>128</v>
      </c>
      <c r="F44" s="113" t="s">
        <v>129</v>
      </c>
      <c r="G44" s="113" t="s">
        <v>75</v>
      </c>
      <c r="H44" s="130" t="s">
        <v>63</v>
      </c>
      <c r="I44" s="130" t="s">
        <v>130</v>
      </c>
      <c r="J44" s="1088" t="s">
        <v>131</v>
      </c>
      <c r="K44" s="1088"/>
      <c r="L44" s="1088"/>
      <c r="M44" s="1153"/>
    </row>
    <row r="45" spans="1:19">
      <c r="B45" s="997">
        <f t="shared" ref="B45:B51" si="0">B46-1</f>
        <v>2015</v>
      </c>
      <c r="C45" s="780" cm="1">
        <f t="array" ref="C45:C53">_xlfn.SORTBY(TRANSPOSE(_xlfn.XLOOKUP(C$44,'Fin. Data'!$A:$A,'Fin. Data'!$B:$J,,0)),$B$45:$B$53,-1)</f>
        <v>880.4</v>
      </c>
      <c r="D45" s="106" cm="1">
        <f t="array" ref="D45:D53">_xlfn.SORTBY(TRANSPOSE(_xlfn.XLOOKUP(D$44,'Fin. Data'!$A:$A,'Fin. Data'!$B:$J,,0)),$B$45:$B$53,-1)</f>
        <v>0.28702862335302137</v>
      </c>
      <c r="E45" s="780" cm="1">
        <f t="array" ref="E45:E53">_xlfn.SORTBY(TRANSPOSE(_xlfn.XLOOKUP(E$44,'Fin. Data'!$A:$A,'Fin. Data'!$B:$J,,0)),$B$45:$B$53,-1)</f>
        <v>-30.483999999999998</v>
      </c>
      <c r="F45" s="781">
        <f>Inputs!J77</f>
        <v>23.681000000000004</v>
      </c>
      <c r="G45" s="106" cm="1">
        <f t="array" ref="G45:G53">_xlfn.SORTBY(TRANSPOSE(_xlfn.XLOOKUP(G$44,'Fin. Data'!$A:$A,'Fin. Data'!$B:$J,,0)),$B$45:$B$53,-1)</f>
        <v>0.19583544123691785</v>
      </c>
      <c r="H45" s="780" cm="1">
        <f t="array" ref="H45:H53">_xlfn.SORTBY(TRANSPOSE(_xlfn.XLOOKUP(H$44,'Fin. Data'!$A:$A,'Fin. Data'!$B:$J,,0)),$B$45:$B$53,-1)</f>
        <v>35.959000000000003</v>
      </c>
      <c r="I45" s="780" cm="1">
        <f t="array" ref="I45:I53">_xlfn.SORTBY(TRANSPOSE(_xlfn.XLOOKUP(I$44,'Fin. Data'!$A:$A,'Fin. Data'!$B:$J,,0)),$B$45:$B$53,-1)</f>
        <v>-66.186999999999998</v>
      </c>
      <c r="J45" s="331"/>
      <c r="K45" s="126"/>
      <c r="L45" s="107">
        <f>J19</f>
        <v>2023</v>
      </c>
      <c r="M45" s="333">
        <f>L45-1</f>
        <v>2022</v>
      </c>
    </row>
    <row r="46" spans="1:19">
      <c r="A46" s="4"/>
      <c r="B46" s="997">
        <f t="shared" si="0"/>
        <v>2016</v>
      </c>
      <c r="C46" s="780">
        <v>1040.3</v>
      </c>
      <c r="D46" s="105">
        <v>0.286167451696626</v>
      </c>
      <c r="E46" s="780">
        <v>-48.205000000000005</v>
      </c>
      <c r="F46" s="781">
        <f>Inputs!I77</f>
        <v>97.30400000000003</v>
      </c>
      <c r="G46" s="106">
        <v>0.12208032825171752</v>
      </c>
      <c r="H46" s="780">
        <v>41.634999999999998</v>
      </c>
      <c r="I46" s="780">
        <v>-62.29</v>
      </c>
      <c r="J46" s="1217" t="s">
        <v>71</v>
      </c>
      <c r="K46" s="1218"/>
      <c r="L46" s="778">
        <f>_xlfn.XLOOKUP($J46,'Fin. Data'!$A:$A,'Fin. Data'!B:B,,0)</f>
        <v>611.93100000000004</v>
      </c>
      <c r="M46" s="782">
        <f>_xlfn.XLOOKUP($J46,'Fin. Data'!$A:$A,'Fin. Data'!C:C,,0)</f>
        <v>606.70000000000005</v>
      </c>
      <c r="N46" s="21">
        <f t="shared" ref="N46:N54" si="1">(C46/C45)-1</f>
        <v>0.18162199000454327</v>
      </c>
      <c r="O46" s="21">
        <f t="shared" ref="O46:O54" si="2">(D46/D45)-1</f>
        <v>-3.0002988772872552E-3</v>
      </c>
      <c r="P46" s="20"/>
      <c r="Q46" s="19"/>
      <c r="R46" s="19"/>
      <c r="S46" s="19"/>
    </row>
    <row r="47" spans="1:19">
      <c r="A47" s="4"/>
      <c r="B47" s="997">
        <f t="shared" si="0"/>
        <v>2017</v>
      </c>
      <c r="C47" s="780">
        <v>1193.7</v>
      </c>
      <c r="D47" s="105">
        <v>0.28558264220490909</v>
      </c>
      <c r="E47" s="780">
        <v>-66.911000000000001</v>
      </c>
      <c r="F47" s="781">
        <f>Inputs!H77</f>
        <v>150.75900000000004</v>
      </c>
      <c r="G47" s="106">
        <v>6.7444079803079163E-2</v>
      </c>
      <c r="H47" s="780">
        <v>47.273000000000003</v>
      </c>
      <c r="I47" s="780">
        <v>-72.498000000000005</v>
      </c>
      <c r="J47" s="1217" t="s">
        <v>132</v>
      </c>
      <c r="K47" s="1218"/>
      <c r="L47" s="778">
        <f>_xlfn.XLOOKUP($J47,'Fin. Data'!$A:$A,'Fin. Data'!B:B,,0)</f>
        <v>804.4</v>
      </c>
      <c r="M47" s="782">
        <f>_xlfn.XLOOKUP($J47,'Fin. Data'!$A:$A,'Fin. Data'!C:C,,0)</f>
        <v>662.6</v>
      </c>
      <c r="N47" s="21">
        <f t="shared" si="1"/>
        <v>0.1474574641930213</v>
      </c>
      <c r="O47" s="21">
        <f t="shared" si="2"/>
        <v>-2.0435919188213081E-3</v>
      </c>
      <c r="P47" s="20"/>
      <c r="Q47" s="19">
        <f t="shared" ref="Q47:Q53" si="3">F47/F46-1</f>
        <v>0.54936076625832442</v>
      </c>
      <c r="R47" s="19">
        <f t="shared" ref="R47:S53" si="4">H47/H46-1</f>
        <v>0.13541491533565519</v>
      </c>
      <c r="S47" s="19">
        <f t="shared" si="4"/>
        <v>0.16387863220420629</v>
      </c>
    </row>
    <row r="48" spans="1:19">
      <c r="A48" s="4"/>
      <c r="B48" s="997">
        <f t="shared" si="0"/>
        <v>2018</v>
      </c>
      <c r="C48" s="780">
        <v>1420.1</v>
      </c>
      <c r="D48" s="105">
        <v>0.29159918315611583</v>
      </c>
      <c r="E48" s="780">
        <v>-219.03300000000002</v>
      </c>
      <c r="F48" s="781">
        <f>Inputs!G77</f>
        <v>152.09500000000003</v>
      </c>
      <c r="G48" s="106">
        <v>5.9319635826771661E-2</v>
      </c>
      <c r="H48" s="780">
        <v>56.5</v>
      </c>
      <c r="I48" s="780">
        <v>-91.501999999999995</v>
      </c>
      <c r="J48" s="1217" t="s">
        <v>133</v>
      </c>
      <c r="K48" s="1218"/>
      <c r="L48" s="778">
        <f>_xlfn.XLOOKUP($J48,'Fin. Data'!$A:$A,'Fin. Data'!B:B,,0)</f>
        <v>-174</v>
      </c>
      <c r="M48" s="782">
        <f>_xlfn.XLOOKUP($J48,'Fin. Data'!$A:$A,'Fin. Data'!C:C,,0)</f>
        <v>-167</v>
      </c>
      <c r="N48" s="21">
        <f t="shared" si="1"/>
        <v>0.18966239423640774</v>
      </c>
      <c r="O48" s="21">
        <f t="shared" si="2"/>
        <v>2.106760027414345E-2</v>
      </c>
      <c r="P48" s="20"/>
      <c r="Q48" s="19">
        <f t="shared" si="3"/>
        <v>8.8618258279768991E-3</v>
      </c>
      <c r="R48" s="19">
        <f t="shared" si="4"/>
        <v>0.1951854123918515</v>
      </c>
      <c r="S48" s="19">
        <f t="shared" si="4"/>
        <v>0.26213136914121749</v>
      </c>
    </row>
    <row r="49" spans="1:19">
      <c r="A49" s="4"/>
      <c r="B49" s="997">
        <f t="shared" si="0"/>
        <v>2019</v>
      </c>
      <c r="C49" s="780">
        <v>1627.7</v>
      </c>
      <c r="D49" s="105">
        <v>0.30214412975364008</v>
      </c>
      <c r="E49" s="780">
        <v>-116.80999999999999</v>
      </c>
      <c r="F49" s="781">
        <f>Inputs!F77</f>
        <v>212.89999999999998</v>
      </c>
      <c r="G49" s="106">
        <v>0.28915568722226548</v>
      </c>
      <c r="H49" s="780">
        <v>171.1</v>
      </c>
      <c r="I49" s="780">
        <v>-120.8</v>
      </c>
      <c r="J49" s="1219" t="s">
        <v>134</v>
      </c>
      <c r="K49" s="1220"/>
      <c r="L49" s="778">
        <f>_xlfn.XLOOKUP($J49,'Fin. Data'!$A:$A,'Fin. Data'!B:B,,0)</f>
        <v>-174</v>
      </c>
      <c r="M49" s="782">
        <f>_xlfn.XLOOKUP($J49,'Fin. Data'!$A:$A,'Fin. Data'!C:C,,0)</f>
        <v>-167.09</v>
      </c>
      <c r="N49" s="21">
        <f t="shared" si="1"/>
        <v>0.14618688824730652</v>
      </c>
      <c r="O49" s="21">
        <f t="shared" si="2"/>
        <v>3.6162469604308578E-2</v>
      </c>
      <c r="P49" s="20"/>
      <c r="Q49" s="19">
        <f t="shared" si="3"/>
        <v>0.39978303034287732</v>
      </c>
      <c r="R49" s="19">
        <f t="shared" si="4"/>
        <v>2.0283185840707962</v>
      </c>
      <c r="S49" s="19">
        <f t="shared" si="4"/>
        <v>0.32018972262901357</v>
      </c>
    </row>
    <row r="50" spans="1:19">
      <c r="A50" s="4"/>
      <c r="B50" s="997">
        <f t="shared" si="0"/>
        <v>2020</v>
      </c>
      <c r="C50" s="780">
        <v>1440.4</v>
      </c>
      <c r="D50" s="105">
        <v>0.25603998889197443</v>
      </c>
      <c r="E50" s="780">
        <v>0</v>
      </c>
      <c r="F50" s="781">
        <f>Inputs!E77</f>
        <v>164.41399999999999</v>
      </c>
      <c r="G50" s="106">
        <v>0.25874733186970089</v>
      </c>
      <c r="H50" s="780">
        <v>200.976</v>
      </c>
      <c r="I50" s="780">
        <v>-90.37</v>
      </c>
      <c r="J50" s="1219" t="s">
        <v>135</v>
      </c>
      <c r="K50" s="1220"/>
      <c r="L50" s="778">
        <f>_xlfn.XLOOKUP($J50,'Fin. Data'!$A:$A,'Fin. Data'!B:B,,0)</f>
        <v>0</v>
      </c>
      <c r="M50" s="782">
        <f>_xlfn.XLOOKUP($J50,'Fin. Data'!$A:$A,'Fin. Data'!C:C,,0)</f>
        <v>0</v>
      </c>
      <c r="N50" s="21">
        <f t="shared" si="1"/>
        <v>-0.1150703446581065</v>
      </c>
      <c r="O50" s="21">
        <f t="shared" si="2"/>
        <v>-0.1525898944297136</v>
      </c>
      <c r="P50" s="20"/>
      <c r="Q50" s="19">
        <f t="shared" si="3"/>
        <v>-0.22774072334429307</v>
      </c>
      <c r="R50" s="19">
        <f t="shared" si="4"/>
        <v>0.17461133839859744</v>
      </c>
      <c r="S50" s="19">
        <f t="shared" si="4"/>
        <v>-0.25190397350993377</v>
      </c>
    </row>
    <row r="51" spans="1:19">
      <c r="A51" s="4"/>
      <c r="B51" s="997">
        <f t="shared" si="0"/>
        <v>2021</v>
      </c>
      <c r="C51" s="780">
        <v>2046.1</v>
      </c>
      <c r="D51" s="105">
        <v>0.28307511851815653</v>
      </c>
      <c r="E51" s="780">
        <v>-120.679</v>
      </c>
      <c r="F51" s="781">
        <f>Inputs!D77</f>
        <v>-120.28000000000003</v>
      </c>
      <c r="G51" s="106">
        <v>0.214142786850676</v>
      </c>
      <c r="H51" s="780">
        <v>246.5</v>
      </c>
      <c r="I51" s="780">
        <v>-621.38099999999997</v>
      </c>
      <c r="J51" s="1217" t="s">
        <v>136</v>
      </c>
      <c r="K51" s="1218"/>
      <c r="L51" s="778">
        <f>_xlfn.XLOOKUP($J51,'Fin. Data'!$A:$A,'Fin. Data'!B:B,,0)</f>
        <v>-596.625</v>
      </c>
      <c r="M51" s="782">
        <f>_xlfn.XLOOKUP($J51,'Fin. Data'!$A:$A,'Fin. Data'!C:C,,0)</f>
        <v>-391.25</v>
      </c>
      <c r="N51" s="21">
        <f t="shared" si="1"/>
        <v>0.42050819216884183</v>
      </c>
      <c r="O51" s="21">
        <f t="shared" si="2"/>
        <v>0.10558948132742052</v>
      </c>
      <c r="P51" s="20"/>
      <c r="Q51" s="19">
        <f t="shared" si="3"/>
        <v>-1.7315678713491556</v>
      </c>
      <c r="R51" s="19">
        <f t="shared" si="4"/>
        <v>0.22651460870949758</v>
      </c>
      <c r="S51" s="19">
        <f t="shared" si="4"/>
        <v>5.875965475268341</v>
      </c>
    </row>
    <row r="52" spans="1:19">
      <c r="A52" s="4"/>
      <c r="B52" s="997">
        <f>B53-1</f>
        <v>2022</v>
      </c>
      <c r="C52" s="780">
        <v>2602.9</v>
      </c>
      <c r="D52" s="105">
        <v>0.29755272964770063</v>
      </c>
      <c r="E52" s="780">
        <v>-209.31200000000001</v>
      </c>
      <c r="F52" s="781">
        <f>Inputs!C$77</f>
        <v>79.664000000000016</v>
      </c>
      <c r="G52" s="106">
        <v>0.19676201767622331</v>
      </c>
      <c r="H52" s="780">
        <v>264.89999999999998</v>
      </c>
      <c r="I52" s="780">
        <v>-167.09</v>
      </c>
      <c r="J52" s="1219" t="s">
        <v>137</v>
      </c>
      <c r="K52" s="1220"/>
      <c r="L52" s="778">
        <f>_xlfn.XLOOKUP($J52,'Fin. Data'!$A:$A,'Fin. Data'!B:B,,0)</f>
        <v>-303.39999999999998</v>
      </c>
      <c r="M52" s="782">
        <f>_xlfn.XLOOKUP($J52,'Fin. Data'!$A:$A,'Fin. Data'!C:C,,0)</f>
        <v>-160.96</v>
      </c>
      <c r="N52" s="21">
        <f t="shared" si="1"/>
        <v>0.27212746200087978</v>
      </c>
      <c r="O52" s="21">
        <f t="shared" si="2"/>
        <v>5.1144061001657803E-2</v>
      </c>
      <c r="P52" s="20"/>
      <c r="Q52" s="19">
        <f t="shared" si="3"/>
        <v>-1.6623212504156966</v>
      </c>
      <c r="R52" s="19">
        <f t="shared" si="4"/>
        <v>7.4645030425963377E-2</v>
      </c>
      <c r="S52" s="19">
        <f t="shared" si="4"/>
        <v>-0.73109895539129777</v>
      </c>
    </row>
    <row r="53" spans="1:19">
      <c r="A53" s="4"/>
      <c r="B53" s="997">
        <f>J19</f>
        <v>2023</v>
      </c>
      <c r="C53" s="780">
        <v>2984.2</v>
      </c>
      <c r="D53" s="105">
        <v>0.29952382548086592</v>
      </c>
      <c r="E53" s="780">
        <v>-333.9</v>
      </c>
      <c r="F53" s="781">
        <f>Inputs!B77</f>
        <v>33.774999999999977</v>
      </c>
      <c r="G53" s="106">
        <v>0.16999018429487181</v>
      </c>
      <c r="H53" s="780">
        <v>291.7</v>
      </c>
      <c r="I53" s="780">
        <v>-174</v>
      </c>
      <c r="J53" s="1219" t="s">
        <v>138</v>
      </c>
      <c r="K53" s="1220"/>
      <c r="L53" s="778">
        <f>_xlfn.XLOOKUP($J53,'Fin. Data'!$A:$A,'Fin. Data'!B:B,,0)</f>
        <v>-30.5</v>
      </c>
      <c r="M53" s="782">
        <f>_xlfn.XLOOKUP($J53,'Fin. Data'!$A:$A,'Fin. Data'!C:C,,0)</f>
        <v>-48.351999999999997</v>
      </c>
      <c r="N53" s="21">
        <f t="shared" si="1"/>
        <v>0.1464904529563178</v>
      </c>
      <c r="O53" s="21">
        <f t="shared" si="2"/>
        <v>6.6243580944427283E-3</v>
      </c>
      <c r="P53" s="20"/>
      <c r="Q53" s="19">
        <f t="shared" si="3"/>
        <v>-0.57603183370154687</v>
      </c>
      <c r="R53" s="19">
        <f t="shared" si="4"/>
        <v>0.10117025292563242</v>
      </c>
      <c r="S53" s="19">
        <f t="shared" si="4"/>
        <v>4.1354958405649622E-2</v>
      </c>
    </row>
    <row r="54" spans="1:19">
      <c r="B54" s="561" t="s">
        <v>139</v>
      </c>
      <c r="C54" s="108">
        <f>IFERROR((C53/C45)^(1/8)-1,"")</f>
        <v>0.16484592982444246</v>
      </c>
      <c r="D54" s="108">
        <f>IFERROR((D53/D45)^(1/8)-1,"")</f>
        <v>5.3407137261871629E-3</v>
      </c>
      <c r="E54" s="125"/>
      <c r="F54" s="108">
        <f>IFERROR((F53/F45)^(1/8)-1,"")</f>
        <v>4.5380548765386886E-2</v>
      </c>
      <c r="G54" s="125"/>
      <c r="H54" s="108">
        <f>IFERROR((H53/H45)^(1/8)-1,"")</f>
        <v>0.29909557335300696</v>
      </c>
      <c r="I54" s="125"/>
      <c r="J54" s="1217" t="s">
        <v>140</v>
      </c>
      <c r="K54" s="1218"/>
      <c r="L54" s="778">
        <f>_xlfn.XLOOKUP($J54,'Fin. Data'!$A:$A,'Fin. Data'!B:B,,0)</f>
        <v>0</v>
      </c>
      <c r="M54" s="782">
        <f>_xlfn.XLOOKUP($J54,'Fin. Data'!$A:$A,'Fin. Data'!C:C,,0)</f>
        <v>-24.686</v>
      </c>
      <c r="N54" s="21">
        <f t="shared" si="1"/>
        <v>-0.99994476042831426</v>
      </c>
      <c r="O54" s="21">
        <f t="shared" si="2"/>
        <v>-0.9821693191931794</v>
      </c>
      <c r="P54" s="20"/>
      <c r="Q54" s="19"/>
      <c r="R54" s="19"/>
      <c r="S54" s="19"/>
    </row>
    <row r="55" spans="1:19">
      <c r="B55" s="561" t="s">
        <v>141</v>
      </c>
      <c r="C55" s="108">
        <f>IFERROR(AVERAGE(N46:N53),"")</f>
        <v>0.17362306239365147</v>
      </c>
      <c r="D55" s="108">
        <f>IFERROR(AVERAGE(O46:O53),"")</f>
        <v>7.8692731345188643E-3</v>
      </c>
      <c r="E55" s="125"/>
      <c r="F55" s="108">
        <f>IFERROR(AVERAGE(Q46:Q53),"")</f>
        <v>-0.4628080080545019</v>
      </c>
      <c r="G55" s="125"/>
      <c r="H55" s="108">
        <f>IFERROR(AVERAGE(S46:S53),"")</f>
        <v>0.81150246124959957</v>
      </c>
      <c r="I55" s="125"/>
      <c r="J55" s="1221" t="s">
        <v>142</v>
      </c>
      <c r="K55" s="1222"/>
      <c r="L55" s="783">
        <f>L47-L48+L51-L52-L53</f>
        <v>715.67499999999995</v>
      </c>
      <c r="M55" s="784">
        <f>M47-M48+M51-M52-M53</f>
        <v>647.66200000000003</v>
      </c>
    </row>
    <row r="56" spans="1:19">
      <c r="B56" s="561" t="s">
        <v>143</v>
      </c>
      <c r="C56" s="108">
        <f>IFERROR(STDEV(C46:C53)/AVERAGE(C46:C53),"")</f>
        <v>0.38582942903823225</v>
      </c>
      <c r="D56" s="108">
        <f>IFERROR(STDEV(D45:D53)/AVERAGE(D45:D53),"")</f>
        <v>4.7473921140833909E-2</v>
      </c>
      <c r="E56" s="125"/>
      <c r="F56" s="108">
        <f>IFERROR(STDEV(F45:F53)/AVERAGE(F45:F53),"")</f>
        <v>1.1337588197822273</v>
      </c>
      <c r="G56" s="125"/>
      <c r="H56" s="108">
        <f>IFERROR(STDEV(H45:H53)/AVERAGE(H45:H53),"")</f>
        <v>0.70242670237284444</v>
      </c>
      <c r="I56" s="125"/>
      <c r="J56" s="1223" t="s">
        <v>144</v>
      </c>
      <c r="K56" s="1224"/>
      <c r="L56" s="329">
        <f>IFERROR(SUM(I50:I53)/(C53-C49),"")</f>
        <v>-0.77614522668632513</v>
      </c>
      <c r="M56" s="383">
        <f>IFERROR((SUM(I50:I53)-SUM(H50:H53))/(C53-C49),"")</f>
        <v>-1.5163413195724293</v>
      </c>
    </row>
    <row r="57" spans="1:19">
      <c r="B57" s="561" t="s">
        <v>145</v>
      </c>
      <c r="C57" s="108">
        <f>IFERROR(C53/C52-1,"")</f>
        <v>0.1464904529563178</v>
      </c>
      <c r="D57" s="108">
        <f>IFERROR(D53/D52-1,"")</f>
        <v>6.6243580944427283E-3</v>
      </c>
      <c r="E57" s="125"/>
      <c r="F57" s="108">
        <f>IFERROR(1-(F53/F52),"")</f>
        <v>0.57603183370154687</v>
      </c>
      <c r="G57" s="125"/>
      <c r="H57" s="108">
        <f>IFERROR(1-(H53/H52),"")</f>
        <v>-0.10117025292563242</v>
      </c>
      <c r="I57" s="125"/>
      <c r="J57" s="1225" t="s">
        <v>146</v>
      </c>
      <c r="K57" s="1226"/>
      <c r="L57" s="330">
        <f>IFERROR(L56/E26,"")</f>
        <v>-1.9401088431836191</v>
      </c>
      <c r="M57" s="334">
        <f>IFERROR(M56/E26,"")</f>
        <v>-3.7903566268740683</v>
      </c>
    </row>
    <row r="58" spans="1:19" ht="18">
      <c r="B58" s="1147" t="s">
        <v>147</v>
      </c>
      <c r="C58" s="1148"/>
      <c r="D58" s="1148"/>
      <c r="E58" s="1148"/>
      <c r="F58" s="1148"/>
      <c r="G58" s="1148"/>
      <c r="H58" s="1148"/>
      <c r="I58" s="1148"/>
      <c r="J58" s="1148"/>
      <c r="K58" s="1148"/>
      <c r="L58" s="1148"/>
      <c r="M58" s="1149"/>
    </row>
    <row r="59" spans="1:19" ht="15.75">
      <c r="B59" s="1121" t="s">
        <v>148</v>
      </c>
      <c r="C59" s="1077"/>
      <c r="D59" s="1077"/>
      <c r="E59" s="1077"/>
      <c r="F59" s="1077"/>
      <c r="G59" s="1077"/>
      <c r="H59" s="1077"/>
      <c r="I59" s="1077"/>
      <c r="J59" s="1077" t="s">
        <v>149</v>
      </c>
      <c r="K59" s="1077"/>
      <c r="L59" s="1077"/>
      <c r="M59" s="1078"/>
    </row>
    <row r="60" spans="1:19">
      <c r="B60" s="1227" t="s">
        <v>150</v>
      </c>
      <c r="C60" s="1088"/>
      <c r="D60" s="1088"/>
      <c r="E60" s="1088" t="s">
        <v>151</v>
      </c>
      <c r="F60" s="1088"/>
      <c r="G60" s="1088"/>
      <c r="H60" s="1088"/>
      <c r="I60" s="1088"/>
      <c r="J60" s="1088" t="s">
        <v>5</v>
      </c>
      <c r="K60" s="1088"/>
      <c r="L60" s="1088"/>
      <c r="M60" s="332" t="s">
        <v>152</v>
      </c>
    </row>
    <row r="61" spans="1:19" ht="15" customHeight="1">
      <c r="B61" s="1089" t="s">
        <v>153</v>
      </c>
      <c r="C61" s="1080"/>
      <c r="D61" s="1081"/>
      <c r="E61" s="1079" t="s">
        <v>154</v>
      </c>
      <c r="F61" s="1080"/>
      <c r="G61" s="1080"/>
      <c r="H61" s="1080"/>
      <c r="I61" s="1081"/>
      <c r="J61" s="1100" t="s">
        <v>155</v>
      </c>
      <c r="K61" s="1099"/>
      <c r="L61" s="1099"/>
      <c r="M61" s="335">
        <v>0.23699999999999999</v>
      </c>
    </row>
    <row r="62" spans="1:19" ht="15" customHeight="1">
      <c r="B62" s="1228"/>
      <c r="C62" s="1083"/>
      <c r="D62" s="1084"/>
      <c r="E62" s="1082"/>
      <c r="F62" s="1083"/>
      <c r="G62" s="1083"/>
      <c r="H62" s="1083"/>
      <c r="I62" s="1084"/>
      <c r="J62" s="1100" t="s">
        <v>156</v>
      </c>
      <c r="K62" s="1099"/>
      <c r="L62" s="1099"/>
      <c r="M62" s="335">
        <v>8.5999999999999993E-2</v>
      </c>
    </row>
    <row r="63" spans="1:19" ht="15" customHeight="1">
      <c r="B63" s="1228"/>
      <c r="C63" s="1083"/>
      <c r="D63" s="1084"/>
      <c r="E63" s="1082"/>
      <c r="F63" s="1083"/>
      <c r="G63" s="1083"/>
      <c r="H63" s="1083"/>
      <c r="I63" s="1084"/>
      <c r="J63" s="1098" t="s">
        <v>157</v>
      </c>
      <c r="K63" s="1099"/>
      <c r="L63" s="1099"/>
      <c r="M63" s="335">
        <v>0.05</v>
      </c>
    </row>
    <row r="64" spans="1:19" ht="15" customHeight="1">
      <c r="B64" s="1228"/>
      <c r="C64" s="1083"/>
      <c r="D64" s="1084"/>
      <c r="E64" s="1082"/>
      <c r="F64" s="1083"/>
      <c r="G64" s="1083"/>
      <c r="H64" s="1083"/>
      <c r="I64" s="1084"/>
      <c r="J64" s="1100" t="s">
        <v>158</v>
      </c>
      <c r="K64" s="1099"/>
      <c r="L64" s="1099"/>
      <c r="M64" s="335">
        <v>4.2000000000000003E-2</v>
      </c>
    </row>
    <row r="65" spans="2:13">
      <c r="B65" s="1228"/>
      <c r="C65" s="1083"/>
      <c r="D65" s="1084"/>
      <c r="E65" s="1082"/>
      <c r="F65" s="1083"/>
      <c r="G65" s="1083"/>
      <c r="H65" s="1083"/>
      <c r="I65" s="1084"/>
      <c r="J65" s="1100" t="s">
        <v>159</v>
      </c>
      <c r="K65" s="1099"/>
      <c r="L65" s="1099"/>
      <c r="M65" s="335">
        <v>1.6E-2</v>
      </c>
    </row>
    <row r="66" spans="2:13">
      <c r="B66" s="1228"/>
      <c r="C66" s="1083"/>
      <c r="D66" s="1084"/>
      <c r="E66" s="1082"/>
      <c r="F66" s="1083"/>
      <c r="G66" s="1083"/>
      <c r="H66" s="1083"/>
      <c r="I66" s="1084"/>
      <c r="J66" s="1100" t="s">
        <v>160</v>
      </c>
      <c r="K66" s="1099"/>
      <c r="L66" s="1099"/>
      <c r="M66" s="335">
        <v>0.56899999999999995</v>
      </c>
    </row>
    <row r="67" spans="2:13">
      <c r="B67" s="1228"/>
      <c r="C67" s="1083"/>
      <c r="D67" s="1084"/>
      <c r="E67" s="1082"/>
      <c r="F67" s="1083"/>
      <c r="G67" s="1083"/>
      <c r="H67" s="1083"/>
      <c r="I67" s="1084"/>
      <c r="J67" s="1100"/>
      <c r="K67" s="1099"/>
      <c r="L67" s="1099"/>
      <c r="M67" s="335"/>
    </row>
    <row r="68" spans="2:13">
      <c r="B68" s="1228"/>
      <c r="C68" s="1083"/>
      <c r="D68" s="1084"/>
      <c r="E68" s="1082"/>
      <c r="F68" s="1083"/>
      <c r="G68" s="1083"/>
      <c r="H68" s="1083"/>
      <c r="I68" s="1084"/>
      <c r="J68" s="1100"/>
      <c r="K68" s="1099"/>
      <c r="L68" s="1099"/>
      <c r="M68" s="335"/>
    </row>
    <row r="69" spans="2:13">
      <c r="B69" s="1228"/>
      <c r="C69" s="1083"/>
      <c r="D69" s="1084"/>
      <c r="E69" s="1082"/>
      <c r="F69" s="1083"/>
      <c r="G69" s="1083"/>
      <c r="H69" s="1083"/>
      <c r="I69" s="1084"/>
      <c r="J69" s="1100"/>
      <c r="K69" s="1099"/>
      <c r="L69" s="1099"/>
      <c r="M69" s="335"/>
    </row>
    <row r="70" spans="2:13">
      <c r="B70" s="1229"/>
      <c r="C70" s="1086"/>
      <c r="D70" s="1087"/>
      <c r="E70" s="1085"/>
      <c r="F70" s="1086"/>
      <c r="G70" s="1086"/>
      <c r="H70" s="1086"/>
      <c r="I70" s="1087"/>
      <c r="J70" s="1100"/>
      <c r="K70" s="1099"/>
      <c r="L70" s="1099"/>
      <c r="M70" s="335"/>
    </row>
    <row r="71" spans="2:13">
      <c r="B71" s="1227" t="s">
        <v>161</v>
      </c>
      <c r="C71" s="1088"/>
      <c r="D71" s="1088"/>
      <c r="E71" s="1088" t="s">
        <v>162</v>
      </c>
      <c r="F71" s="1088"/>
      <c r="G71" s="1088"/>
      <c r="H71" s="1088"/>
      <c r="I71" s="1088"/>
      <c r="J71" s="1100"/>
      <c r="K71" s="1099"/>
      <c r="L71" s="1099"/>
      <c r="M71" s="335"/>
    </row>
    <row r="72" spans="2:13" ht="15" customHeight="1">
      <c r="B72" s="1089" t="s">
        <v>163</v>
      </c>
      <c r="C72" s="1090"/>
      <c r="D72" s="1091"/>
      <c r="E72" s="1089" t="s">
        <v>164</v>
      </c>
      <c r="F72" s="1230"/>
      <c r="G72" s="1230"/>
      <c r="H72" s="1230"/>
      <c r="I72" s="1231"/>
      <c r="J72" s="1100"/>
      <c r="K72" s="1099"/>
      <c r="L72" s="1099"/>
      <c r="M72" s="335"/>
    </row>
    <row r="73" spans="2:13" ht="15" customHeight="1">
      <c r="B73" s="1092"/>
      <c r="C73" s="1093"/>
      <c r="D73" s="1094"/>
      <c r="E73" s="1232"/>
      <c r="F73" s="1233"/>
      <c r="G73" s="1233"/>
      <c r="H73" s="1233"/>
      <c r="I73" s="1234"/>
      <c r="J73" s="1100"/>
      <c r="K73" s="1099"/>
      <c r="L73" s="1099"/>
      <c r="M73" s="335"/>
    </row>
    <row r="74" spans="2:13" ht="15" customHeight="1">
      <c r="B74" s="1092"/>
      <c r="C74" s="1093"/>
      <c r="D74" s="1094"/>
      <c r="E74" s="1232"/>
      <c r="F74" s="1233"/>
      <c r="G74" s="1233"/>
      <c r="H74" s="1233"/>
      <c r="I74" s="1234"/>
      <c r="J74" s="1100"/>
      <c r="K74" s="1099"/>
      <c r="L74" s="1099"/>
      <c r="M74" s="335"/>
    </row>
    <row r="75" spans="2:13" ht="15" customHeight="1">
      <c r="B75" s="1092"/>
      <c r="C75" s="1093"/>
      <c r="D75" s="1094"/>
      <c r="E75" s="1232"/>
      <c r="F75" s="1233"/>
      <c r="G75" s="1233"/>
      <c r="H75" s="1233"/>
      <c r="I75" s="1234"/>
      <c r="J75" s="1100"/>
      <c r="K75" s="1099"/>
      <c r="L75" s="1099"/>
      <c r="M75" s="335"/>
    </row>
    <row r="76" spans="2:13">
      <c r="B76" s="1092"/>
      <c r="C76" s="1093"/>
      <c r="D76" s="1094"/>
      <c r="E76" s="1232"/>
      <c r="F76" s="1233"/>
      <c r="G76" s="1233"/>
      <c r="H76" s="1233"/>
      <c r="I76" s="1234"/>
      <c r="J76" s="1100"/>
      <c r="K76" s="1099"/>
      <c r="L76" s="1099"/>
      <c r="M76" s="335"/>
    </row>
    <row r="77" spans="2:13">
      <c r="B77" s="1092"/>
      <c r="C77" s="1093"/>
      <c r="D77" s="1094"/>
      <c r="E77" s="1232"/>
      <c r="F77" s="1233"/>
      <c r="G77" s="1233"/>
      <c r="H77" s="1233"/>
      <c r="I77" s="1234"/>
      <c r="J77" s="1100"/>
      <c r="K77" s="1099"/>
      <c r="L77" s="1099"/>
      <c r="M77" s="335"/>
    </row>
    <row r="78" spans="2:13">
      <c r="B78" s="1092"/>
      <c r="C78" s="1093"/>
      <c r="D78" s="1094"/>
      <c r="E78" s="1232"/>
      <c r="F78" s="1233"/>
      <c r="G78" s="1233"/>
      <c r="H78" s="1233"/>
      <c r="I78" s="1234"/>
      <c r="J78" s="1100"/>
      <c r="K78" s="1099"/>
      <c r="L78" s="1099"/>
      <c r="M78" s="335"/>
    </row>
    <row r="79" spans="2:13">
      <c r="B79" s="1092"/>
      <c r="C79" s="1093"/>
      <c r="D79" s="1094"/>
      <c r="E79" s="1232"/>
      <c r="F79" s="1233"/>
      <c r="G79" s="1233"/>
      <c r="H79" s="1233"/>
      <c r="I79" s="1234"/>
      <c r="J79" s="1101"/>
      <c r="K79" s="1102"/>
      <c r="L79" s="1102"/>
      <c r="M79" s="335"/>
    </row>
    <row r="80" spans="2:13">
      <c r="B80" s="1095"/>
      <c r="C80" s="1096"/>
      <c r="D80" s="1097"/>
      <c r="E80" s="1235"/>
      <c r="F80" s="1236"/>
      <c r="G80" s="1236"/>
      <c r="H80" s="1236"/>
      <c r="I80" s="1237"/>
      <c r="J80" s="1101"/>
      <c r="K80" s="1102"/>
      <c r="L80" s="1102"/>
      <c r="M80" s="335"/>
    </row>
    <row r="81" spans="2:13" ht="15.75">
      <c r="B81" s="1111"/>
      <c r="C81" s="1112"/>
      <c r="D81" s="1112"/>
      <c r="E81" s="1112"/>
      <c r="F81" s="1112"/>
      <c r="G81" s="1077" t="s">
        <v>165</v>
      </c>
      <c r="H81" s="1077"/>
      <c r="I81" s="1077"/>
      <c r="J81" s="1077"/>
      <c r="K81" s="1077"/>
      <c r="L81" s="1077"/>
      <c r="M81" s="1078"/>
    </row>
    <row r="82" spans="2:13" s="11" customFormat="1">
      <c r="B82" s="1415"/>
      <c r="C82" s="1103"/>
      <c r="D82" s="1103"/>
      <c r="E82" s="1103"/>
      <c r="F82" s="1104"/>
      <c r="G82"/>
      <c r="H82"/>
      <c r="I82"/>
      <c r="J82"/>
      <c r="K82"/>
      <c r="L82"/>
      <c r="M82" s="49"/>
    </row>
    <row r="83" spans="2:13">
      <c r="B83" s="1105"/>
      <c r="C83" s="1106"/>
      <c r="D83" s="1106"/>
      <c r="E83" s="1106"/>
      <c r="F83" s="1107"/>
      <c r="M83" s="49"/>
    </row>
    <row r="84" spans="2:13">
      <c r="B84" s="1105"/>
      <c r="C84" s="1106"/>
      <c r="D84" s="1106"/>
      <c r="E84" s="1106"/>
      <c r="F84" s="1107"/>
      <c r="M84" s="49"/>
    </row>
    <row r="85" spans="2:13">
      <c r="B85" s="1105"/>
      <c r="C85" s="1106"/>
      <c r="D85" s="1106"/>
      <c r="E85" s="1106"/>
      <c r="F85" s="1107"/>
      <c r="M85" s="49"/>
    </row>
    <row r="86" spans="2:13">
      <c r="B86" s="1105"/>
      <c r="C86" s="1106"/>
      <c r="D86" s="1106"/>
      <c r="E86" s="1106"/>
      <c r="F86" s="1107"/>
      <c r="M86" s="49"/>
    </row>
    <row r="87" spans="2:13">
      <c r="B87" s="1105"/>
      <c r="C87" s="1106"/>
      <c r="D87" s="1106"/>
      <c r="E87" s="1106"/>
      <c r="F87" s="1107"/>
      <c r="M87" s="49"/>
    </row>
    <row r="88" spans="2:13">
      <c r="B88" s="1105"/>
      <c r="C88" s="1106"/>
      <c r="D88" s="1106"/>
      <c r="E88" s="1106"/>
      <c r="F88" s="1107"/>
      <c r="M88" s="49"/>
    </row>
    <row r="89" spans="2:13">
      <c r="B89" s="1105"/>
      <c r="C89" s="1106"/>
      <c r="D89" s="1106"/>
      <c r="E89" s="1106"/>
      <c r="F89" s="1107"/>
      <c r="M89" s="49"/>
    </row>
    <row r="90" spans="2:13">
      <c r="B90" s="1105"/>
      <c r="C90" s="1106"/>
      <c r="D90" s="1106"/>
      <c r="E90" s="1106"/>
      <c r="F90" s="1107"/>
      <c r="M90" s="49"/>
    </row>
    <row r="91" spans="2:13">
      <c r="B91" s="1105"/>
      <c r="C91" s="1106"/>
      <c r="D91" s="1106"/>
      <c r="E91" s="1106"/>
      <c r="F91" s="1107"/>
      <c r="M91" s="49"/>
    </row>
    <row r="92" spans="2:13">
      <c r="B92" s="1105"/>
      <c r="C92" s="1106"/>
      <c r="D92" s="1106"/>
      <c r="E92" s="1106"/>
      <c r="F92" s="1107"/>
      <c r="M92" s="49"/>
    </row>
    <row r="93" spans="2:13">
      <c r="B93" s="1105"/>
      <c r="C93" s="1106"/>
      <c r="D93" s="1106"/>
      <c r="E93" s="1106"/>
      <c r="F93" s="1107"/>
      <c r="M93" s="49"/>
    </row>
    <row r="94" spans="2:13">
      <c r="B94" s="1105"/>
      <c r="C94" s="1106"/>
      <c r="D94" s="1106"/>
      <c r="E94" s="1106"/>
      <c r="F94" s="1107"/>
      <c r="M94" s="49"/>
    </row>
    <row r="95" spans="2:13">
      <c r="B95" s="1105"/>
      <c r="C95" s="1106"/>
      <c r="D95" s="1106"/>
      <c r="E95" s="1106"/>
      <c r="F95" s="1107"/>
      <c r="M95" s="49"/>
    </row>
    <row r="96" spans="2:13">
      <c r="B96" s="1105"/>
      <c r="C96" s="1106"/>
      <c r="D96" s="1106"/>
      <c r="E96" s="1106"/>
      <c r="F96" s="1107"/>
      <c r="M96" s="49"/>
    </row>
    <row r="97" spans="2:13">
      <c r="B97" s="1105"/>
      <c r="C97" s="1106"/>
      <c r="D97" s="1106"/>
      <c r="E97" s="1106"/>
      <c r="F97" s="1107"/>
      <c r="M97" s="49"/>
    </row>
    <row r="98" spans="2:13">
      <c r="B98" s="1105"/>
      <c r="C98" s="1106"/>
      <c r="D98" s="1106"/>
      <c r="E98" s="1106"/>
      <c r="F98" s="1107"/>
      <c r="M98" s="49"/>
    </row>
    <row r="99" spans="2:13">
      <c r="B99" s="1105"/>
      <c r="C99" s="1106"/>
      <c r="D99" s="1106"/>
      <c r="E99" s="1106"/>
      <c r="F99" s="1107"/>
      <c r="M99" s="49"/>
    </row>
    <row r="100" spans="2:13">
      <c r="B100" s="1105"/>
      <c r="C100" s="1106"/>
      <c r="D100" s="1106"/>
      <c r="E100" s="1106"/>
      <c r="F100" s="1107"/>
      <c r="M100" s="49"/>
    </row>
    <row r="101" spans="2:13">
      <c r="B101" s="1105"/>
      <c r="C101" s="1106"/>
      <c r="D101" s="1106"/>
      <c r="E101" s="1106"/>
      <c r="F101" s="1107"/>
      <c r="M101" s="49"/>
    </row>
    <row r="102" spans="2:13">
      <c r="B102" s="1105"/>
      <c r="C102" s="1106"/>
      <c r="D102" s="1106"/>
      <c r="E102" s="1106"/>
      <c r="F102" s="1107"/>
      <c r="M102" s="49"/>
    </row>
    <row r="103" spans="2:13">
      <c r="B103" s="1105"/>
      <c r="C103" s="1106"/>
      <c r="D103" s="1106"/>
      <c r="E103" s="1106"/>
      <c r="F103" s="1107"/>
      <c r="M103" s="49"/>
    </row>
    <row r="104" spans="2:13">
      <c r="B104" s="1105"/>
      <c r="C104" s="1106"/>
      <c r="D104" s="1106"/>
      <c r="E104" s="1106"/>
      <c r="F104" s="1107"/>
      <c r="M104" s="49"/>
    </row>
    <row r="105" spans="2:13">
      <c r="B105" s="1105"/>
      <c r="C105" s="1106"/>
      <c r="D105" s="1106"/>
      <c r="E105" s="1106"/>
      <c r="F105" s="1107"/>
      <c r="M105" s="49"/>
    </row>
    <row r="106" spans="2:13" ht="12.75" customHeight="1">
      <c r="B106" s="1108"/>
      <c r="C106" s="1109"/>
      <c r="D106" s="1109"/>
      <c r="E106" s="1109"/>
      <c r="F106" s="1110"/>
      <c r="G106" s="1076" t="s">
        <v>166</v>
      </c>
      <c r="H106" s="1076"/>
      <c r="I106" s="757" t="s">
        <v>167</v>
      </c>
      <c r="J106" s="562" t="s">
        <v>168</v>
      </c>
      <c r="K106" s="771" t="s">
        <v>169</v>
      </c>
      <c r="L106" s="772" t="s">
        <v>170</v>
      </c>
      <c r="M106" s="770" t="s">
        <v>171</v>
      </c>
    </row>
  </sheetData>
  <mergeCells count="112">
    <mergeCell ref="J55:K55"/>
    <mergeCell ref="J56:K56"/>
    <mergeCell ref="J57:K57"/>
    <mergeCell ref="J75:L75"/>
    <mergeCell ref="J70:L70"/>
    <mergeCell ref="J71:L71"/>
    <mergeCell ref="J72:L72"/>
    <mergeCell ref="J73:L73"/>
    <mergeCell ref="B60:D60"/>
    <mergeCell ref="B71:D71"/>
    <mergeCell ref="B61:D70"/>
    <mergeCell ref="J59:M59"/>
    <mergeCell ref="E72:I80"/>
    <mergeCell ref="J46:K46"/>
    <mergeCell ref="J47:K47"/>
    <mergeCell ref="J48:K48"/>
    <mergeCell ref="J49:K49"/>
    <mergeCell ref="J50:K50"/>
    <mergeCell ref="J51:K51"/>
    <mergeCell ref="J52:K52"/>
    <mergeCell ref="J53:K53"/>
    <mergeCell ref="J54:K54"/>
    <mergeCell ref="E2:K2"/>
    <mergeCell ref="F19:G19"/>
    <mergeCell ref="F27:G27"/>
    <mergeCell ref="F25:G25"/>
    <mergeCell ref="J20:K20"/>
    <mergeCell ref="I21:J21"/>
    <mergeCell ref="I22:J22"/>
    <mergeCell ref="I23:J23"/>
    <mergeCell ref="I24:J24"/>
    <mergeCell ref="I25:J25"/>
    <mergeCell ref="I26:J26"/>
    <mergeCell ref="I27:J27"/>
    <mergeCell ref="F26:G26"/>
    <mergeCell ref="D4:G16"/>
    <mergeCell ref="D3:G3"/>
    <mergeCell ref="H3:M3"/>
    <mergeCell ref="F18:H18"/>
    <mergeCell ref="F21:G21"/>
    <mergeCell ref="F22:G22"/>
    <mergeCell ref="F23:G23"/>
    <mergeCell ref="F24:G24"/>
    <mergeCell ref="F20:G20"/>
    <mergeCell ref="L18:M18"/>
    <mergeCell ref="B18:C18"/>
    <mergeCell ref="B28:C28"/>
    <mergeCell ref="D18:E18"/>
    <mergeCell ref="B17:M17"/>
    <mergeCell ref="B32:M32"/>
    <mergeCell ref="H39:H42"/>
    <mergeCell ref="J19:K19"/>
    <mergeCell ref="F31:G31"/>
    <mergeCell ref="F30:G30"/>
    <mergeCell ref="F28:G28"/>
    <mergeCell ref="F29:G29"/>
    <mergeCell ref="H34:H37"/>
    <mergeCell ref="C36:G36"/>
    <mergeCell ref="C37:G37"/>
    <mergeCell ref="C40:G40"/>
    <mergeCell ref="M39:M40"/>
    <mergeCell ref="M41:M42"/>
    <mergeCell ref="I34:M37"/>
    <mergeCell ref="I38:M38"/>
    <mergeCell ref="B3:C15"/>
    <mergeCell ref="B16:C16"/>
    <mergeCell ref="B59:I59"/>
    <mergeCell ref="B33:G33"/>
    <mergeCell ref="I18:K18"/>
    <mergeCell ref="C42:G42"/>
    <mergeCell ref="C41:G41"/>
    <mergeCell ref="I28:J28"/>
    <mergeCell ref="I29:J29"/>
    <mergeCell ref="I30:J30"/>
    <mergeCell ref="I33:M33"/>
    <mergeCell ref="B38:G38"/>
    <mergeCell ref="C39:G39"/>
    <mergeCell ref="C34:G34"/>
    <mergeCell ref="B58:M58"/>
    <mergeCell ref="C35:G35"/>
    <mergeCell ref="J44:M44"/>
    <mergeCell ref="B43:M43"/>
    <mergeCell ref="I39:I40"/>
    <mergeCell ref="I41:I42"/>
    <mergeCell ref="J39:K40"/>
    <mergeCell ref="J41:K42"/>
    <mergeCell ref="L39:L40"/>
    <mergeCell ref="L41:L42"/>
    <mergeCell ref="G106:H106"/>
    <mergeCell ref="G81:M81"/>
    <mergeCell ref="E61:I70"/>
    <mergeCell ref="J60:L60"/>
    <mergeCell ref="E71:I71"/>
    <mergeCell ref="B72:D80"/>
    <mergeCell ref="J63:L63"/>
    <mergeCell ref="J64:L64"/>
    <mergeCell ref="J65:L65"/>
    <mergeCell ref="J66:L66"/>
    <mergeCell ref="J67:L67"/>
    <mergeCell ref="J68:L68"/>
    <mergeCell ref="J69:L69"/>
    <mergeCell ref="J61:L61"/>
    <mergeCell ref="J62:L62"/>
    <mergeCell ref="E60:I60"/>
    <mergeCell ref="J74:L74"/>
    <mergeCell ref="J76:L76"/>
    <mergeCell ref="J77:L77"/>
    <mergeCell ref="J78:L78"/>
    <mergeCell ref="J80:L80"/>
    <mergeCell ref="J79:L79"/>
    <mergeCell ref="B82:F106"/>
    <mergeCell ref="B81:F81"/>
  </mergeCells>
  <phoneticPr fontId="0" type="noConversion"/>
  <conditionalFormatting sqref="D45:D53">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6:D53">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D45:E45 C45:C53">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E45:E53">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6:E53">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4:E57 G54:G57 I54:I57">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5:F53">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5:G53">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0:H24">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6:H30">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5:H53">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5:I53">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1:K42">
    <cfRule type="cellIs" dxfId="39" priority="1" operator="lessThan">
      <formula>0</formula>
    </cfRule>
    <cfRule type="cellIs" dxfId="38" priority="2" operator="greaterThan">
      <formula>0</formula>
    </cfRule>
  </conditionalFormatting>
  <conditionalFormatting sqref="M39:M42">
    <cfRule type="cellIs" dxfId="37" priority="3" operator="lessThan">
      <formula>0</formula>
    </cfRule>
    <cfRule type="cellIs" dxfId="36"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6:S56"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D45:D53</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D46:D53</xm:sqref>
        </x14:conditionalFormatting>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D45:E45 C45:C53</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E45:E53</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E46:E53</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E54:E57 G54:G57 I54:I57</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F45:F53</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G45:G53</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H20:H24</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H26:H30</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H45:H53</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I45:I53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2.75"/>
  <cols>
    <col min="1" max="1" width="27.140625" bestFit="1" customWidth="1"/>
  </cols>
  <sheetData>
    <row r="1" spans="1:1">
      <c r="A1" t="s">
        <v>172</v>
      </c>
    </row>
    <row r="2" spans="1:1">
      <c r="A2" t="s">
        <v>173</v>
      </c>
    </row>
    <row r="3" spans="1:1">
      <c r="A3" t="s">
        <v>174</v>
      </c>
    </row>
    <row r="4" spans="1:1">
      <c r="A4" t="s">
        <v>175</v>
      </c>
    </row>
    <row r="5" spans="1:1">
      <c r="A5" t="s">
        <v>176</v>
      </c>
    </row>
    <row r="6" spans="1:1">
      <c r="A6" s="11" t="s">
        <v>177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85"/>
  <sheetViews>
    <sheetView showGridLines="0" topLeftCell="B29" workbookViewId="0">
      <selection activeCell="I52" sqref="I52"/>
    </sheetView>
  </sheetViews>
  <sheetFormatPr defaultColWidth="11.42578125" defaultRowHeight="12.75" customHeight="1"/>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23.42578125" customWidth="1"/>
  </cols>
  <sheetData>
    <row r="1" spans="2:25" ht="7.5" customHeight="1"/>
    <row r="2" spans="2:25" ht="20.25">
      <c r="B2" s="1266" t="str">
        <f>"Regions "&amp;"("&amp;OP!$J$19&amp;")"</f>
        <v>Regions (2023)</v>
      </c>
      <c r="C2" s="1266"/>
      <c r="D2" s="1266"/>
      <c r="E2" s="1266"/>
      <c r="F2" s="1266"/>
      <c r="G2" s="1266"/>
      <c r="H2" s="1266"/>
      <c r="I2" s="1266"/>
      <c r="J2" s="1266"/>
      <c r="K2" s="1266"/>
      <c r="L2" s="1266"/>
      <c r="M2" s="1266"/>
      <c r="N2" s="1266"/>
      <c r="O2" s="1266"/>
      <c r="P2" s="1266"/>
      <c r="Q2" s="1240" t="s">
        <v>178</v>
      </c>
      <c r="R2" s="1240"/>
      <c r="S2" s="1240"/>
      <c r="T2" s="1240"/>
      <c r="U2" s="1240"/>
      <c r="V2" s="1240"/>
      <c r="W2" s="1240"/>
      <c r="X2" s="1240"/>
      <c r="Y2" s="1240"/>
    </row>
    <row r="3" spans="2:25" ht="18">
      <c r="B3" s="150"/>
      <c r="C3" s="151"/>
      <c r="D3" s="1269" t="s">
        <v>179</v>
      </c>
      <c r="E3" s="1269"/>
      <c r="F3" s="1269"/>
      <c r="G3" s="1269"/>
      <c r="H3" s="1269"/>
      <c r="I3" s="1269"/>
      <c r="J3" s="136"/>
      <c r="K3" s="1265" t="s">
        <v>180</v>
      </c>
      <c r="L3" s="1265"/>
      <c r="M3" s="1265"/>
      <c r="N3" s="1265"/>
      <c r="O3" s="1265"/>
      <c r="P3" s="1265"/>
      <c r="Q3" s="132"/>
      <c r="Y3" s="145"/>
    </row>
    <row r="4" spans="2:25">
      <c r="B4" s="140" t="s">
        <v>181</v>
      </c>
      <c r="C4" s="141" t="s">
        <v>182</v>
      </c>
      <c r="D4" s="142">
        <f>OP!J19</f>
        <v>2023</v>
      </c>
      <c r="E4" s="142">
        <f>D4-1</f>
        <v>2022</v>
      </c>
      <c r="F4" s="142">
        <f>E4-1</f>
        <v>2021</v>
      </c>
      <c r="G4" s="142">
        <f>F4-1</f>
        <v>2020</v>
      </c>
      <c r="H4" s="142">
        <f>G4-1</f>
        <v>2019</v>
      </c>
      <c r="I4" s="735">
        <f>H4-1</f>
        <v>2018</v>
      </c>
      <c r="J4" s="707"/>
      <c r="K4" s="142">
        <f>OP!J19</f>
        <v>2023</v>
      </c>
      <c r="L4" s="142">
        <f t="shared" ref="L4:P4" si="0">K4-1</f>
        <v>2022</v>
      </c>
      <c r="M4" s="142">
        <f t="shared" si="0"/>
        <v>2021</v>
      </c>
      <c r="N4" s="142">
        <f t="shared" si="0"/>
        <v>2020</v>
      </c>
      <c r="O4" s="142">
        <f t="shared" si="0"/>
        <v>2019</v>
      </c>
      <c r="P4" s="152">
        <f t="shared" si="0"/>
        <v>2018</v>
      </c>
      <c r="Q4" s="132"/>
      <c r="Y4" s="145"/>
    </row>
    <row r="5" spans="2:25">
      <c r="B5" s="138">
        <f>IFERROR(D5/$D$8,"")</f>
        <v>0.40144352724901461</v>
      </c>
      <c r="C5" s="139" t="s">
        <v>183</v>
      </c>
      <c r="D5" s="143">
        <f>910.489+287.506</f>
        <v>1197.9949999999999</v>
      </c>
      <c r="E5" s="673">
        <f>804.361+278.67</f>
        <v>1083.0309999999999</v>
      </c>
      <c r="F5" s="673">
        <f>624.469+39.912</f>
        <v>664.38100000000009</v>
      </c>
      <c r="G5" s="673">
        <f>379.538+122.3</f>
        <v>501.83800000000002</v>
      </c>
      <c r="H5" s="673">
        <f>463.5+185</f>
        <v>648.5</v>
      </c>
      <c r="I5" s="736">
        <f>407.6+167.8</f>
        <v>575.40000000000009</v>
      </c>
      <c r="J5" s="694"/>
      <c r="K5" s="262">
        <f t="shared" ref="K5:O8" si="1">(D5-E5)/E5</f>
        <v>0.10615023946682962</v>
      </c>
      <c r="L5" s="262">
        <f t="shared" si="1"/>
        <v>0.63013541928501837</v>
      </c>
      <c r="M5" s="262">
        <f t="shared" si="1"/>
        <v>0.32389536065423513</v>
      </c>
      <c r="N5" s="262">
        <f t="shared" si="1"/>
        <v>-0.22615574402467228</v>
      </c>
      <c r="O5" s="262">
        <f t="shared" si="1"/>
        <v>0.12704205769899182</v>
      </c>
      <c r="P5" s="262" t="s">
        <v>74</v>
      </c>
      <c r="Q5" s="132"/>
      <c r="Y5" s="145"/>
    </row>
    <row r="6" spans="2:25">
      <c r="B6" s="138">
        <f>IFERROR(D6/$D$8,"")</f>
        <v>0.13584965977686617</v>
      </c>
      <c r="C6" s="139" t="s">
        <v>184</v>
      </c>
      <c r="D6" s="143">
        <f>371.294+34.111</f>
        <v>405.40499999999997</v>
      </c>
      <c r="E6" s="673">
        <f>368.07+42.285</f>
        <v>410.35500000000002</v>
      </c>
      <c r="F6" s="673">
        <f>304.881+28.951</f>
        <v>333.83199999999999</v>
      </c>
      <c r="G6" s="673">
        <v>220.666</v>
      </c>
      <c r="H6" s="673">
        <v>263.89999999999998</v>
      </c>
      <c r="I6" s="736">
        <v>228.5</v>
      </c>
      <c r="J6" s="694"/>
      <c r="K6" s="262">
        <f t="shared" si="1"/>
        <v>-1.2062726176115913E-2</v>
      </c>
      <c r="L6" s="262">
        <f t="shared" si="1"/>
        <v>0.2292260777876298</v>
      </c>
      <c r="M6" s="262">
        <f t="shared" si="1"/>
        <v>0.51283840736678965</v>
      </c>
      <c r="N6" s="262">
        <f t="shared" si="1"/>
        <v>-0.16382720727548308</v>
      </c>
      <c r="O6" s="262">
        <f t="shared" si="1"/>
        <v>0.1549234135667395</v>
      </c>
      <c r="P6" s="262" t="s">
        <v>74</v>
      </c>
      <c r="Q6" s="132"/>
      <c r="Y6" s="145"/>
    </row>
    <row r="7" spans="2:25">
      <c r="B7" s="696">
        <f>IFERROR(D7/$D$8,"")</f>
        <v>0.4627068129741192</v>
      </c>
      <c r="C7" s="709" t="s">
        <v>185</v>
      </c>
      <c r="D7" s="710">
        <f>1291.377+89.441</f>
        <v>1380.818</v>
      </c>
      <c r="E7" s="673">
        <f>1029.327+80.177</f>
        <v>1109.5039999999999</v>
      </c>
      <c r="F7" s="673">
        <f>894.817+241.162</f>
        <v>1135.979</v>
      </c>
      <c r="G7" s="673">
        <v>717.86</v>
      </c>
      <c r="H7" s="673">
        <v>715.2</v>
      </c>
      <c r="I7" s="736">
        <v>616.1</v>
      </c>
      <c r="J7" s="694"/>
      <c r="K7" s="724">
        <f t="shared" si="1"/>
        <v>0.2445362973004154</v>
      </c>
      <c r="L7" s="724">
        <f t="shared" si="1"/>
        <v>-2.3305888577165718E-2</v>
      </c>
      <c r="M7" s="724">
        <f t="shared" si="1"/>
        <v>0.58245201014125325</v>
      </c>
      <c r="N7" s="724">
        <f t="shared" si="1"/>
        <v>3.7192393736017451E-3</v>
      </c>
      <c r="O7" s="724">
        <f t="shared" si="1"/>
        <v>0.16085051128063629</v>
      </c>
      <c r="P7" s="724" t="s">
        <v>74</v>
      </c>
      <c r="Q7" s="132"/>
      <c r="Y7" s="145"/>
    </row>
    <row r="8" spans="2:25">
      <c r="B8" s="695">
        <f ca="1">SUM(B5:B12)</f>
        <v>0</v>
      </c>
      <c r="C8" s="706" t="s">
        <v>186</v>
      </c>
      <c r="D8" s="734">
        <f>SUM(D5:D7)</f>
        <v>2984.2179999999998</v>
      </c>
      <c r="E8" s="734">
        <f t="shared" ref="E8:I8" si="2">SUM(E5:E7)</f>
        <v>2602.89</v>
      </c>
      <c r="F8" s="734">
        <f t="shared" si="2"/>
        <v>2134.192</v>
      </c>
      <c r="G8" s="734">
        <f t="shared" si="2"/>
        <v>1440.364</v>
      </c>
      <c r="H8" s="734">
        <f t="shared" si="2"/>
        <v>1627.6</v>
      </c>
      <c r="I8" s="734">
        <f t="shared" si="2"/>
        <v>1420</v>
      </c>
      <c r="J8" s="726"/>
      <c r="K8" s="721">
        <f t="shared" si="1"/>
        <v>0.14650177302920983</v>
      </c>
      <c r="L8" s="722">
        <f t="shared" si="1"/>
        <v>0.21961379294833824</v>
      </c>
      <c r="M8" s="722">
        <f t="shared" si="1"/>
        <v>0.48170323612642357</v>
      </c>
      <c r="N8" s="722">
        <f t="shared" si="1"/>
        <v>-0.11503809289751775</v>
      </c>
      <c r="O8" s="722">
        <f t="shared" si="1"/>
        <v>0.14619718309859148</v>
      </c>
      <c r="P8" s="723" t="s">
        <v>74</v>
      </c>
      <c r="Y8" s="145"/>
    </row>
    <row r="9" spans="2:25">
      <c r="B9" s="691"/>
      <c r="C9" s="14"/>
      <c r="D9" s="693"/>
      <c r="E9" s="693"/>
      <c r="F9" s="693"/>
      <c r="G9" s="693"/>
      <c r="H9" s="693"/>
      <c r="I9" s="693"/>
      <c r="J9" s="264"/>
      <c r="K9" s="719"/>
      <c r="L9" s="719"/>
      <c r="M9" s="719"/>
      <c r="N9" s="719"/>
      <c r="O9" s="719"/>
      <c r="P9" s="719"/>
      <c r="Y9" s="145"/>
    </row>
    <row r="10" spans="2:25">
      <c r="B10" s="691"/>
      <c r="C10" s="692"/>
      <c r="D10" s="693"/>
      <c r="E10" s="693"/>
      <c r="F10" s="693"/>
      <c r="G10" s="693"/>
      <c r="H10" s="693"/>
      <c r="I10" s="693"/>
      <c r="J10" s="264"/>
      <c r="K10" s="719"/>
      <c r="L10" s="719"/>
      <c r="M10" s="719"/>
      <c r="N10" s="719"/>
      <c r="O10" s="719"/>
      <c r="P10" s="719"/>
      <c r="Y10" s="145"/>
    </row>
    <row r="11" spans="2:25" hidden="1">
      <c r="B11" s="138">
        <f>IFERROR(D11/$D$8,"")</f>
        <v>0</v>
      </c>
      <c r="C11" s="483"/>
      <c r="D11" s="143"/>
      <c r="E11" s="143"/>
      <c r="F11" s="143"/>
      <c r="G11" s="143"/>
      <c r="H11" s="143"/>
      <c r="I11" s="720"/>
      <c r="J11" s="264"/>
      <c r="K11" s="143"/>
      <c r="L11" s="143"/>
      <c r="M11" s="143"/>
      <c r="N11" s="143"/>
      <c r="O11" s="143"/>
      <c r="P11" s="720"/>
      <c r="Q11" s="132"/>
      <c r="Y11" s="145"/>
    </row>
    <row r="12" spans="2:25" hidden="1">
      <c r="B12" s="134">
        <f>IFERROR(D12/$D$8,"")</f>
        <v>0</v>
      </c>
      <c r="C12" s="144"/>
      <c r="D12" s="708"/>
      <c r="E12" s="708"/>
      <c r="F12" s="708"/>
      <c r="G12" s="708"/>
      <c r="H12" s="708"/>
      <c r="I12" s="725"/>
      <c r="J12" s="264"/>
      <c r="K12" s="135"/>
      <c r="L12" s="135"/>
      <c r="M12" s="135"/>
      <c r="N12" s="135"/>
      <c r="O12" s="135"/>
      <c r="P12" s="153"/>
      <c r="Q12" s="132"/>
      <c r="Y12" s="145"/>
    </row>
    <row r="13" spans="2:25">
      <c r="J13" s="264"/>
      <c r="Q13" s="132"/>
      <c r="Y13" s="145"/>
    </row>
    <row r="14" spans="2:25">
      <c r="B14" s="148"/>
      <c r="C14" s="6"/>
      <c r="D14" s="15"/>
      <c r="E14" s="15"/>
      <c r="F14" s="15"/>
      <c r="G14" s="15"/>
      <c r="H14" s="15"/>
      <c r="I14" s="15"/>
      <c r="J14" s="15"/>
      <c r="K14" s="15"/>
      <c r="L14" s="15"/>
      <c r="M14" s="15"/>
      <c r="N14" s="15"/>
      <c r="O14" s="15"/>
      <c r="P14" s="15"/>
      <c r="Q14" s="132"/>
      <c r="Y14" s="145"/>
    </row>
    <row r="15" spans="2:25" ht="20.25">
      <c r="B15" s="1266" t="str">
        <f>"Categories "&amp;"("&amp;OP!$J$19&amp;")"</f>
        <v>Categories (2023)</v>
      </c>
      <c r="C15" s="1266"/>
      <c r="D15" s="1266"/>
      <c r="E15" s="1266"/>
      <c r="F15" s="1266"/>
      <c r="G15" s="1266"/>
      <c r="H15" s="1266"/>
      <c r="I15" s="1266"/>
      <c r="J15" s="1266"/>
      <c r="K15" s="1266"/>
      <c r="L15" s="1266"/>
      <c r="M15" s="1266"/>
      <c r="N15" s="1266"/>
      <c r="O15" s="1266"/>
      <c r="P15" s="1266"/>
      <c r="Q15" s="132"/>
      <c r="S15" s="263"/>
      <c r="Y15" s="145"/>
    </row>
    <row r="16" spans="2:25" ht="20.25">
      <c r="B16" s="150"/>
      <c r="C16" s="151"/>
      <c r="D16" s="1268" t="s">
        <v>179</v>
      </c>
      <c r="E16" s="1268"/>
      <c r="F16" s="1268"/>
      <c r="G16" s="1268"/>
      <c r="H16" s="1268"/>
      <c r="I16" s="1268"/>
      <c r="J16" s="136"/>
      <c r="K16" s="1267" t="s">
        <v>180</v>
      </c>
      <c r="L16" s="1267"/>
      <c r="M16" s="1267"/>
      <c r="N16" s="1267"/>
      <c r="O16" s="1267"/>
      <c r="P16" s="1267"/>
      <c r="Q16" s="132"/>
      <c r="Y16" s="145"/>
    </row>
    <row r="17" spans="2:25">
      <c r="B17" s="149" t="s">
        <v>181</v>
      </c>
      <c r="C17" s="703" t="s">
        <v>187</v>
      </c>
      <c r="D17" s="697">
        <f>OP!J19</f>
        <v>2023</v>
      </c>
      <c r="E17" s="698">
        <f>D17-1</f>
        <v>2022</v>
      </c>
      <c r="F17" s="698">
        <f>E17-1</f>
        <v>2021</v>
      </c>
      <c r="G17" s="698">
        <f>F17-1</f>
        <v>2020</v>
      </c>
      <c r="H17" s="698">
        <f>G17-1</f>
        <v>2019</v>
      </c>
      <c r="I17" s="699">
        <f>H17-1</f>
        <v>2018</v>
      </c>
      <c r="J17" s="707"/>
      <c r="K17" s="137">
        <f>OP!J19</f>
        <v>2023</v>
      </c>
      <c r="L17" s="137">
        <f t="shared" ref="L17:P17" si="3">K17-1</f>
        <v>2022</v>
      </c>
      <c r="M17" s="137">
        <f t="shared" si="3"/>
        <v>2021</v>
      </c>
      <c r="N17" s="137">
        <f t="shared" si="3"/>
        <v>2020</v>
      </c>
      <c r="O17" s="137">
        <f t="shared" si="3"/>
        <v>2019</v>
      </c>
      <c r="P17" s="154">
        <f t="shared" si="3"/>
        <v>2018</v>
      </c>
      <c r="Q17" s="132"/>
      <c r="Y17" s="145"/>
    </row>
    <row r="18" spans="2:25">
      <c r="B18" s="138">
        <f>IFERROR(D18/$D$20,"")</f>
        <v>0.21695908843090161</v>
      </c>
      <c r="C18" s="704" t="s">
        <v>188</v>
      </c>
      <c r="D18" s="700">
        <f>409.239+238.214</f>
        <v>647.45299999999997</v>
      </c>
      <c r="E18" s="673">
        <f>429.8+251.979</f>
        <v>681.779</v>
      </c>
      <c r="F18" s="673">
        <v>394.947</v>
      </c>
      <c r="G18" s="673">
        <v>350.9</v>
      </c>
      <c r="H18" s="673">
        <v>370.8</v>
      </c>
      <c r="I18" s="701">
        <v>333.6</v>
      </c>
      <c r="J18" s="694"/>
      <c r="K18" s="718">
        <f t="shared" ref="K18:O20" si="4">(D18-E18)/E18</f>
        <v>-5.0347693314109147E-2</v>
      </c>
      <c r="L18" s="718">
        <f t="shared" si="4"/>
        <v>0.72625440881941117</v>
      </c>
      <c r="M18" s="718">
        <f t="shared" si="4"/>
        <v>0.12552579082359655</v>
      </c>
      <c r="N18" s="718">
        <f t="shared" si="4"/>
        <v>-5.3667745415318324E-2</v>
      </c>
      <c r="O18" s="718">
        <f t="shared" si="4"/>
        <v>0.11151079136690643</v>
      </c>
      <c r="P18" s="718" t="s">
        <v>74</v>
      </c>
      <c r="Q18" s="132"/>
      <c r="Y18" s="145"/>
    </row>
    <row r="19" spans="2:25">
      <c r="B19" s="696">
        <f>IFERROR(D19/$D$20,"")</f>
        <v>0.78304091156909839</v>
      </c>
      <c r="C19" s="705" t="s">
        <v>189</v>
      </c>
      <c r="D19" s="700">
        <f>2163.92+172.844</f>
        <v>2336.7640000000001</v>
      </c>
      <c r="E19" s="673">
        <f>1772+149.153</f>
        <v>1921.153</v>
      </c>
      <c r="F19" s="673">
        <v>1429.2190000000001</v>
      </c>
      <c r="G19" s="673">
        <v>1089.5</v>
      </c>
      <c r="H19" s="673">
        <v>1256.9000000000001</v>
      </c>
      <c r="I19" s="701">
        <v>1086.5</v>
      </c>
      <c r="J19" s="712"/>
      <c r="K19" s="718">
        <f t="shared" si="4"/>
        <v>0.21633414933636211</v>
      </c>
      <c r="L19" s="713">
        <f t="shared" si="4"/>
        <v>0.34419777514852512</v>
      </c>
      <c r="M19" s="713">
        <f t="shared" si="4"/>
        <v>0.31181184029371278</v>
      </c>
      <c r="N19" s="713">
        <f t="shared" si="4"/>
        <v>-0.13318481979473312</v>
      </c>
      <c r="O19" s="713">
        <f t="shared" si="4"/>
        <v>0.1568338702254948</v>
      </c>
      <c r="P19" s="714" t="s">
        <v>74</v>
      </c>
      <c r="Y19" s="145"/>
    </row>
    <row r="20" spans="2:25">
      <c r="B20" s="695">
        <f ca="1">SUM(B18:B23)</f>
        <v>0</v>
      </c>
      <c r="C20" s="706" t="s">
        <v>186</v>
      </c>
      <c r="D20" s="702">
        <f>SUM(D18:D19)</f>
        <v>2984.2170000000001</v>
      </c>
      <c r="E20" s="702">
        <f t="shared" ref="E20:I20" si="5">SUM(E18:E19)</f>
        <v>2602.9319999999998</v>
      </c>
      <c r="F20" s="702">
        <f t="shared" si="5"/>
        <v>1824.1660000000002</v>
      </c>
      <c r="G20" s="702">
        <f t="shared" si="5"/>
        <v>1440.4</v>
      </c>
      <c r="H20" s="702">
        <f t="shared" si="5"/>
        <v>1627.7</v>
      </c>
      <c r="I20" s="734">
        <f t="shared" si="5"/>
        <v>1420.1</v>
      </c>
      <c r="J20" s="726"/>
      <c r="K20" s="715">
        <f t="shared" si="4"/>
        <v>0.14648288929560985</v>
      </c>
      <c r="L20" s="716">
        <f t="shared" si="4"/>
        <v>0.42691619074141252</v>
      </c>
      <c r="M20" s="716">
        <f t="shared" si="4"/>
        <v>0.26643015828936412</v>
      </c>
      <c r="N20" s="716">
        <f t="shared" si="4"/>
        <v>-0.1150703446581065</v>
      </c>
      <c r="O20" s="716">
        <f t="shared" si="4"/>
        <v>0.14618688824730663</v>
      </c>
      <c r="P20" s="717" t="s">
        <v>74</v>
      </c>
      <c r="Y20" s="145"/>
    </row>
    <row r="21" spans="2:25">
      <c r="C21" s="14" t="s">
        <v>190</v>
      </c>
      <c r="D21" s="264">
        <f t="shared" ref="D21:H21" si="6">D18/D20</f>
        <v>0.21695908843090161</v>
      </c>
      <c r="E21" s="264">
        <f t="shared" si="6"/>
        <v>0.26192731888501125</v>
      </c>
      <c r="F21" s="264">
        <f t="shared" si="6"/>
        <v>0.21650825637579035</v>
      </c>
      <c r="G21" s="264">
        <f t="shared" si="6"/>
        <v>0.24361288530963618</v>
      </c>
      <c r="H21" s="264">
        <f t="shared" si="6"/>
        <v>0.22780610677643301</v>
      </c>
      <c r="I21" s="264">
        <f>I18/I20</f>
        <v>0.23491303429335966</v>
      </c>
      <c r="J21" s="264"/>
      <c r="K21" s="711"/>
      <c r="L21" s="711"/>
      <c r="M21" s="711"/>
      <c r="N21" s="711"/>
      <c r="O21" s="711"/>
      <c r="P21" s="711"/>
      <c r="Y21" s="145"/>
    </row>
    <row r="22" spans="2:25">
      <c r="B22" s="691"/>
      <c r="C22" s="692" t="s">
        <v>191</v>
      </c>
      <c r="D22" s="4">
        <f t="shared" ref="D22:I22" si="7">D19/D20</f>
        <v>0.78304091156909839</v>
      </c>
      <c r="E22" s="4">
        <f t="shared" si="7"/>
        <v>0.7380726811149888</v>
      </c>
      <c r="F22" s="4">
        <f t="shared" si="7"/>
        <v>0.78349174362420959</v>
      </c>
      <c r="G22" s="4">
        <f t="shared" si="7"/>
        <v>0.75638711469036379</v>
      </c>
      <c r="H22" s="4">
        <f t="shared" si="7"/>
        <v>0.77219389322356702</v>
      </c>
      <c r="I22" s="4">
        <f t="shared" si="7"/>
        <v>0.76508696570664048</v>
      </c>
      <c r="J22" s="264"/>
      <c r="K22" s="711"/>
      <c r="L22" s="711"/>
      <c r="M22" s="711"/>
      <c r="N22" s="711"/>
      <c r="O22" s="711"/>
      <c r="P22" s="711"/>
      <c r="Y22" s="145"/>
    </row>
    <row r="23" spans="2:25">
      <c r="B23" s="691"/>
      <c r="C23" s="14"/>
      <c r="D23" s="693"/>
      <c r="E23" s="693"/>
      <c r="F23" s="693"/>
      <c r="G23" s="693"/>
      <c r="H23" s="693"/>
      <c r="I23" s="693"/>
      <c r="J23" s="264"/>
      <c r="K23" s="711"/>
      <c r="L23" s="711"/>
      <c r="M23" s="711"/>
      <c r="N23" s="711"/>
      <c r="O23" s="711"/>
      <c r="P23" s="711"/>
      <c r="Y23" s="145"/>
    </row>
    <row r="24" spans="2:25">
      <c r="J24" s="264"/>
      <c r="Q24" s="132"/>
      <c r="Y24" s="145"/>
    </row>
    <row r="25" spans="2:25">
      <c r="C25" s="14"/>
      <c r="D25" s="15"/>
      <c r="E25" s="16"/>
      <c r="F25" s="15"/>
      <c r="G25" s="16"/>
      <c r="H25" s="15"/>
      <c r="I25" s="727"/>
      <c r="Q25" s="132"/>
      <c r="Y25" s="145"/>
    </row>
    <row r="26" spans="2:25" ht="20.25">
      <c r="B26" s="1276" t="s">
        <v>76</v>
      </c>
      <c r="C26" s="1276"/>
      <c r="D26" s="1276" t="s">
        <v>192</v>
      </c>
      <c r="E26" s="1276"/>
      <c r="F26" s="1276"/>
      <c r="G26" s="1276"/>
      <c r="H26" s="1276"/>
      <c r="I26" s="1240" t="s">
        <v>193</v>
      </c>
      <c r="J26" s="1240"/>
      <c r="K26" s="1240"/>
      <c r="L26" s="1240"/>
      <c r="M26" s="1240"/>
      <c r="N26" s="1240"/>
      <c r="O26" s="1240"/>
      <c r="P26" s="1240"/>
      <c r="Q26" s="132"/>
      <c r="Y26" s="145"/>
    </row>
    <row r="27" spans="2:25" ht="30.6" customHeight="1">
      <c r="B27" s="1270" t="s">
        <v>188</v>
      </c>
      <c r="C27" s="1270"/>
      <c r="D27" s="1279" t="s">
        <v>194</v>
      </c>
      <c r="E27" s="1279"/>
      <c r="F27" s="1279"/>
      <c r="G27" s="1279"/>
      <c r="H27" s="1279"/>
      <c r="I27" s="132"/>
      <c r="Q27" s="132"/>
      <c r="Y27" s="145"/>
    </row>
    <row r="28" spans="2:25" ht="41.25" customHeight="1">
      <c r="B28" s="1278" t="s">
        <v>189</v>
      </c>
      <c r="C28" s="1278"/>
      <c r="D28" s="1243" t="s">
        <v>195</v>
      </c>
      <c r="E28" s="1244"/>
      <c r="F28" s="1244"/>
      <c r="G28" s="1244"/>
      <c r="H28" s="1245"/>
      <c r="Q28" s="132"/>
      <c r="Y28" s="145"/>
    </row>
    <row r="29" spans="2:25" ht="28.35" customHeight="1">
      <c r="B29" s="1277"/>
      <c r="C29" s="1277"/>
      <c r="D29" s="1259"/>
      <c r="E29" s="1259"/>
      <c r="F29" s="1259"/>
      <c r="G29" s="1259"/>
      <c r="H29" s="1259"/>
      <c r="Q29" s="132"/>
      <c r="Y29" s="145"/>
    </row>
    <row r="30" spans="2:25" ht="30.6" customHeight="1">
      <c r="B30" s="1261"/>
      <c r="C30" s="1261"/>
      <c r="D30" s="1259"/>
      <c r="E30" s="1259"/>
      <c r="F30" s="1259"/>
      <c r="G30" s="1259"/>
      <c r="H30" s="1259"/>
      <c r="Q30" s="132"/>
      <c r="Y30" s="145"/>
    </row>
    <row r="31" spans="2:25" ht="41.25" customHeight="1">
      <c r="B31" s="1261"/>
      <c r="C31" s="1261"/>
      <c r="D31" s="1259"/>
      <c r="E31" s="1259"/>
      <c r="F31" s="1259"/>
      <c r="G31" s="1259"/>
      <c r="H31" s="1259"/>
      <c r="Q31" s="132"/>
      <c r="Y31" s="145"/>
    </row>
    <row r="32" spans="2:25" ht="28.35" hidden="1" customHeight="1">
      <c r="B32" s="1284"/>
      <c r="C32" s="1284"/>
      <c r="D32" s="1253"/>
      <c r="E32" s="1253"/>
      <c r="F32" s="1253"/>
      <c r="G32" s="1253"/>
      <c r="H32" s="1253"/>
      <c r="Q32" s="132"/>
      <c r="Y32" s="145"/>
    </row>
    <row r="33" spans="2:25" ht="56.25" customHeight="1">
      <c r="I33" s="146"/>
      <c r="J33" s="146"/>
      <c r="K33" s="146"/>
      <c r="L33" s="146"/>
      <c r="M33" s="146"/>
      <c r="N33" s="146"/>
      <c r="O33" s="146"/>
      <c r="P33" s="146"/>
      <c r="Q33" s="133"/>
      <c r="R33" s="146"/>
      <c r="S33" s="146"/>
      <c r="T33" s="146"/>
      <c r="U33" s="146"/>
      <c r="V33" s="146"/>
      <c r="W33" s="146"/>
      <c r="X33" s="146"/>
      <c r="Y33" s="147"/>
    </row>
    <row r="34" spans="2:25" ht="20.25">
      <c r="B34" s="1262" t="s">
        <v>196</v>
      </c>
      <c r="C34" s="1262"/>
      <c r="D34" s="1262"/>
      <c r="E34" s="1262"/>
      <c r="F34" s="1262"/>
      <c r="G34" s="1262"/>
      <c r="H34" s="1262"/>
      <c r="I34" s="1262"/>
      <c r="J34" s="1280" t="s">
        <v>197</v>
      </c>
      <c r="K34" s="1280"/>
      <c r="L34" s="1280"/>
      <c r="M34" s="1280"/>
      <c r="N34" s="1280"/>
      <c r="O34" s="1280"/>
      <c r="P34" s="1280"/>
      <c r="Q34" s="1280"/>
    </row>
    <row r="35" spans="2:25">
      <c r="B35" s="1241" t="s">
        <v>198</v>
      </c>
      <c r="C35" s="1241"/>
      <c r="D35" s="1241" t="s">
        <v>192</v>
      </c>
      <c r="E35" s="1241"/>
      <c r="F35" s="1241"/>
      <c r="G35" s="1241"/>
      <c r="H35" s="1241"/>
      <c r="I35" s="1241"/>
      <c r="J35" s="1019"/>
      <c r="K35" s="1010"/>
      <c r="L35" s="1010"/>
      <c r="M35" s="1010"/>
      <c r="N35" s="1010"/>
      <c r="O35" s="1010"/>
      <c r="P35" s="1010"/>
      <c r="Q35" s="1011"/>
    </row>
    <row r="36" spans="2:25" ht="43.5" customHeight="1">
      <c r="B36" s="1242" t="s">
        <v>199</v>
      </c>
      <c r="C36" s="1242"/>
      <c r="D36" s="1263" t="s">
        <v>200</v>
      </c>
      <c r="E36" s="1263"/>
      <c r="F36" s="1263"/>
      <c r="G36" s="1263"/>
      <c r="H36" s="1263"/>
      <c r="I36" s="1263"/>
      <c r="J36" s="1012"/>
      <c r="Q36" s="1013"/>
    </row>
    <row r="37" spans="2:25" ht="36.75" customHeight="1">
      <c r="B37" s="1260" t="s">
        <v>201</v>
      </c>
      <c r="C37" s="1260"/>
      <c r="D37" s="1264" t="s">
        <v>202</v>
      </c>
      <c r="E37" s="1264"/>
      <c r="F37" s="1264"/>
      <c r="G37" s="1264"/>
      <c r="H37" s="1264"/>
      <c r="I37" s="1264"/>
      <c r="J37" s="1012"/>
      <c r="Q37" s="1013"/>
    </row>
    <row r="38" spans="2:25" ht="12.75" customHeight="1">
      <c r="B38" s="1241" t="s">
        <v>203</v>
      </c>
      <c r="C38" s="1241"/>
      <c r="D38" s="1241"/>
      <c r="E38" s="1241"/>
      <c r="F38" s="1241"/>
      <c r="G38" s="1241"/>
      <c r="H38" s="1241"/>
      <c r="I38" s="1241"/>
      <c r="J38" s="1012"/>
      <c r="Q38" s="1013"/>
    </row>
    <row r="39" spans="2:25" ht="13.5" customHeight="1">
      <c r="B39" s="1254" t="s">
        <v>204</v>
      </c>
      <c r="C39" s="1254"/>
      <c r="D39" s="1254" t="s">
        <v>205</v>
      </c>
      <c r="E39" s="1254"/>
      <c r="F39" s="1254"/>
      <c r="G39" s="1255" t="s">
        <v>206</v>
      </c>
      <c r="H39" s="1255"/>
      <c r="I39" s="1255"/>
      <c r="J39" s="1012"/>
      <c r="Q39" s="1013"/>
      <c r="T39" s="11"/>
      <c r="U39" s="11"/>
    </row>
    <row r="40" spans="2:25">
      <c r="B40" s="1258" t="s">
        <v>207</v>
      </c>
      <c r="C40" s="1258"/>
      <c r="D40" s="1246">
        <v>0.16200000000000001</v>
      </c>
      <c r="E40" s="1246"/>
      <c r="F40" s="1246"/>
      <c r="G40" s="1281" t="s">
        <v>208</v>
      </c>
      <c r="H40" s="1282"/>
      <c r="I40" s="1283"/>
      <c r="Q40" s="1013"/>
      <c r="T40" s="11"/>
      <c r="U40" s="11"/>
    </row>
    <row r="41" spans="2:25">
      <c r="B41" s="1258" t="s">
        <v>209</v>
      </c>
      <c r="C41" s="1258"/>
      <c r="D41" s="1246" t="s">
        <v>210</v>
      </c>
      <c r="E41" s="1246"/>
      <c r="F41" s="1246"/>
      <c r="G41" s="1247" t="s">
        <v>211</v>
      </c>
      <c r="H41" s="1248"/>
      <c r="I41" s="1249"/>
      <c r="Q41" s="1013"/>
      <c r="T41" s="11"/>
      <c r="U41" s="11"/>
    </row>
    <row r="42" spans="2:25">
      <c r="B42" s="776" t="s">
        <v>212</v>
      </c>
      <c r="D42" s="1246">
        <v>0.27500000000000002</v>
      </c>
      <c r="E42" s="1246"/>
      <c r="F42" s="1246"/>
      <c r="G42" s="1247" t="s">
        <v>213</v>
      </c>
      <c r="H42" s="1248"/>
      <c r="I42" s="1249"/>
      <c r="J42" s="1071"/>
      <c r="Q42" s="1013"/>
      <c r="T42" s="11"/>
      <c r="U42" s="11"/>
    </row>
    <row r="43" spans="2:25">
      <c r="B43" s="1257" t="s">
        <v>214</v>
      </c>
      <c r="C43" s="1257"/>
      <c r="D43" s="1256">
        <v>0.193</v>
      </c>
      <c r="E43" s="1256"/>
      <c r="F43" s="1256"/>
      <c r="G43" s="1250" t="s">
        <v>213</v>
      </c>
      <c r="H43" s="1251"/>
      <c r="I43" s="1252"/>
      <c r="J43" s="1071"/>
      <c r="Q43" s="1013"/>
      <c r="T43" s="11"/>
      <c r="U43" s="11"/>
    </row>
    <row r="44" spans="2:25" ht="13.15" customHeight="1">
      <c r="B44" s="1273" t="s">
        <v>215</v>
      </c>
      <c r="C44" s="1272"/>
      <c r="D44" s="1271">
        <f>AVERAGE(D40:F43)</f>
        <v>0.21000000000000005</v>
      </c>
      <c r="E44" s="1272"/>
      <c r="F44" s="1272"/>
      <c r="G44" s="1274"/>
      <c r="H44" s="1275"/>
      <c r="I44" s="1275"/>
      <c r="J44" s="1012"/>
      <c r="Q44" s="1013"/>
      <c r="T44" s="11"/>
      <c r="U44" s="11"/>
    </row>
    <row r="45" spans="2:25" ht="20.25">
      <c r="B45" s="1240" t="s">
        <v>216</v>
      </c>
      <c r="C45" s="1240"/>
      <c r="D45" s="1240"/>
      <c r="E45" s="1240"/>
      <c r="F45" s="1240"/>
      <c r="G45" s="1240"/>
      <c r="H45" s="1240"/>
      <c r="I45" s="1240"/>
      <c r="J45" s="1012"/>
      <c r="Q45" s="1013"/>
      <c r="T45" s="11"/>
      <c r="U45" s="11"/>
    </row>
    <row r="46" spans="2:25" ht="14.25">
      <c r="B46" s="1074" t="s">
        <v>217</v>
      </c>
      <c r="C46" s="1008"/>
      <c r="D46" s="1009"/>
      <c r="E46" s="1010"/>
      <c r="F46" s="1010"/>
      <c r="G46" s="1010"/>
      <c r="H46" s="1010"/>
      <c r="I46" s="1010"/>
      <c r="J46" s="1012"/>
      <c r="Q46" s="1013"/>
      <c r="T46" s="11"/>
      <c r="U46" s="11"/>
    </row>
    <row r="47" spans="2:25">
      <c r="B47" s="1238" t="s">
        <v>218</v>
      </c>
      <c r="C47" s="1239"/>
      <c r="D47" s="1239"/>
      <c r="E47" s="1239"/>
      <c r="F47" s="1239"/>
      <c r="G47" s="1239"/>
      <c r="H47" s="1239"/>
      <c r="I47" s="1239"/>
      <c r="J47" s="1012"/>
      <c r="Q47" s="1013"/>
      <c r="T47" s="11"/>
      <c r="U47" s="11"/>
    </row>
    <row r="48" spans="2:25">
      <c r="B48" s="1238"/>
      <c r="C48" s="1239"/>
      <c r="D48" s="1239"/>
      <c r="E48" s="1239"/>
      <c r="F48" s="1239"/>
      <c r="G48" s="1239"/>
      <c r="H48" s="1239"/>
      <c r="I48" s="1239"/>
      <c r="J48" s="1012"/>
      <c r="Q48" s="1013"/>
    </row>
    <row r="49" spans="2:21">
      <c r="B49" s="1238"/>
      <c r="C49" s="1239"/>
      <c r="D49" s="1239"/>
      <c r="E49" s="1239"/>
      <c r="F49" s="1239"/>
      <c r="G49" s="1239"/>
      <c r="H49" s="1239"/>
      <c r="I49" s="1239"/>
      <c r="J49" s="1012"/>
      <c r="Q49" s="1013"/>
    </row>
    <row r="50" spans="2:21">
      <c r="B50" s="1238"/>
      <c r="C50" s="1239"/>
      <c r="D50" s="1239"/>
      <c r="E50" s="1239"/>
      <c r="F50" s="1239"/>
      <c r="G50" s="1239"/>
      <c r="H50" s="1239"/>
      <c r="I50" s="1239"/>
      <c r="J50" s="1012"/>
      <c r="Q50" s="1013"/>
    </row>
    <row r="51" spans="2:21">
      <c r="B51" s="1238"/>
      <c r="C51" s="1239"/>
      <c r="D51" s="1239"/>
      <c r="E51" s="1239"/>
      <c r="F51" s="1239"/>
      <c r="G51" s="1239"/>
      <c r="H51" s="1239"/>
      <c r="I51" s="1239"/>
      <c r="J51" s="1012"/>
      <c r="Q51" s="1013"/>
    </row>
    <row r="52" spans="2:21" ht="15">
      <c r="B52" s="1072" t="s">
        <v>219</v>
      </c>
      <c r="C52" s="1007"/>
      <c r="D52" s="1007"/>
      <c r="E52" s="1007"/>
      <c r="F52" s="1007"/>
      <c r="G52" s="1007"/>
      <c r="H52" s="1007"/>
      <c r="I52" s="1007"/>
      <c r="J52" s="1012"/>
      <c r="Q52" s="1013"/>
    </row>
    <row r="53" spans="2:21">
      <c r="B53" s="1416" t="s">
        <v>220</v>
      </c>
      <c r="C53" s="1417"/>
      <c r="D53" s="1417"/>
      <c r="E53" s="1417"/>
      <c r="F53" s="1417"/>
      <c r="G53" s="1417"/>
      <c r="H53" s="1417"/>
      <c r="I53" s="1417"/>
      <c r="J53" s="1012"/>
      <c r="Q53" s="1013"/>
    </row>
    <row r="54" spans="2:21" ht="14.25">
      <c r="B54" s="1073" t="s">
        <v>221</v>
      </c>
      <c r="C54" s="1006"/>
      <c r="D54" s="1006"/>
      <c r="E54" s="1006"/>
      <c r="F54" s="1006"/>
      <c r="G54" s="1006"/>
      <c r="H54" s="1006"/>
      <c r="I54" s="1006"/>
      <c r="J54" s="1012"/>
      <c r="Q54" s="1013"/>
    </row>
    <row r="55" spans="2:21" ht="14.25">
      <c r="B55" s="1072" t="s">
        <v>222</v>
      </c>
      <c r="C55" s="1006"/>
      <c r="D55" s="1006"/>
      <c r="E55" s="1006"/>
      <c r="F55" s="1006"/>
      <c r="G55" s="1006"/>
      <c r="H55" s="1006"/>
      <c r="I55" s="1006"/>
      <c r="J55" s="1012"/>
      <c r="Q55" s="1013"/>
    </row>
    <row r="56" spans="2:21" ht="13.15" customHeight="1">
      <c r="B56" s="1017"/>
      <c r="C56" s="1018"/>
      <c r="D56" s="1018"/>
      <c r="E56" s="1018"/>
      <c r="F56" s="1018"/>
      <c r="G56" s="1018"/>
      <c r="H56" s="1018"/>
      <c r="I56" s="1018"/>
      <c r="J56" s="1012"/>
      <c r="Q56" s="1013"/>
    </row>
    <row r="57" spans="2:21">
      <c r="B57" s="1006"/>
      <c r="C57" s="1006"/>
      <c r="D57" s="1006"/>
      <c r="E57" s="1006"/>
      <c r="F57" s="1006"/>
      <c r="G57" s="1006"/>
      <c r="H57" s="1006"/>
      <c r="I57" s="1006"/>
      <c r="J57" s="1012"/>
      <c r="Q57" s="1013"/>
      <c r="T57" s="11"/>
      <c r="U57" s="11"/>
    </row>
    <row r="58" spans="2:21">
      <c r="B58" s="1006"/>
      <c r="C58" s="1006"/>
      <c r="D58" s="1006"/>
      <c r="E58" s="1006"/>
      <c r="F58" s="1006"/>
      <c r="G58" s="1006"/>
      <c r="H58" s="1006"/>
      <c r="I58" s="1006"/>
      <c r="J58" s="1012"/>
      <c r="Q58" s="1013"/>
      <c r="T58" s="11"/>
      <c r="U58" s="11"/>
    </row>
    <row r="59" spans="2:21">
      <c r="B59" s="1006"/>
      <c r="C59" s="1006"/>
      <c r="D59" s="1006"/>
      <c r="E59" s="1006"/>
      <c r="F59" s="1006"/>
      <c r="G59" s="1006"/>
      <c r="H59" s="1006"/>
      <c r="I59" s="1006"/>
      <c r="J59" s="1012"/>
      <c r="Q59" s="1013"/>
      <c r="T59" s="11"/>
      <c r="U59" s="11"/>
    </row>
    <row r="60" spans="2:21">
      <c r="J60" s="1012"/>
      <c r="Q60" s="1013"/>
      <c r="T60" s="11"/>
      <c r="U60" s="11"/>
    </row>
    <row r="61" spans="2:21">
      <c r="J61" s="1012"/>
      <c r="Q61" s="1013"/>
      <c r="T61" s="11"/>
      <c r="U61" s="11"/>
    </row>
    <row r="62" spans="2:21">
      <c r="J62" s="1014"/>
      <c r="K62" s="1015"/>
      <c r="L62" s="1015"/>
      <c r="M62" s="1015"/>
      <c r="N62" s="1015"/>
      <c r="O62" s="1015"/>
      <c r="P62" s="1015"/>
      <c r="Q62" s="1016"/>
      <c r="T62" s="11"/>
      <c r="U62" s="11"/>
    </row>
    <row r="63" spans="2:21">
      <c r="T63" s="11"/>
      <c r="U63" s="11"/>
    </row>
    <row r="64" spans="2:21">
      <c r="T64" s="11"/>
      <c r="U64" s="11"/>
    </row>
    <row r="65" spans="15:21">
      <c r="T65" s="11"/>
      <c r="U65" s="11"/>
    </row>
    <row r="66" spans="15:21">
      <c r="T66" s="11"/>
      <c r="U66" s="11"/>
    </row>
    <row r="67" spans="15:21">
      <c r="O67" s="264"/>
      <c r="T67" s="11"/>
      <c r="U67" s="11"/>
    </row>
    <row r="68" spans="15:21">
      <c r="O68" s="264"/>
      <c r="T68" s="11"/>
      <c r="U68" s="11"/>
    </row>
    <row r="69" spans="15:21">
      <c r="O69" s="264"/>
      <c r="T69" s="11"/>
      <c r="U69" s="11"/>
    </row>
    <row r="70" spans="15:21">
      <c r="T70" s="11"/>
      <c r="U70" s="11"/>
    </row>
    <row r="71" spans="15:21">
      <c r="T71" s="11"/>
      <c r="U71" s="11"/>
    </row>
    <row r="72" spans="15:21">
      <c r="T72" s="11"/>
      <c r="U72" s="11"/>
    </row>
    <row r="73" spans="15:21">
      <c r="T73" s="11"/>
      <c r="U73" s="11"/>
    </row>
    <row r="74" spans="15:21">
      <c r="T74" s="11"/>
      <c r="U74" s="11"/>
    </row>
    <row r="75" spans="15:21">
      <c r="T75" s="11"/>
      <c r="U75" s="11"/>
    </row>
    <row r="76" spans="15:21">
      <c r="T76" s="11"/>
      <c r="U76" s="11"/>
    </row>
    <row r="77" spans="15:21"/>
    <row r="78" spans="15:21"/>
    <row r="79" spans="15:21"/>
    <row r="80" spans="15:21"/>
    <row r="81"/>
    <row r="82"/>
    <row r="83"/>
    <row r="84"/>
    <row r="85"/>
  </sheetData>
  <mergeCells count="51">
    <mergeCell ref="I26:P26"/>
    <mergeCell ref="D3:I3"/>
    <mergeCell ref="B27:C27"/>
    <mergeCell ref="D44:F44"/>
    <mergeCell ref="B44:C44"/>
    <mergeCell ref="G44:I44"/>
    <mergeCell ref="B26:C26"/>
    <mergeCell ref="B29:C29"/>
    <mergeCell ref="B40:C40"/>
    <mergeCell ref="B28:C28"/>
    <mergeCell ref="D27:H27"/>
    <mergeCell ref="D26:H26"/>
    <mergeCell ref="J34:Q34"/>
    <mergeCell ref="G40:I40"/>
    <mergeCell ref="G41:I41"/>
    <mergeCell ref="B32:C32"/>
    <mergeCell ref="Q2:Y2"/>
    <mergeCell ref="K3:P3"/>
    <mergeCell ref="B2:P2"/>
    <mergeCell ref="K16:P16"/>
    <mergeCell ref="B15:P15"/>
    <mergeCell ref="D16:I16"/>
    <mergeCell ref="D29:H29"/>
    <mergeCell ref="B37:C37"/>
    <mergeCell ref="B30:C30"/>
    <mergeCell ref="B31:C31"/>
    <mergeCell ref="B34:I34"/>
    <mergeCell ref="D36:I36"/>
    <mergeCell ref="D37:I37"/>
    <mergeCell ref="D35:I35"/>
    <mergeCell ref="D28:H28"/>
    <mergeCell ref="D42:F42"/>
    <mergeCell ref="G42:I42"/>
    <mergeCell ref="G43:I43"/>
    <mergeCell ref="D32:H32"/>
    <mergeCell ref="D40:F40"/>
    <mergeCell ref="D39:F39"/>
    <mergeCell ref="G39:I39"/>
    <mergeCell ref="D43:F43"/>
    <mergeCell ref="D41:F41"/>
    <mergeCell ref="B38:I38"/>
    <mergeCell ref="B39:C39"/>
    <mergeCell ref="B43:C43"/>
    <mergeCell ref="B41:C41"/>
    <mergeCell ref="D31:H31"/>
    <mergeCell ref="D30:H30"/>
    <mergeCell ref="B47:I51"/>
    <mergeCell ref="B53:I53"/>
    <mergeCell ref="B45:I45"/>
    <mergeCell ref="B35:C35"/>
    <mergeCell ref="B36:C36"/>
  </mergeCells>
  <phoneticPr fontId="0" type="noConversion"/>
  <conditionalFormatting sqref="B5:B7 B9:B12">
    <cfRule type="dataBar" priority="76">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19 B22:B23">
    <cfRule type="dataBar" priority="80">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7 D9:D12">
    <cfRule type="dataBar" priority="59">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8">
    <cfRule type="dataBar" priority="1">
      <dataBar>
        <cfvo type="min"/>
        <cfvo type="max"/>
        <color rgb="FF63C384"/>
      </dataBar>
      <extLst>
        <ext xmlns:x14="http://schemas.microsoft.com/office/spreadsheetml/2009/9/main" uri="{B025F937-C7B1-47D3-B67F-A62EFF666E3E}">
          <x14:id>{947CF1F4-8967-4BB7-AFD4-39ABE3770081}</x14:id>
        </ext>
      </extLst>
    </cfRule>
    <cfRule type="dataBar" priority="2">
      <dataBar>
        <cfvo type="min"/>
        <cfvo type="max"/>
        <color rgb="FF63C384"/>
      </dataBar>
      <extLst>
        <ext xmlns:x14="http://schemas.microsoft.com/office/spreadsheetml/2009/9/main" uri="{B025F937-C7B1-47D3-B67F-A62EFF666E3E}">
          <x14:id>{FE15B449-B5DC-40E5-92D4-C65D44A8213D}</x14:id>
        </ext>
      </extLst>
    </cfRule>
  </conditionalFormatting>
  <conditionalFormatting sqref="D19">
    <cfRule type="dataBar" priority="3">
      <dataBar>
        <cfvo type="min"/>
        <cfvo type="max"/>
        <color rgb="FF63C384"/>
      </dataBar>
      <extLst>
        <ext xmlns:x14="http://schemas.microsoft.com/office/spreadsheetml/2009/9/main" uri="{B025F937-C7B1-47D3-B67F-A62EFF666E3E}">
          <x14:id>{0307B8CA-2CC9-40E5-9850-AAC8060E8098}</x14:id>
        </ext>
      </extLst>
    </cfRule>
    <cfRule type="dataBar" priority="4">
      <dataBar>
        <cfvo type="min"/>
        <cfvo type="max"/>
        <color rgb="FF63C384"/>
      </dataBar>
      <extLst>
        <ext xmlns:x14="http://schemas.microsoft.com/office/spreadsheetml/2009/9/main" uri="{B025F937-C7B1-47D3-B67F-A62EFF666E3E}">
          <x14:id>{6C9F9CDC-4C6C-4A87-90C9-19BB2AE357C9}</x14:id>
        </ext>
      </extLst>
    </cfRule>
  </conditionalFormatting>
  <conditionalFormatting sqref="D22:D23 D22:I22">
    <cfRule type="dataBar" priority="17">
      <dataBar>
        <cfvo type="min"/>
        <cfvo type="max"/>
        <color rgb="FF63C384"/>
      </dataBar>
      <extLst>
        <ext xmlns:x14="http://schemas.microsoft.com/office/spreadsheetml/2009/9/main" uri="{B025F937-C7B1-47D3-B67F-A62EFF666E3E}">
          <x14:id>{3F107DCC-63A1-497B-B919-528218A545C1}</x14:id>
        </ext>
      </extLst>
    </cfRule>
  </conditionalFormatting>
  <conditionalFormatting sqref="D6:I6 D9:I10 D7 D5:F5">
    <cfRule type="dataBar" priority="33">
      <dataBar>
        <cfvo type="min"/>
        <cfvo type="max"/>
        <color rgb="FF63C384"/>
      </dataBar>
      <extLst>
        <ext xmlns:x14="http://schemas.microsoft.com/office/spreadsheetml/2009/9/main" uri="{B025F937-C7B1-47D3-B67F-A62EFF666E3E}">
          <x14:id>{83BDDF4E-0A7D-4B3E-A60B-AD52AC0FFA68}</x14:id>
        </ext>
      </extLst>
    </cfRule>
  </conditionalFormatting>
  <conditionalFormatting sqref="E5:E6 E9:E12">
    <cfRule type="dataBar" priority="58">
      <dataBar>
        <cfvo type="min"/>
        <cfvo type="max"/>
        <color rgb="FF63C384"/>
      </dataBar>
      <extLst>
        <ext xmlns:x14="http://schemas.microsoft.com/office/spreadsheetml/2009/9/main" uri="{B025F937-C7B1-47D3-B67F-A62EFF666E3E}">
          <x14:id>{740A2B96-C6E5-4177-AC04-9573B81E30EC}</x14:id>
        </ext>
      </extLst>
    </cfRule>
  </conditionalFormatting>
  <conditionalFormatting sqref="E7">
    <cfRule type="dataBar" priority="10">
      <dataBar>
        <cfvo type="min"/>
        <cfvo type="max"/>
        <color rgb="FF63C384"/>
      </dataBar>
      <extLst>
        <ext xmlns:x14="http://schemas.microsoft.com/office/spreadsheetml/2009/9/main" uri="{B025F937-C7B1-47D3-B67F-A62EFF666E3E}">
          <x14:id>{0D845A56-C3DB-46ED-8B87-F74D668E90B5}</x14:id>
        </ext>
      </extLst>
    </cfRule>
  </conditionalFormatting>
  <conditionalFormatting sqref="E18:E19 E22:E23 D22">
    <cfRule type="dataBar" priority="16">
      <dataBar>
        <cfvo type="min"/>
        <cfvo type="max"/>
        <color rgb="FF63C384"/>
      </dataBar>
      <extLst>
        <ext xmlns:x14="http://schemas.microsoft.com/office/spreadsheetml/2009/9/main" uri="{B025F937-C7B1-47D3-B67F-A62EFF666E3E}">
          <x14:id>{5AA7A103-2149-42E1-9BBB-48A01258D43D}</x14:id>
        </ext>
      </extLst>
    </cfRule>
  </conditionalFormatting>
  <conditionalFormatting sqref="E7:G7">
    <cfRule type="dataBar" priority="7">
      <dataBar>
        <cfvo type="min"/>
        <cfvo type="max"/>
        <color rgb="FF63C384"/>
      </dataBar>
      <extLst>
        <ext xmlns:x14="http://schemas.microsoft.com/office/spreadsheetml/2009/9/main" uri="{B025F937-C7B1-47D3-B67F-A62EFF666E3E}">
          <x14:id>{F045EF3E-EAB1-4FCF-9007-8688EF8A5346}</x14:id>
        </ext>
      </extLst>
    </cfRule>
  </conditionalFormatting>
  <conditionalFormatting sqref="E18:I19 D22:I23">
    <cfRule type="dataBar" priority="79">
      <dataBar>
        <cfvo type="min"/>
        <cfvo type="max"/>
        <color rgb="FF63C384"/>
      </dataBar>
      <extLst>
        <ext xmlns:x14="http://schemas.microsoft.com/office/spreadsheetml/2009/9/main" uri="{B025F937-C7B1-47D3-B67F-A62EFF666E3E}">
          <x14:id>{5BBC426E-7FA9-4F5C-AC78-B3996BA8F931}</x14:id>
        </ext>
      </extLst>
    </cfRule>
  </conditionalFormatting>
  <conditionalFormatting sqref="F5:F6 F9:F12">
    <cfRule type="dataBar" priority="57">
      <dataBar>
        <cfvo type="min"/>
        <cfvo type="max"/>
        <color rgb="FF63C384"/>
      </dataBar>
      <extLst>
        <ext xmlns:x14="http://schemas.microsoft.com/office/spreadsheetml/2009/9/main" uri="{B025F937-C7B1-47D3-B67F-A62EFF666E3E}">
          <x14:id>{5EFE30C4-0901-404E-9108-731E3BE4821E}</x14:id>
        </ext>
      </extLst>
    </cfRule>
  </conditionalFormatting>
  <conditionalFormatting sqref="F7">
    <cfRule type="dataBar" priority="9">
      <dataBar>
        <cfvo type="min"/>
        <cfvo type="max"/>
        <color rgb="FF63C384"/>
      </dataBar>
      <extLst>
        <ext xmlns:x14="http://schemas.microsoft.com/office/spreadsheetml/2009/9/main" uri="{B025F937-C7B1-47D3-B67F-A62EFF666E3E}">
          <x14:id>{D0731EF0-2DCE-4AD1-A3B3-CF9F1B9C6913}</x14:id>
        </ext>
      </extLst>
    </cfRule>
  </conditionalFormatting>
  <conditionalFormatting sqref="F18:F19 F22:F23">
    <cfRule type="dataBar" priority="15">
      <dataBar>
        <cfvo type="min"/>
        <cfvo type="max"/>
        <color rgb="FF63C384"/>
      </dataBar>
      <extLst>
        <ext xmlns:x14="http://schemas.microsoft.com/office/spreadsheetml/2009/9/main" uri="{B025F937-C7B1-47D3-B67F-A62EFF666E3E}">
          <x14:id>{5EE1521A-2483-44CA-9CCA-E5FC63E6246F}</x14:id>
        </ext>
      </extLst>
    </cfRule>
  </conditionalFormatting>
  <conditionalFormatting sqref="G5">
    <cfRule type="dataBar" priority="5">
      <dataBar>
        <cfvo type="min"/>
        <cfvo type="max"/>
        <color rgb="FF63C384"/>
      </dataBar>
      <extLst>
        <ext xmlns:x14="http://schemas.microsoft.com/office/spreadsheetml/2009/9/main" uri="{B025F937-C7B1-47D3-B67F-A62EFF666E3E}">
          <x14:id>{F019D5D7-FB0D-4AB5-9057-17A882062416}</x14:id>
        </ext>
      </extLst>
    </cfRule>
    <cfRule type="dataBar" priority="6">
      <dataBar>
        <cfvo type="min"/>
        <cfvo type="max"/>
        <color rgb="FF63C384"/>
      </dataBar>
      <extLst>
        <ext xmlns:x14="http://schemas.microsoft.com/office/spreadsheetml/2009/9/main" uri="{B025F937-C7B1-47D3-B67F-A62EFF666E3E}">
          <x14:id>{040E2AA4-2C2A-4400-9ABD-BB40BD391F5C}</x14:id>
        </ext>
      </extLst>
    </cfRule>
  </conditionalFormatting>
  <conditionalFormatting sqref="G7">
    <cfRule type="dataBar" priority="8">
      <dataBar>
        <cfvo type="min"/>
        <cfvo type="max"/>
        <color rgb="FF63C384"/>
      </dataBar>
      <extLst>
        <ext xmlns:x14="http://schemas.microsoft.com/office/spreadsheetml/2009/9/main" uri="{B025F937-C7B1-47D3-B67F-A62EFF666E3E}">
          <x14:id>{C93588CB-08C7-40BD-A11D-BCA6BC5C4F3B}</x14:id>
        </ext>
      </extLst>
    </cfRule>
  </conditionalFormatting>
  <conditionalFormatting sqref="G9:G12 G6">
    <cfRule type="dataBar" priority="56">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8:G19 G22:G23">
    <cfRule type="dataBar" priority="14">
      <dataBar>
        <cfvo type="min"/>
        <cfvo type="max"/>
        <color rgb="FF63C384"/>
      </dataBar>
      <extLst>
        <ext xmlns:x14="http://schemas.microsoft.com/office/spreadsheetml/2009/9/main" uri="{B025F937-C7B1-47D3-B67F-A62EFF666E3E}">
          <x14:id>{00DC50B7-1706-4DFB-A90F-9F95CB19CA6D}</x14:id>
        </ext>
      </extLst>
    </cfRule>
  </conditionalFormatting>
  <conditionalFormatting sqref="H9:H12 H6">
    <cfRule type="dataBar" priority="55">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8:H19 H22:H23">
    <cfRule type="dataBar" priority="13">
      <dataBar>
        <cfvo type="min"/>
        <cfvo type="max"/>
        <color rgb="FF63C384"/>
      </dataBar>
      <extLst>
        <ext xmlns:x14="http://schemas.microsoft.com/office/spreadsheetml/2009/9/main" uri="{B025F937-C7B1-47D3-B67F-A62EFF666E3E}">
          <x14:id>{EED505F4-1AE5-4E85-A25F-1DAC1EADC97D}</x14:id>
        </ext>
      </extLst>
    </cfRule>
  </conditionalFormatting>
  <conditionalFormatting sqref="I9:I12 I6">
    <cfRule type="dataBar" priority="54">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8:I19 I22:I23">
    <cfRule type="dataBar" priority="12">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7 K9:K12">
    <cfRule type="dataBar" priority="66">
      <dataBar>
        <cfvo type="min"/>
        <cfvo type="max"/>
        <color rgb="FF63C384"/>
      </dataBar>
      <extLst>
        <ext xmlns:x14="http://schemas.microsoft.com/office/spreadsheetml/2009/9/main" uri="{B025F937-C7B1-47D3-B67F-A62EFF666E3E}">
          <x14:id>{5A27FB5F-AC6D-40FD-B152-7630C251B9C8}</x14:id>
        </ext>
      </extLst>
    </cfRule>
  </conditionalFormatting>
  <conditionalFormatting sqref="K21:K22 K18:K19 L18">
    <cfRule type="dataBar" priority="24">
      <dataBar>
        <cfvo type="min"/>
        <cfvo type="max"/>
        <color rgb="FF63C384"/>
      </dataBar>
      <extLst>
        <ext xmlns:x14="http://schemas.microsoft.com/office/spreadsheetml/2009/9/main" uri="{B025F937-C7B1-47D3-B67F-A62EFF666E3E}">
          <x14:id>{60785AC6-7D44-400D-A2D8-9BBBDC5C548B}</x14:id>
        </ext>
      </extLst>
    </cfRule>
  </conditionalFormatting>
  <conditionalFormatting sqref="K21:O22 K18:O19">
    <cfRule type="dataBar" priority="44">
      <dataBar>
        <cfvo type="min"/>
        <cfvo type="max"/>
        <color rgb="FF63C384"/>
      </dataBar>
      <extLst>
        <ext xmlns:x14="http://schemas.microsoft.com/office/spreadsheetml/2009/9/main" uri="{B025F937-C7B1-47D3-B67F-A62EFF666E3E}">
          <x14:id>{BE9D279A-ADD8-46F4-B26E-577DEFFA037B}</x14:id>
        </ext>
      </extLst>
    </cfRule>
  </conditionalFormatting>
  <conditionalFormatting sqref="K21:O23 K18:O19">
    <cfRule type="dataBar" priority="36">
      <dataBar>
        <cfvo type="min"/>
        <cfvo type="max"/>
        <color rgb="FF63C384"/>
      </dataBar>
      <extLst>
        <ext xmlns:x14="http://schemas.microsoft.com/office/spreadsheetml/2009/9/main" uri="{B025F937-C7B1-47D3-B67F-A62EFF666E3E}">
          <x14:id>{CBC457F7-3DB8-46A0-988B-11CCF8FF31E5}</x14:id>
        </ext>
      </extLst>
    </cfRule>
    <cfRule type="dataBar" priority="72">
      <dataBar>
        <cfvo type="min"/>
        <cfvo type="max"/>
        <color rgb="FF63C384"/>
      </dataBar>
      <extLst>
        <ext xmlns:x14="http://schemas.microsoft.com/office/spreadsheetml/2009/9/main" uri="{B025F937-C7B1-47D3-B67F-A62EFF666E3E}">
          <x14:id>{589E11FE-E342-4D21-9EB3-CB0F15AE87A6}</x14:id>
        </ext>
      </extLst>
    </cfRule>
  </conditionalFormatting>
  <conditionalFormatting sqref="K5:P7 K9:P10">
    <cfRule type="dataBar" priority="39">
      <dataBar>
        <cfvo type="min"/>
        <cfvo type="max"/>
        <color rgb="FF63C384"/>
      </dataBar>
      <extLst>
        <ext xmlns:x14="http://schemas.microsoft.com/office/spreadsheetml/2009/9/main" uri="{B025F937-C7B1-47D3-B67F-A62EFF666E3E}">
          <x14:id>{1642E512-5328-4DB9-81F4-5A67EFFA2D7A}</x14:id>
        </ext>
      </extLst>
    </cfRule>
    <cfRule type="dataBar" priority="40">
      <dataBar>
        <cfvo type="min"/>
        <cfvo type="max"/>
        <color rgb="FF63C384"/>
      </dataBar>
      <extLst>
        <ext xmlns:x14="http://schemas.microsoft.com/office/spreadsheetml/2009/9/main" uri="{B025F937-C7B1-47D3-B67F-A62EFF666E3E}">
          <x14:id>{5832A442-CC22-41FC-AD17-86122538435B}</x14:id>
        </ext>
      </extLst>
    </cfRule>
  </conditionalFormatting>
  <conditionalFormatting sqref="K21:P22 K18:P19">
    <cfRule type="dataBar" priority="18">
      <dataBar>
        <cfvo type="min"/>
        <cfvo type="max"/>
        <color rgb="FF63C384"/>
      </dataBar>
      <extLst>
        <ext xmlns:x14="http://schemas.microsoft.com/office/spreadsheetml/2009/9/main" uri="{B025F937-C7B1-47D3-B67F-A62EFF666E3E}">
          <x14:id>{A85696C3-3FD4-4347-BBC8-6CEF041D9BC2}</x14:id>
        </ext>
      </extLst>
    </cfRule>
    <cfRule type="dataBar" priority="35">
      <dataBar>
        <cfvo type="min"/>
        <cfvo type="max"/>
        <color rgb="FF63C384"/>
      </dataBar>
      <extLst>
        <ext xmlns:x14="http://schemas.microsoft.com/office/spreadsheetml/2009/9/main" uri="{B025F937-C7B1-47D3-B67F-A62EFF666E3E}">
          <x14:id>{4CBCF4A4-EFBB-41F0-984E-0C4EF2D8C81C}</x14:id>
        </ext>
      </extLst>
    </cfRule>
    <cfRule type="dataBar" priority="37">
      <dataBar>
        <cfvo type="min"/>
        <cfvo type="max"/>
        <color rgb="FF63C384"/>
      </dataBar>
      <extLst>
        <ext xmlns:x14="http://schemas.microsoft.com/office/spreadsheetml/2009/9/main" uri="{B025F937-C7B1-47D3-B67F-A62EFF666E3E}">
          <x14:id>{9095667E-69EE-4811-BEDE-AFA010708C3B}</x14:id>
        </ext>
      </extLst>
    </cfRule>
    <cfRule type="dataBar" priority="42">
      <dataBar>
        <cfvo type="min"/>
        <cfvo type="max"/>
        <color rgb="FF63C384"/>
      </dataBar>
      <extLst>
        <ext xmlns:x14="http://schemas.microsoft.com/office/spreadsheetml/2009/9/main" uri="{B025F937-C7B1-47D3-B67F-A62EFF666E3E}">
          <x14:id>{00030478-9DDE-4C48-B970-8BFEEA7887D7}</x14:id>
        </ext>
      </extLst>
    </cfRule>
  </conditionalFormatting>
  <conditionalFormatting sqref="K21:P23 K18:P19">
    <cfRule type="dataBar" priority="38">
      <dataBar>
        <cfvo type="min"/>
        <cfvo type="max"/>
        <color rgb="FF63C384"/>
      </dataBar>
      <extLst>
        <ext xmlns:x14="http://schemas.microsoft.com/office/spreadsheetml/2009/9/main" uri="{B025F937-C7B1-47D3-B67F-A62EFF666E3E}">
          <x14:id>{EC7F1560-4E75-4756-AE37-09B82982D1AB}</x14:id>
        </ext>
      </extLst>
    </cfRule>
  </conditionalFormatting>
  <conditionalFormatting sqref="K23:P23">
    <cfRule type="dataBar" priority="34">
      <dataBar>
        <cfvo type="min"/>
        <cfvo type="max"/>
        <color rgb="FF63C384"/>
      </dataBar>
      <extLst>
        <ext xmlns:x14="http://schemas.microsoft.com/office/spreadsheetml/2009/9/main" uri="{B025F937-C7B1-47D3-B67F-A62EFF666E3E}">
          <x14:id>{1C8C07B2-BD7C-4727-B188-3301C366D456}</x14:id>
        </ext>
      </extLst>
    </cfRule>
    <cfRule type="dataBar" priority="43">
      <dataBar>
        <cfvo type="min"/>
        <cfvo type="max"/>
        <color rgb="FF63C384"/>
      </dataBar>
      <extLst>
        <ext xmlns:x14="http://schemas.microsoft.com/office/spreadsheetml/2009/9/main" uri="{B025F937-C7B1-47D3-B67F-A62EFF666E3E}">
          <x14:id>{FE2287FA-B40E-40F5-8AA8-262EA0BD4636}</x14:id>
        </ext>
      </extLst>
    </cfRule>
    <cfRule type="dataBar" priority="41">
      <dataBar>
        <cfvo type="min"/>
        <cfvo type="max"/>
        <color rgb="FF63C384"/>
      </dataBar>
      <extLst>
        <ext xmlns:x14="http://schemas.microsoft.com/office/spreadsheetml/2009/9/main" uri="{B025F937-C7B1-47D3-B67F-A62EFF666E3E}">
          <x14:id>{904D660B-3592-4479-B026-ACD9350A3616}</x14:id>
        </ext>
      </extLst>
    </cfRule>
    <cfRule type="dataBar" priority="25">
      <dataBar>
        <cfvo type="min"/>
        <cfvo type="max"/>
        <color rgb="FF63C384"/>
      </dataBar>
      <extLst>
        <ext xmlns:x14="http://schemas.microsoft.com/office/spreadsheetml/2009/9/main" uri="{B025F937-C7B1-47D3-B67F-A62EFF666E3E}">
          <x14:id>{624EF9E9-FC69-4C57-8B92-4F6320D43BF6}</x14:id>
        </ext>
      </extLst>
    </cfRule>
  </conditionalFormatting>
  <conditionalFormatting sqref="L5:L7 L9:L12">
    <cfRule type="dataBar" priority="64">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19 L21:L22">
    <cfRule type="dataBar" priority="23">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1:M12">
    <cfRule type="dataBar" priority="63">
      <dataBar>
        <cfvo type="min"/>
        <cfvo type="max"/>
        <color rgb="FF63C384"/>
      </dataBar>
      <extLst>
        <ext xmlns:x14="http://schemas.microsoft.com/office/spreadsheetml/2009/9/main" uri="{B025F937-C7B1-47D3-B67F-A62EFF666E3E}">
          <x14:id>{CF921376-951B-44A1-A35C-F489AA25CABD}</x14:id>
        </ext>
      </extLst>
    </cfRule>
  </conditionalFormatting>
  <conditionalFormatting sqref="M21:M22">
    <cfRule type="dataBar" priority="22">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7 M9:P10">
    <cfRule type="dataBar" priority="45">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1:N12">
    <cfRule type="dataBar" priority="62">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8:N19 N21:N22">
    <cfRule type="dataBar" priority="21">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1:O12">
    <cfRule type="dataBar" priority="6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8:O19 O21:O22">
    <cfRule type="dataBar" priority="20">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1:P12">
    <cfRule type="dataBar" priority="60">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8:P19 P21:P22">
    <cfRule type="dataBar" priority="19">
      <dataBar>
        <cfvo type="min"/>
        <cfvo type="max"/>
        <color rgb="FF63C384"/>
      </dataBar>
      <extLst>
        <ext xmlns:x14="http://schemas.microsoft.com/office/spreadsheetml/2009/9/main" uri="{B025F937-C7B1-47D3-B67F-A62EFF666E3E}">
          <x14:id>{00154FAC-2C70-4EF2-A308-BA8404420986}</x14:id>
        </ext>
      </extLst>
    </cfRule>
  </conditionalFormatting>
  <conditionalFormatting sqref="P18:P19 P21:P23">
    <cfRule type="dataBar" priority="67">
      <dataBar>
        <cfvo type="min"/>
        <cfvo type="max"/>
        <color rgb="FF63C384"/>
      </dataBar>
      <extLst>
        <ext xmlns:x14="http://schemas.microsoft.com/office/spreadsheetml/2009/9/main" uri="{B025F937-C7B1-47D3-B67F-A62EFF666E3E}">
          <x14:id>{A1AE97AD-5647-4F9F-A100-6C15C1895B18}</x14:id>
        </ext>
      </extLst>
    </cfRule>
  </conditionalFormatting>
  <conditionalFormatting sqref="P23">
    <cfRule type="dataBar" priority="30">
      <dataBar>
        <cfvo type="min"/>
        <cfvo type="max"/>
        <color rgb="FF63C384"/>
      </dataBar>
      <extLst>
        <ext xmlns:x14="http://schemas.microsoft.com/office/spreadsheetml/2009/9/main" uri="{B025F937-C7B1-47D3-B67F-A62EFF666E3E}">
          <x14:id>{E25FCA19-5187-42DE-ACC0-FA124C432602}</x14:id>
        </ext>
      </extLst>
    </cfRule>
    <cfRule type="dataBar" priority="29">
      <dataBar>
        <cfvo type="min"/>
        <cfvo type="max"/>
        <color rgb="FF63C384"/>
      </dataBar>
      <extLst>
        <ext xmlns:x14="http://schemas.microsoft.com/office/spreadsheetml/2009/9/main" uri="{B025F937-C7B1-47D3-B67F-A62EFF666E3E}">
          <x14:id>{CA13E27F-6DDD-451D-9981-58C3F52DF064}</x14:id>
        </ext>
      </extLst>
    </cfRule>
    <cfRule type="dataBar" priority="28">
      <dataBar>
        <cfvo type="min"/>
        <cfvo type="max"/>
        <color rgb="FF63C384"/>
      </dataBar>
      <extLst>
        <ext xmlns:x14="http://schemas.microsoft.com/office/spreadsheetml/2009/9/main" uri="{B025F937-C7B1-47D3-B67F-A62EFF666E3E}">
          <x14:id>{ECB61C77-2C43-48F4-8A50-733EB85A1CEE}</x14:id>
        </ext>
      </extLst>
    </cfRule>
    <cfRule type="dataBar" priority="27">
      <dataBar>
        <cfvo type="min"/>
        <cfvo type="max"/>
        <color rgb="FF63C384"/>
      </dataBar>
      <extLst>
        <ext xmlns:x14="http://schemas.microsoft.com/office/spreadsheetml/2009/9/main" uri="{B025F937-C7B1-47D3-B67F-A62EFF666E3E}">
          <x14:id>{657DE2C6-03A4-4EDE-99AD-798EB4DDA82C}</x14:id>
        </ext>
      </extLst>
    </cfRule>
    <cfRule type="dataBar" priority="26">
      <dataBar>
        <cfvo type="min"/>
        <cfvo type="max"/>
        <color rgb="FF63C384"/>
      </dataBar>
      <extLst>
        <ext xmlns:x14="http://schemas.microsoft.com/office/spreadsheetml/2009/9/main" uri="{B025F937-C7B1-47D3-B67F-A62EFF666E3E}">
          <x14:id>{44059659-321E-4F16-A91E-71EB67462F51}</x14:id>
        </ext>
      </extLst>
    </cfRule>
  </conditionalFormatting>
  <hyperlinks>
    <hyperlink ref="B43" r:id="rId1" xr:uid="{58E59C3F-1F78-4D84-B760-EF36F9E58421}"/>
    <hyperlink ref="B41" r:id="rId2" xr:uid="{E8E5D414-286F-4552-8943-40B634592A60}"/>
    <hyperlink ref="B40" r:id="rId3" xr:uid="{4C6F71A1-E46E-41AD-8C59-EE2CCDDE75F2}"/>
    <hyperlink ref="B42" r:id="rId4" xr:uid="{25741DAE-59C5-4ED4-9E4B-C6B168832946}"/>
  </hyperlinks>
  <pageMargins left="0.75" right="0.75" top="1" bottom="1" header="0" footer="0"/>
  <pageSetup orientation="landscape" r:id="rId5"/>
  <headerFooter alignWithMargins="0"/>
  <drawing r:id="rId6"/>
  <legacyDrawing r:id="rId7"/>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B5:B7 B9:B12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B18:B19 B22:B23</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D5:D7 D9:D12</xm:sqref>
        </x14:conditionalFormatting>
        <x14:conditionalFormatting xmlns:xm="http://schemas.microsoft.com/office/excel/2006/main">
          <x14:cfRule type="dataBar" id="{947CF1F4-8967-4BB7-AFD4-39ABE3770081}">
            <x14:dataBar minLength="0" maxLength="100" gradient="0">
              <x14:cfvo type="autoMin"/>
              <x14:cfvo type="autoMax"/>
              <x14:negativeFillColor rgb="FFFF0000"/>
              <x14:axisColor rgb="FF000000"/>
            </x14:dataBar>
          </x14:cfRule>
          <x14:cfRule type="dataBar" id="{FE15B449-B5DC-40E5-92D4-C65D44A8213D}">
            <x14:dataBar minLength="0" maxLength="100" gradient="0">
              <x14:cfvo type="autoMin"/>
              <x14:cfvo type="autoMax"/>
              <x14:negativeFillColor rgb="FFFF0000"/>
              <x14:axisColor rgb="FF000000"/>
            </x14:dataBar>
          </x14:cfRule>
          <xm:sqref>D18</xm:sqref>
        </x14:conditionalFormatting>
        <x14:conditionalFormatting xmlns:xm="http://schemas.microsoft.com/office/excel/2006/main">
          <x14:cfRule type="dataBar" id="{0307B8CA-2CC9-40E5-9850-AAC8060E8098}">
            <x14:dataBar minLength="0" maxLength="100" gradient="0">
              <x14:cfvo type="autoMin"/>
              <x14:cfvo type="autoMax"/>
              <x14:negativeFillColor rgb="FFFF0000"/>
              <x14:axisColor rgb="FF000000"/>
            </x14:dataBar>
          </x14:cfRule>
          <x14:cfRule type="dataBar" id="{6C9F9CDC-4C6C-4A87-90C9-19BB2AE357C9}">
            <x14:dataBar minLength="0" maxLength="100" gradient="0">
              <x14:cfvo type="autoMin"/>
              <x14:cfvo type="autoMax"/>
              <x14:negativeFillColor rgb="FFFF0000"/>
              <x14:axisColor rgb="FF000000"/>
            </x14:dataBar>
          </x14:cfRule>
          <xm:sqref>D19</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D22:D23 D22:I22</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D6:I6 D9:I10 D7 D5:F5</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E5:E6 E9:E12</xm:sqref>
        </x14:conditionalFormatting>
        <x14:conditionalFormatting xmlns:xm="http://schemas.microsoft.com/office/excel/2006/main">
          <x14:cfRule type="dataBar" id="{0D845A56-C3DB-46ED-8B87-F74D668E90B5}">
            <x14:dataBar minLength="0" maxLength="100" gradient="0">
              <x14:cfvo type="autoMin"/>
              <x14:cfvo type="autoMax"/>
              <x14:negativeFillColor rgb="FFFF0000"/>
              <x14:axisColor rgb="FF000000"/>
            </x14:dataBar>
          </x14:cfRule>
          <xm:sqref>E7</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E18:E19 E22:E23 D22</xm:sqref>
        </x14:conditionalFormatting>
        <x14:conditionalFormatting xmlns:xm="http://schemas.microsoft.com/office/excel/2006/main">
          <x14:cfRule type="dataBar" id="{F045EF3E-EAB1-4FCF-9007-8688EF8A5346}">
            <x14:dataBar minLength="0" maxLength="100" gradient="0">
              <x14:cfvo type="autoMin"/>
              <x14:cfvo type="autoMax"/>
              <x14:negativeFillColor rgb="FFFF0000"/>
              <x14:axisColor rgb="FF000000"/>
            </x14:dataBar>
          </x14:cfRule>
          <xm:sqref>E7:G7</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E18:I19 D22:I23</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F5:F6 F9:F12</xm:sqref>
        </x14:conditionalFormatting>
        <x14:conditionalFormatting xmlns:xm="http://schemas.microsoft.com/office/excel/2006/main">
          <x14:cfRule type="dataBar" id="{D0731EF0-2DCE-4AD1-A3B3-CF9F1B9C6913}">
            <x14:dataBar minLength="0" maxLength="100" gradient="0">
              <x14:cfvo type="autoMin"/>
              <x14:cfvo type="autoMax"/>
              <x14:negativeFillColor rgb="FFFF0000"/>
              <x14:axisColor rgb="FF000000"/>
            </x14:dataBar>
          </x14:cfRule>
          <xm:sqref>F7</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F18:F19 F22:F23</xm:sqref>
        </x14:conditionalFormatting>
        <x14:conditionalFormatting xmlns:xm="http://schemas.microsoft.com/office/excel/2006/main">
          <x14:cfRule type="dataBar" id="{F019D5D7-FB0D-4AB5-9057-17A882062416}">
            <x14:dataBar minLength="0" maxLength="100" gradient="0">
              <x14:cfvo type="autoMin"/>
              <x14:cfvo type="autoMax"/>
              <x14:negativeFillColor rgb="FFFF0000"/>
              <x14:axisColor rgb="FF000000"/>
            </x14:dataBar>
          </x14:cfRule>
          <x14:cfRule type="dataBar" id="{040E2AA4-2C2A-4400-9ABD-BB40BD391F5C}">
            <x14:dataBar minLength="0" maxLength="100" gradient="0">
              <x14:cfvo type="autoMin"/>
              <x14:cfvo type="autoMax"/>
              <x14:negativeFillColor rgb="FFFF0000"/>
              <x14:axisColor rgb="FF000000"/>
            </x14:dataBar>
          </x14:cfRule>
          <xm:sqref>G5</xm:sqref>
        </x14:conditionalFormatting>
        <x14:conditionalFormatting xmlns:xm="http://schemas.microsoft.com/office/excel/2006/main">
          <x14:cfRule type="dataBar" id="{C93588CB-08C7-40BD-A11D-BCA6BC5C4F3B}">
            <x14:dataBar minLength="0" maxLength="100" gradient="0">
              <x14:cfvo type="autoMin"/>
              <x14:cfvo type="autoMax"/>
              <x14:negativeFillColor rgb="FFFF0000"/>
              <x14:axisColor rgb="FF000000"/>
            </x14:dataBar>
          </x14:cfRule>
          <xm:sqref>G7</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G9:G12 G6</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G18:G19 G22:G23</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H9:H12 H6</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H18:H19 H22:H23</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I9:I12 I6</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I18:I19 I22:I23</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K5:K7 K9:K12</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K21:K22 K18:K19 L18</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K21:O22 K18:O19</xm:sqref>
        </x14:conditionalFormatting>
        <x14:conditionalFormatting xmlns:xm="http://schemas.microsoft.com/office/excel/2006/main">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K21:O23 K18:O19</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K5:P7 K9:P10</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m:sqref>K21:P22 K18:P19</xm:sqref>
        </x14:conditionalFormatting>
        <x14:conditionalFormatting xmlns:xm="http://schemas.microsoft.com/office/excel/2006/main">
          <x14:cfRule type="dataBar" id="{EC7F1560-4E75-4756-AE37-09B82982D1AB}">
            <x14:dataBar minLength="0" maxLength="100" gradient="0">
              <x14:cfvo type="autoMin"/>
              <x14:cfvo type="autoMax"/>
              <x14:negativeFillColor rgb="FFFF0000"/>
              <x14:axisColor rgb="FF000000"/>
            </x14:dataBar>
          </x14:cfRule>
          <xm:sqref>K21:P23 K18:P19</xm:sqref>
        </x14:conditionalFormatting>
        <x14:conditionalFormatting xmlns:xm="http://schemas.microsoft.com/office/excel/2006/main">
          <x14:cfRule type="dataBar" id="{1C8C07B2-BD7C-4727-B188-3301C366D456}">
            <x14:dataBar minLength="0" maxLength="100" gradient="0">
              <x14:cfvo type="autoMin"/>
              <x14:cfvo type="autoMax"/>
              <x14:negativeFillColor rgb="FFFF0000"/>
              <x14:axisColor rgb="FF000000"/>
            </x14:dataBar>
          </x14:cfRule>
          <x14:cfRule type="dataBar" id="{FE2287FA-B40E-40F5-8AA8-262EA0BD463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904D660B-3592-4479-B026-ACD9350A361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4EF9E9-FC69-4C57-8B92-4F6320D43BF6}">
            <x14:dataBar minLength="0" maxLength="100" gradient="0">
              <x14:cfvo type="autoMin"/>
              <x14:cfvo type="autoMax"/>
              <x14:negativeFillColor rgb="FFFF0000"/>
              <x14:axisColor rgb="FF000000"/>
            </x14:dataBar>
          </x14:cfRule>
          <xm:sqref>K23:P23</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L5:L7 L9:L12</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L18:L19 L21:L22</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M21:M22</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M5:P7 M9:P10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N18:N19 N21:N22</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O18:O19 O21:O22</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P11:P12</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P18:P19 P21:P22</xm:sqref>
        </x14:conditionalFormatting>
        <x14:conditionalFormatting xmlns:xm="http://schemas.microsoft.com/office/excel/2006/main">
          <x14:cfRule type="dataBar" id="{A1AE97AD-5647-4F9F-A100-6C15C1895B18}">
            <x14:dataBar minLength="0" maxLength="100" gradient="0">
              <x14:cfvo type="autoMin"/>
              <x14:cfvo type="autoMax"/>
              <x14:negativeFillColor rgb="FFFF0000"/>
              <x14:axisColor rgb="FF000000"/>
            </x14:dataBar>
          </x14:cfRule>
          <xm:sqref>P18:P19 P21:P23</xm:sqref>
        </x14:conditionalFormatting>
        <x14:conditionalFormatting xmlns:xm="http://schemas.microsoft.com/office/excel/2006/main">
          <x14:cfRule type="dataBar" id="{E25FCA19-5187-42DE-ACC0-FA124C43260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A13E27F-6DDD-451D-9981-58C3F52DF064}">
            <x14:dataBar minLength="0" maxLength="100" gradient="0">
              <x14:cfvo type="autoMin"/>
              <x14:cfvo type="autoMax"/>
              <x14:negativeFillColor rgb="FFFF0000"/>
              <x14:axisColor rgb="FF000000"/>
            </x14:dataBar>
          </x14:cfRule>
          <x14:cfRule type="dataBar" id="{ECB61C77-2C43-48F4-8A50-733EB85A1CEE}">
            <x14:dataBar minLength="0" maxLength="100" gradient="0">
              <x14:cfvo type="autoMin"/>
              <x14:cfvo type="autoMax"/>
              <x14:negativeFillColor rgb="FFFF0000"/>
              <x14:axisColor rgb="FF000000"/>
            </x14:dataBar>
          </x14:cfRule>
          <x14:cfRule type="dataBar" id="{657DE2C6-03A4-4EDE-99AD-798EB4DDA82C}">
            <x14:dataBar minLength="0" maxLength="100" gradient="0">
              <x14:cfvo type="autoMin"/>
              <x14:cfvo type="autoMax"/>
              <x14:negativeFillColor rgb="FFFF0000"/>
              <x14:axisColor rgb="FF000000"/>
            </x14:dataBar>
          </x14:cfRule>
          <x14:cfRule type="dataBar" id="{44059659-321E-4F16-A91E-71EB67462F51}">
            <x14:dataBar minLength="0" maxLength="100" gradient="0">
              <x14:cfvo type="autoMin"/>
              <x14:cfvo type="autoMax"/>
              <x14:negativeFillColor rgb="FFFF0000"/>
              <x14:axisColor rgb="FF000000"/>
            </x14:dataBar>
          </x14:cfRule>
          <xm:sqref>P23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N74"/>
  <sheetViews>
    <sheetView showGridLines="0" zoomScaleNormal="100" workbookViewId="0">
      <selection activeCell="D6" sqref="D6:H6"/>
    </sheetView>
  </sheetViews>
  <sheetFormatPr defaultColWidth="11.42578125" defaultRowHeight="12.7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4" ht="15">
      <c r="B1" s="174" t="s">
        <v>223</v>
      </c>
      <c r="C1" s="175" t="s">
        <v>224</v>
      </c>
      <c r="D1" s="1299" t="s">
        <v>192</v>
      </c>
      <c r="E1" s="1299"/>
      <c r="F1" s="1299"/>
      <c r="G1" s="1299"/>
      <c r="H1" s="1299"/>
    </row>
    <row r="2" spans="2:14" ht="81.75" customHeight="1">
      <c r="B2" s="855"/>
      <c r="C2" s="320" t="e" vm="2">
        <v>#VALUE!</v>
      </c>
      <c r="D2" s="1296" t="s">
        <v>225</v>
      </c>
      <c r="E2" s="1297"/>
      <c r="F2" s="1297"/>
      <c r="G2" s="1297"/>
      <c r="H2" s="1298"/>
    </row>
    <row r="3" spans="2:14" ht="81.75" customHeight="1">
      <c r="B3" s="176"/>
      <c r="C3" s="321" t="e" vm="3">
        <v>#VALUE!</v>
      </c>
      <c r="D3" s="1296" t="s">
        <v>226</v>
      </c>
      <c r="E3" s="1297"/>
      <c r="F3" s="1297"/>
      <c r="G3" s="1297"/>
      <c r="H3" s="1298"/>
    </row>
    <row r="4" spans="2:14" ht="81.75" customHeight="1">
      <c r="B4" s="176"/>
      <c r="C4" s="773" t="e" vm="4">
        <v>#VALUE!</v>
      </c>
      <c r="D4" s="1296" t="s">
        <v>227</v>
      </c>
      <c r="E4" s="1297"/>
      <c r="F4" s="1297"/>
      <c r="G4" s="1297"/>
      <c r="H4" s="1298"/>
    </row>
    <row r="5" spans="2:14" ht="81.75" customHeight="1">
      <c r="B5" s="855"/>
      <c r="C5" s="573" t="e" vm="5">
        <v>#VALUE!</v>
      </c>
      <c r="D5" s="1296" t="s">
        <v>228</v>
      </c>
      <c r="E5" s="1297"/>
      <c r="F5" s="1297"/>
      <c r="G5" s="1297"/>
      <c r="H5" s="1298"/>
    </row>
    <row r="6" spans="2:14" ht="81.75" customHeight="1">
      <c r="B6" s="855"/>
      <c r="C6" s="774" t="e" vm="6">
        <v>#VALUE!</v>
      </c>
      <c r="D6" s="1296" t="s">
        <v>229</v>
      </c>
      <c r="E6" s="1297"/>
      <c r="F6" s="1297"/>
      <c r="G6" s="1297"/>
      <c r="H6" s="1298"/>
      <c r="L6" s="2"/>
    </row>
    <row r="7" spans="2:14">
      <c r="B7" s="11"/>
    </row>
    <row r="8" spans="2:14" ht="36" customHeight="1">
      <c r="B8" s="173" t="s">
        <v>230</v>
      </c>
      <c r="C8" s="319" t="e" vm="1">
        <f>OP!E2</f>
        <v>#VALUE!</v>
      </c>
      <c r="D8" s="320" t="e" vm="2">
        <f>C2</f>
        <v>#VALUE!</v>
      </c>
      <c r="E8" s="321" t="e" vm="3">
        <f>C3</f>
        <v>#VALUE!</v>
      </c>
      <c r="F8" s="322" t="e" vm="4">
        <f>C4</f>
        <v>#VALUE!</v>
      </c>
      <c r="G8" s="573" t="e" vm="5">
        <f>C5</f>
        <v>#VALUE!</v>
      </c>
      <c r="H8" s="324" t="e" vm="6">
        <f>C6</f>
        <v>#VALUE!</v>
      </c>
      <c r="I8" s="169" t="s">
        <v>231</v>
      </c>
      <c r="J8" s="537" t="s">
        <v>232</v>
      </c>
    </row>
    <row r="9" spans="2:14" ht="16.5" customHeight="1">
      <c r="B9" s="167" t="s">
        <v>233</v>
      </c>
      <c r="C9" s="156"/>
      <c r="D9" s="157"/>
      <c r="E9" s="157"/>
      <c r="F9" s="157"/>
      <c r="G9" s="157"/>
      <c r="H9" s="158"/>
      <c r="I9" s="159" t="str">
        <f>IFERROR(AVERAGE(C9:H9),"")</f>
        <v/>
      </c>
      <c r="J9" s="512"/>
      <c r="L9" s="1288" t="s">
        <v>234</v>
      </c>
      <c r="M9" s="1289"/>
      <c r="N9" s="1290"/>
    </row>
    <row r="10" spans="2:14" ht="13.5" customHeight="1">
      <c r="B10" s="166" t="s">
        <v>235</v>
      </c>
      <c r="C10" s="155" cm="1">
        <f t="array" aca="1" ref="C10" ca="1">_FV(C8,"Market cap",TRUE)/1000000</f>
        <v>13110.99</v>
      </c>
      <c r="D10" s="155" cm="1">
        <f t="array" aca="1" ref="D10" ca="1">_FV(D8,"Capitalização de mercado",TRUE)/1000000</f>
        <v>139455.9</v>
      </c>
      <c r="E10" s="155" cm="1">
        <f t="array" aca="1" ref="E10" ca="1">_FV(E8,"Capitalização de mercado",TRUE)/1000000</f>
        <v>3112.5059999999999</v>
      </c>
      <c r="F10" s="155" cm="1">
        <f t="array" aca="1" ref="F10" ca="1">_FV(F8,"Capitalização de mercado",TRUE)/1000000</f>
        <v>2853.3119999999999</v>
      </c>
      <c r="G10" s="155" cm="1">
        <f t="array" aca="1" ref="G10" ca="1">_FV(G8,"Capitalização de mercado",TRUE)/1000000</f>
        <v>1283.501567</v>
      </c>
      <c r="H10" s="155" cm="1">
        <f t="array" aca="1" ref="H10" ca="1">_FV(H8,"Capitalização de mercado",TRUE)/1000000</f>
        <v>27294.51</v>
      </c>
      <c r="I10" s="467">
        <f ca="1">IFERROR(AVERAGE(C10:H10),"")</f>
        <v>31185.119927833333</v>
      </c>
      <c r="J10" s="513">
        <f ca="1">SQRT((C10-I10)^2)</f>
        <v>18074.129927833332</v>
      </c>
      <c r="L10" s="1291"/>
      <c r="M10" s="1286" t="s">
        <v>236</v>
      </c>
      <c r="N10" s="1287"/>
    </row>
    <row r="11" spans="2:14">
      <c r="B11" s="438" t="s">
        <v>237</v>
      </c>
      <c r="C11" s="439">
        <f>C56</f>
        <v>2984.2</v>
      </c>
      <c r="D11" s="439">
        <f t="shared" ref="D11:H11" si="0">D56</f>
        <v>4622.8819999999996</v>
      </c>
      <c r="E11" s="439">
        <f>E56</f>
        <v>3615.17</v>
      </c>
      <c r="F11" s="439">
        <f t="shared" si="0"/>
        <v>4197.4589999999998</v>
      </c>
      <c r="G11" s="439">
        <f t="shared" si="0"/>
        <v>830.24</v>
      </c>
      <c r="H11" s="439">
        <f t="shared" si="0"/>
        <v>19566</v>
      </c>
      <c r="I11" s="468">
        <f t="shared" ref="I11:I40" si="1">IFERROR(AVERAGE(C11:H11),"")</f>
        <v>5969.3251666666665</v>
      </c>
      <c r="J11" s="514">
        <f t="shared" ref="J11:J49" si="2">SQRT((C11-I11)^2)</f>
        <v>2985.1251666666667</v>
      </c>
      <c r="L11" s="1291"/>
      <c r="M11" s="1286"/>
      <c r="N11" s="1287"/>
    </row>
    <row r="12" spans="2:14" ht="16.5" customHeight="1" thickBot="1">
      <c r="B12" s="167" t="s">
        <v>238</v>
      </c>
      <c r="C12" s="172"/>
      <c r="D12" s="172"/>
      <c r="E12" s="172"/>
      <c r="F12" s="172"/>
      <c r="G12" s="172"/>
      <c r="H12" s="172"/>
      <c r="I12" s="469" t="str">
        <f t="shared" si="1"/>
        <v/>
      </c>
      <c r="J12" s="515"/>
      <c r="L12" s="1285"/>
      <c r="M12" s="1286" t="s">
        <v>239</v>
      </c>
      <c r="N12" s="1287"/>
    </row>
    <row r="13" spans="2:14">
      <c r="B13" s="857" t="s">
        <v>240</v>
      </c>
      <c r="C13" s="1037">
        <f>C56/C55-1</f>
        <v>0.1464904529563178</v>
      </c>
      <c r="D13" s="447">
        <f t="shared" ref="D13:H13" si="3">D56/D55-1</f>
        <v>0.12080952491785846</v>
      </c>
      <c r="E13" s="447">
        <f t="shared" si="3"/>
        <v>9.4832572690132899E-2</v>
      </c>
      <c r="F13" s="447">
        <f t="shared" si="3"/>
        <v>0.13444837837837831</v>
      </c>
      <c r="G13" s="447">
        <f t="shared" si="3"/>
        <v>0.10797645897001318</v>
      </c>
      <c r="H13" s="447">
        <f t="shared" si="3"/>
        <v>-3.8573043093705461E-2</v>
      </c>
      <c r="I13" s="470">
        <f t="shared" si="1"/>
        <v>9.4330724136499192E-2</v>
      </c>
      <c r="J13" s="516">
        <f t="shared" si="2"/>
        <v>5.2159728819818604E-2</v>
      </c>
      <c r="L13" s="1285"/>
      <c r="M13" s="1286"/>
      <c r="N13" s="1287"/>
    </row>
    <row r="14" spans="2:14">
      <c r="B14" s="856" t="s">
        <v>241</v>
      </c>
      <c r="C14" s="1038">
        <f>C56/C54-1</f>
        <v>1.0717856151069145</v>
      </c>
      <c r="D14" s="441">
        <f t="shared" ref="D14:H14" si="4">D56/D54-1</f>
        <v>0.39386178616655609</v>
      </c>
      <c r="E14" s="441">
        <f t="shared" si="4"/>
        <v>0.31996392633377635</v>
      </c>
      <c r="F14" s="441">
        <f t="shared" si="4"/>
        <v>0.49909249999999994</v>
      </c>
      <c r="G14" s="441">
        <f t="shared" si="4"/>
        <v>0.34669910786699099</v>
      </c>
      <c r="H14" s="441">
        <f t="shared" si="4"/>
        <v>0.10886936809294423</v>
      </c>
      <c r="I14" s="471">
        <f t="shared" si="1"/>
        <v>0.45671205059453035</v>
      </c>
      <c r="J14" s="517">
        <f t="shared" si="2"/>
        <v>0.61507356451238415</v>
      </c>
      <c r="L14" s="1292"/>
      <c r="M14" s="1286" t="s">
        <v>242</v>
      </c>
      <c r="N14" s="1287"/>
    </row>
    <row r="15" spans="2:14">
      <c r="B15" s="856" t="s">
        <v>127</v>
      </c>
      <c r="C15" s="1038">
        <f>C59/C56</f>
        <v>0.29952382548086592</v>
      </c>
      <c r="D15" s="449">
        <f t="shared" ref="D15:H15" si="5">D59/D56</f>
        <v>0.22966019898409695</v>
      </c>
      <c r="E15" s="449">
        <f t="shared" si="5"/>
        <v>0.21234686059023503</v>
      </c>
      <c r="F15" s="449">
        <f t="shared" si="5"/>
        <v>9.7758429564172036E-2</v>
      </c>
      <c r="G15" s="449">
        <f t="shared" si="5"/>
        <v>0.11134129890152245</v>
      </c>
      <c r="H15" s="449">
        <f t="shared" si="5"/>
        <v>0.24256363078810181</v>
      </c>
      <c r="I15" s="471">
        <f>IFERROR(AVERAGE(C15:H15),"")</f>
        <v>0.19886570738483234</v>
      </c>
      <c r="J15" s="518">
        <f t="shared" si="2"/>
        <v>0.10065811809603359</v>
      </c>
      <c r="L15" s="1293"/>
      <c r="M15" s="1294"/>
      <c r="N15" s="1295"/>
    </row>
    <row r="16" spans="2:14">
      <c r="B16" s="856" t="s">
        <v>243</v>
      </c>
      <c r="C16" s="1038">
        <f>C62/C56</f>
        <v>0.20505696669124057</v>
      </c>
      <c r="D16" s="441">
        <f t="shared" ref="D16:H16" si="6">D62/D56</f>
        <v>0.14515317501074004</v>
      </c>
      <c r="E16" s="441">
        <f t="shared" si="6"/>
        <v>0.15901603520719634</v>
      </c>
      <c r="F16" s="441">
        <f t="shared" si="6"/>
        <v>6.4274600418967764E-2</v>
      </c>
      <c r="G16" s="441">
        <f t="shared" si="6"/>
        <v>5.661013682790518E-2</v>
      </c>
      <c r="H16" s="441">
        <f t="shared" si="6"/>
        <v>0.15710927118470816</v>
      </c>
      <c r="I16" s="471">
        <f t="shared" si="1"/>
        <v>0.13120336422345966</v>
      </c>
      <c r="J16" s="517">
        <f t="shared" si="2"/>
        <v>7.3853602467780916E-2</v>
      </c>
    </row>
    <row r="17" spans="1:10" ht="13.5" thickBot="1">
      <c r="B17" s="448" t="s">
        <v>244</v>
      </c>
      <c r="C17" s="449">
        <f>C62/C74</f>
        <v>0.19037733184083905</v>
      </c>
      <c r="D17" s="449">
        <f>D62/D74</f>
        <v>0.17308719619666585</v>
      </c>
      <c r="E17" s="449">
        <f t="shared" ref="E17:G17" si="7">E62/E74</f>
        <v>0.31968480291840912</v>
      </c>
      <c r="F17" s="449">
        <f t="shared" si="7"/>
        <v>0.20582448425628463</v>
      </c>
      <c r="G17" s="449">
        <f t="shared" si="7"/>
        <v>0.14428242517267845</v>
      </c>
      <c r="H17" s="449">
        <f>H62/H74</f>
        <v>0.19200499687695191</v>
      </c>
      <c r="I17" s="471">
        <f t="shared" si="1"/>
        <v>0.20421020621030483</v>
      </c>
      <c r="J17" s="518">
        <f t="shared" si="2"/>
        <v>1.3832874369465786E-2</v>
      </c>
    </row>
    <row r="18" spans="1:10" ht="13.5" thickBot="1">
      <c r="B18" s="438" t="s">
        <v>245</v>
      </c>
      <c r="C18" s="442">
        <f>(1+C61/(C59+C60))*C59/(C73+C74-C65)</f>
        <v>0.20502331100769972</v>
      </c>
      <c r="D18" s="442">
        <f t="shared" ref="D18:H18" si="8">(1+D61/(D59+D60))*D59/(D73+D74-D65)</f>
        <v>0.1400058084275754</v>
      </c>
      <c r="E18" s="442">
        <f t="shared" si="8"/>
        <v>0.52399667201573286</v>
      </c>
      <c r="F18" s="442">
        <f t="shared" si="8"/>
        <v>6.8594604835783557E-2</v>
      </c>
      <c r="G18" s="442">
        <f t="shared" si="8"/>
        <v>7.7276067014768496E-2</v>
      </c>
      <c r="H18" s="442">
        <f t="shared" si="8"/>
        <v>0.16869195558334057</v>
      </c>
      <c r="I18" s="472">
        <f t="shared" si="1"/>
        <v>0.19726473648081677</v>
      </c>
      <c r="J18" s="519">
        <f t="shared" si="2"/>
        <v>7.7585745268829442E-3</v>
      </c>
    </row>
    <row r="19" spans="1:10" ht="16.5" thickBot="1">
      <c r="B19" s="167" t="s">
        <v>246</v>
      </c>
      <c r="C19" s="172"/>
      <c r="D19" s="172"/>
      <c r="E19" s="172"/>
      <c r="F19" s="172"/>
      <c r="G19" s="172"/>
      <c r="H19" s="172"/>
      <c r="I19" s="473" t="str">
        <f t="shared" si="1"/>
        <v/>
      </c>
      <c r="J19" s="515"/>
    </row>
    <row r="20" spans="1:10" ht="13.5" thickBot="1">
      <c r="B20" s="166" t="s">
        <v>75</v>
      </c>
      <c r="C20" s="450">
        <f>C73/C70</f>
        <v>0.16999018429487181</v>
      </c>
      <c r="D20" s="450">
        <f t="shared" ref="D20:H20" si="9">D73/D70</f>
        <v>0.34142909876769045</v>
      </c>
      <c r="E20" s="450">
        <f t="shared" si="9"/>
        <v>0.12479538599778493</v>
      </c>
      <c r="F20" s="450">
        <f t="shared" si="9"/>
        <v>1</v>
      </c>
      <c r="G20" s="450">
        <f t="shared" si="9"/>
        <v>0.69968654927629759</v>
      </c>
      <c r="H20" s="450">
        <f t="shared" si="9"/>
        <v>0.20547779631106922</v>
      </c>
      <c r="I20" s="474">
        <f>IFERROR(AVERAGE(C20:H20),"")</f>
        <v>0.42356316910795228</v>
      </c>
      <c r="J20" s="520">
        <f t="shared" si="2"/>
        <v>0.25357298481308044</v>
      </c>
    </row>
    <row r="21" spans="1:10">
      <c r="B21" s="440" t="s">
        <v>247</v>
      </c>
      <c r="C21" s="854" t="s">
        <v>248</v>
      </c>
      <c r="D21" s="443">
        <f t="shared" ref="D21:H21" si="10">(D73-D65)/D58</f>
        <v>1.5162547619047619</v>
      </c>
      <c r="E21" s="443" t="s">
        <v>248</v>
      </c>
      <c r="F21" s="443">
        <f t="shared" si="10"/>
        <v>1.2993151098939422</v>
      </c>
      <c r="G21" s="443">
        <f t="shared" si="10"/>
        <v>2.985272303454122</v>
      </c>
      <c r="H21" s="443">
        <f t="shared" si="10"/>
        <v>0.69690972750799207</v>
      </c>
      <c r="I21" s="474">
        <f t="shared" si="1"/>
        <v>1.6244379756902048</v>
      </c>
      <c r="J21" s="521" t="s">
        <v>74</v>
      </c>
    </row>
    <row r="22" spans="1:10" ht="13.5" thickBot="1">
      <c r="B22" s="451" t="s">
        <v>249</v>
      </c>
      <c r="C22" s="858">
        <f t="shared" ref="C22:H22" si="11">-C58/C60</f>
        <v>51.100818965517242</v>
      </c>
      <c r="D22" s="464">
        <f>-D58/D60</f>
        <v>-6.3989274178804321</v>
      </c>
      <c r="E22" s="464">
        <f t="shared" si="11"/>
        <v>42.397841458876066</v>
      </c>
      <c r="F22" s="464">
        <f t="shared" si="11"/>
        <v>172.05679999999998</v>
      </c>
      <c r="G22" s="464">
        <f t="shared" si="11"/>
        <v>6.5884816753926705</v>
      </c>
      <c r="H22" s="464">
        <f t="shared" si="11"/>
        <v>16.021951219512196</v>
      </c>
      <c r="I22" s="475">
        <f t="shared" si="1"/>
        <v>46.961160983569613</v>
      </c>
      <c r="J22" s="522">
        <f t="shared" si="2"/>
        <v>4.1396579819476287</v>
      </c>
    </row>
    <row r="23" spans="1:10" ht="16.5" thickBot="1">
      <c r="B23" s="167" t="s">
        <v>201</v>
      </c>
      <c r="C23" s="172"/>
      <c r="D23" s="172"/>
      <c r="E23" s="172"/>
      <c r="F23" s="172"/>
      <c r="G23" s="172"/>
      <c r="H23" s="172"/>
      <c r="I23" s="476"/>
      <c r="J23" s="515"/>
    </row>
    <row r="24" spans="1:10" ht="13.5" thickBot="1">
      <c r="B24" s="444" t="s">
        <v>250</v>
      </c>
      <c r="C24" s="445">
        <f>C68/C72</f>
        <v>1.888118811881188</v>
      </c>
      <c r="D24" s="445">
        <f>D68/D72</f>
        <v>1.8404032169537652</v>
      </c>
      <c r="E24" s="445">
        <f t="shared" ref="E24:H24" si="12">E68/E72</f>
        <v>0.86772168297689989</v>
      </c>
      <c r="F24" s="445">
        <f t="shared" si="12"/>
        <v>1.6429691857222533</v>
      </c>
      <c r="G24" s="445">
        <f t="shared" si="12"/>
        <v>2.4494821346865772</v>
      </c>
      <c r="H24" s="445">
        <f t="shared" si="12"/>
        <v>1.3822268566794114</v>
      </c>
      <c r="I24" s="477">
        <f t="shared" si="1"/>
        <v>1.6784869814833492</v>
      </c>
      <c r="J24" s="523">
        <f t="shared" si="2"/>
        <v>0.20963183039783884</v>
      </c>
    </row>
    <row r="25" spans="1:10" ht="13.5" thickBot="1">
      <c r="B25" s="451" t="s">
        <v>251</v>
      </c>
      <c r="C25" s="859">
        <f>(C65+C66)/C72</f>
        <v>1.3112861386138612</v>
      </c>
      <c r="D25" s="452">
        <f>(D65+D66)/D72</f>
        <v>0.93151591840694259</v>
      </c>
      <c r="E25" s="452">
        <f t="shared" ref="E25:H25" si="13">(E65+E66)/E72</f>
        <v>0.62086381121320233</v>
      </c>
      <c r="F25" s="452">
        <f t="shared" si="13"/>
        <v>0.4534511037074001</v>
      </c>
      <c r="G25" s="452">
        <f t="shared" si="13"/>
        <v>0.95740609791606002</v>
      </c>
      <c r="H25" s="452">
        <f t="shared" si="13"/>
        <v>0.58776503302050742</v>
      </c>
      <c r="I25" s="475">
        <f t="shared" si="1"/>
        <v>0.81038135047966231</v>
      </c>
      <c r="J25" s="524">
        <f t="shared" si="2"/>
        <v>0.50090478813419892</v>
      </c>
    </row>
    <row r="26" spans="1:10" ht="16.5" thickBot="1">
      <c r="B26" s="167" t="s">
        <v>252</v>
      </c>
      <c r="C26" s="172"/>
      <c r="D26" s="172"/>
      <c r="E26" s="172"/>
      <c r="F26" s="172"/>
      <c r="G26" s="172"/>
      <c r="H26" s="172"/>
      <c r="I26" s="476" t="str">
        <f t="shared" si="1"/>
        <v/>
      </c>
      <c r="J26" s="515"/>
    </row>
    <row r="27" spans="1:10" ht="13.5" thickBot="1">
      <c r="B27" s="444" t="s">
        <v>253</v>
      </c>
      <c r="C27" s="790">
        <f>C57/C67</f>
        <v>1.5097820282537984</v>
      </c>
      <c r="D27" s="445">
        <f>D57/D67</f>
        <v>1.180927178030545</v>
      </c>
      <c r="E27" s="445">
        <f t="shared" ref="E27:H27" si="14">E57/E67</f>
        <v>2.03804399854487</v>
      </c>
      <c r="F27" s="445">
        <f t="shared" si="14"/>
        <v>1.5164533546457744</v>
      </c>
      <c r="G27" s="445">
        <f t="shared" si="14"/>
        <v>0.85019075090722995</v>
      </c>
      <c r="H27" s="445">
        <f t="shared" si="14"/>
        <v>1.0195604395604396</v>
      </c>
      <c r="I27" s="477">
        <f t="shared" si="1"/>
        <v>1.3524929583237764</v>
      </c>
      <c r="J27" s="523">
        <f t="shared" si="2"/>
        <v>0.15728906993002201</v>
      </c>
    </row>
    <row r="28" spans="1:10">
      <c r="B28" s="448" t="s">
        <v>254</v>
      </c>
      <c r="C28" s="791">
        <f>C56/C66</f>
        <v>9.1652334152334145</v>
      </c>
      <c r="D28" s="452">
        <f>D56/D66</f>
        <v>11.410269257634807</v>
      </c>
      <c r="E28" s="452">
        <f>E56/E66</f>
        <v>10.078252627470659</v>
      </c>
      <c r="F28" s="452">
        <f t="shared" ref="F28:H28" si="15">F56/F66</f>
        <v>11.163454787234041</v>
      </c>
      <c r="G28" s="452">
        <f>G56/G66</f>
        <v>23.912442396313367</v>
      </c>
      <c r="H28" s="452">
        <f t="shared" si="15"/>
        <v>16.999131190269331</v>
      </c>
      <c r="I28" s="474">
        <f t="shared" si="1"/>
        <v>13.788130612359268</v>
      </c>
      <c r="J28" s="524">
        <f t="shared" si="2"/>
        <v>4.6228971971258535</v>
      </c>
    </row>
    <row r="29" spans="1:10">
      <c r="A29" s="11" t="s">
        <v>255</v>
      </c>
      <c r="B29" s="440" t="s">
        <v>256</v>
      </c>
      <c r="C29" s="791">
        <f>C57/C71</f>
        <v>1.2703635074064306</v>
      </c>
      <c r="D29" s="443">
        <f t="shared" ref="D29:H29" si="16">D57/D71</f>
        <v>1.8770109599218858</v>
      </c>
      <c r="E29" s="443">
        <f t="shared" si="16"/>
        <v>11.98704954954955</v>
      </c>
      <c r="F29" s="443">
        <f t="shared" si="16"/>
        <v>2.8271140319889754</v>
      </c>
      <c r="G29" s="443">
        <f t="shared" si="16"/>
        <v>2.0541816546762592</v>
      </c>
      <c r="H29" s="443">
        <f t="shared" si="16"/>
        <v>2.1086363636363634</v>
      </c>
      <c r="I29" s="474">
        <f t="shared" si="1"/>
        <v>3.6873926778632442</v>
      </c>
      <c r="J29" s="521">
        <f t="shared" si="2"/>
        <v>2.4170291704568134</v>
      </c>
    </row>
    <row r="30" spans="1:10" ht="13.5" thickBot="1">
      <c r="B30" s="448" t="s">
        <v>257</v>
      </c>
      <c r="C30" s="452">
        <f>C56/C69</f>
        <v>2.7568176779247651</v>
      </c>
      <c r="D30" s="452">
        <f t="shared" ref="D30:H30" si="17">D56/D69</f>
        <v>5.6360045401290595</v>
      </c>
      <c r="E30" s="452">
        <f t="shared" si="17"/>
        <v>1.9889799735915494</v>
      </c>
      <c r="F30" s="452">
        <f t="shared" si="17"/>
        <v>6.9548127442907015</v>
      </c>
      <c r="G30" s="452">
        <f t="shared" si="17"/>
        <v>7.8015410637098288</v>
      </c>
      <c r="H30" s="452">
        <f t="shared" si="17"/>
        <v>3.6633589215502713</v>
      </c>
      <c r="I30" s="474">
        <f t="shared" si="1"/>
        <v>4.8002524868660288</v>
      </c>
      <c r="J30" s="524">
        <f t="shared" si="2"/>
        <v>2.0434348089412637</v>
      </c>
    </row>
    <row r="31" spans="1:10" ht="13.5" thickBot="1">
      <c r="B31" s="438" t="s">
        <v>258</v>
      </c>
      <c r="C31" s="453">
        <f>C56/C70</f>
        <v>0.59779647435897432</v>
      </c>
      <c r="D31" s="453">
        <f t="shared" ref="D31:H31" si="18">D56/D70</f>
        <v>0.60707170575745317</v>
      </c>
      <c r="E31" s="453">
        <f t="shared" si="18"/>
        <v>0.839392229659917</v>
      </c>
      <c r="F31" s="453">
        <f t="shared" si="18"/>
        <v>1.2090615257742174</v>
      </c>
      <c r="G31" s="453">
        <f t="shared" si="18"/>
        <v>0.76540979072554616</v>
      </c>
      <c r="H31" s="453">
        <f t="shared" si="18"/>
        <v>0.4729857132496918</v>
      </c>
      <c r="I31" s="474">
        <f t="shared" si="1"/>
        <v>0.74861957325430006</v>
      </c>
      <c r="J31" s="525">
        <f t="shared" si="2"/>
        <v>0.15082309889532575</v>
      </c>
    </row>
    <row r="32" spans="1:10" ht="16.5" thickBot="1">
      <c r="B32" s="168" t="s">
        <v>114</v>
      </c>
      <c r="C32" s="172"/>
      <c r="D32" s="172"/>
      <c r="E32" s="172"/>
      <c r="F32" s="172"/>
      <c r="G32" s="172"/>
      <c r="H32" s="172"/>
      <c r="I32" s="478" t="str">
        <f t="shared" si="1"/>
        <v/>
      </c>
      <c r="J32" s="515"/>
    </row>
    <row r="33" spans="2:11" ht="13.5" thickBot="1">
      <c r="B33" s="166" t="s">
        <v>259</v>
      </c>
      <c r="C33" s="462">
        <f ca="1">C10/C62</f>
        <v>21.425601906097253</v>
      </c>
      <c r="D33" s="463">
        <f ca="1">D10/D62</f>
        <v>207.82488308947791</v>
      </c>
      <c r="E33" s="463">
        <f t="shared" ref="E33:H33" ca="1" si="19">E10/E62</f>
        <v>5.4142780106806754</v>
      </c>
      <c r="F33" s="463">
        <f t="shared" ca="1" si="19"/>
        <v>10.576048037362392</v>
      </c>
      <c r="G33" s="463">
        <f t="shared" ca="1" si="19"/>
        <v>27.308543978723403</v>
      </c>
      <c r="H33" s="463">
        <f t="shared" ca="1" si="19"/>
        <v>8.8791509433962261</v>
      </c>
      <c r="I33" s="477">
        <f t="shared" ca="1" si="1"/>
        <v>46.904750994289635</v>
      </c>
      <c r="J33" s="526">
        <f t="shared" ca="1" si="2"/>
        <v>25.479149088192383</v>
      </c>
    </row>
    <row r="34" spans="2:11" ht="13.5" thickBot="1">
      <c r="B34" s="440" t="s">
        <v>255</v>
      </c>
      <c r="C34" s="446">
        <f ca="1">C10/C56</f>
        <v>4.3934689363983646</v>
      </c>
      <c r="D34" s="446">
        <f t="shared" ref="D34:H34" ca="1" si="20">D10/D56</f>
        <v>30.166441626673578</v>
      </c>
      <c r="E34" s="446">
        <f t="shared" ca="1" si="20"/>
        <v>0.86095702276794728</v>
      </c>
      <c r="F34" s="446">
        <f t="shared" ca="1" si="20"/>
        <v>0.67977126161327606</v>
      </c>
      <c r="G34" s="446">
        <f t="shared" ca="1" si="20"/>
        <v>1.5459404112063981</v>
      </c>
      <c r="H34" s="446">
        <f t="shared" ca="1" si="20"/>
        <v>1.3949969334559951</v>
      </c>
      <c r="I34" s="474">
        <f t="shared" ca="1" si="1"/>
        <v>6.506929365352593</v>
      </c>
      <c r="J34" s="527">
        <f t="shared" ca="1" si="2"/>
        <v>2.1134604289542285</v>
      </c>
    </row>
    <row r="35" spans="2:11" ht="13.5" thickBot="1">
      <c r="B35" s="448" t="s">
        <v>260</v>
      </c>
      <c r="C35" s="465">
        <f ca="1">C10/C74</f>
        <v>4.0789489239667907</v>
      </c>
      <c r="D35" s="465">
        <f t="shared" ref="D35:H35" ca="1" si="21">D10/D74</f>
        <v>35.971826313857605</v>
      </c>
      <c r="E35" s="465">
        <f t="shared" ca="1" si="21"/>
        <v>1.7308623987899279</v>
      </c>
      <c r="F35" s="465">
        <f t="shared" ca="1" si="21"/>
        <v>2.1768096327598059</v>
      </c>
      <c r="G35" s="465">
        <f t="shared" ca="1" si="21"/>
        <v>3.9401429531849579</v>
      </c>
      <c r="H35" s="465">
        <f t="shared" ca="1" si="21"/>
        <v>1.7048413491567769</v>
      </c>
      <c r="I35" s="474">
        <f t="shared" ca="1" si="1"/>
        <v>8.2672385952859795</v>
      </c>
      <c r="J35" s="528">
        <f t="shared" ca="1" si="2"/>
        <v>4.1882896713191888</v>
      </c>
    </row>
    <row r="36" spans="2:11" ht="13.5" thickBot="1">
      <c r="B36" s="440" t="s">
        <v>261</v>
      </c>
      <c r="C36" s="446">
        <f ca="1">(C73+C10-C65)/C56</f>
        <v>4.343134508410964</v>
      </c>
      <c r="D36" s="446">
        <f t="shared" ref="D36:G36" ca="1" si="22">(D73+D10-D65)/D56</f>
        <v>30.579707853239604</v>
      </c>
      <c r="E36" s="446">
        <f t="shared" ca="1" si="22"/>
        <v>0.67802233366619002</v>
      </c>
      <c r="F36" s="446">
        <f t="shared" ca="1" si="22"/>
        <v>1.4786688803869197</v>
      </c>
      <c r="G36" s="446">
        <f t="shared" ca="1" si="22"/>
        <v>2.224659817643091</v>
      </c>
      <c r="H36" s="446">
        <f ca="1">(H73+H10-H65)/H56</f>
        <v>1.6289742410303585</v>
      </c>
      <c r="I36" s="474">
        <f t="shared" ca="1" si="1"/>
        <v>6.8221946057295213</v>
      </c>
      <c r="J36" s="527">
        <f t="shared" ca="1" si="2"/>
        <v>2.4790600973185573</v>
      </c>
    </row>
    <row r="37" spans="2:11" ht="13.5" thickBot="1">
      <c r="B37" s="860" t="s">
        <v>262</v>
      </c>
      <c r="C37" s="461">
        <f ca="1">(C73+C10-C65)/C58</f>
        <v>10.932396150611662</v>
      </c>
      <c r="D37" s="461">
        <f t="shared" ref="D37:H37" ca="1" si="23">(D73+D10-D65)/D58</f>
        <v>112.19554047619047</v>
      </c>
      <c r="E37" s="461">
        <f t="shared" ca="1" si="23"/>
        <v>2.1515988869675131</v>
      </c>
      <c r="F37" s="461">
        <f t="shared" ca="1" si="23"/>
        <v>2.404884898475387</v>
      </c>
      <c r="G37" s="461">
        <f t="shared" ca="1" si="23"/>
        <v>9.7849203591862697</v>
      </c>
      <c r="H37" s="461">
        <f t="shared" ca="1" si="23"/>
        <v>4.8519576800121778</v>
      </c>
      <c r="I37" s="475">
        <f t="shared" ca="1" si="1"/>
        <v>23.720216408573918</v>
      </c>
      <c r="J37" s="529">
        <f t="shared" ca="1" si="2"/>
        <v>12.787820257962256</v>
      </c>
    </row>
    <row r="38" spans="2:11" ht="16.5" thickBot="1">
      <c r="B38" s="168" t="s">
        <v>263</v>
      </c>
      <c r="C38" s="172"/>
      <c r="D38" s="172"/>
      <c r="E38" s="172"/>
      <c r="F38" s="172"/>
      <c r="G38" s="172"/>
      <c r="H38" s="172"/>
      <c r="I38" s="479" t="str">
        <f t="shared" si="1"/>
        <v/>
      </c>
      <c r="J38" s="515"/>
    </row>
    <row r="39" spans="2:11" ht="13.5" thickBot="1">
      <c r="B39" s="166" t="s">
        <v>51</v>
      </c>
      <c r="C39" s="466">
        <f>OP!M19</f>
        <v>0.81399999999999995</v>
      </c>
      <c r="D39" s="466">
        <f>512.35/2560</f>
        <v>0.20013671875</v>
      </c>
      <c r="E39" s="466">
        <f>364.44/358.58</f>
        <v>1.0163422388309442</v>
      </c>
      <c r="F39" s="466">
        <f>57.89/69.02</f>
        <v>0.83874239350912783</v>
      </c>
      <c r="G39" s="466">
        <f>45.54/45.93</f>
        <v>0.99150881776616584</v>
      </c>
      <c r="H39" s="466">
        <f>70.22/122.59</f>
        <v>0.57280365445794923</v>
      </c>
      <c r="I39" s="470">
        <f t="shared" si="1"/>
        <v>0.73892230388569791</v>
      </c>
      <c r="J39" s="530">
        <f t="shared" si="2"/>
        <v>7.5077696114302039E-2</v>
      </c>
    </row>
    <row r="40" spans="2:11" ht="13.5" thickBot="1">
      <c r="B40" s="454" t="s">
        <v>264</v>
      </c>
      <c r="C40" s="851">
        <f>OP!M21</f>
        <v>1.07</v>
      </c>
      <c r="D40" s="455">
        <v>1.19</v>
      </c>
      <c r="E40" s="455">
        <v>1.1200000000000001</v>
      </c>
      <c r="F40" s="455">
        <v>1.41</v>
      </c>
      <c r="G40" s="455">
        <v>1.41</v>
      </c>
      <c r="H40" s="455">
        <v>1.1299999999999999</v>
      </c>
      <c r="I40" s="480">
        <f t="shared" si="1"/>
        <v>1.2216666666666667</v>
      </c>
      <c r="J40" s="531">
        <f t="shared" si="2"/>
        <v>0.15166666666666662</v>
      </c>
    </row>
    <row r="41" spans="2:11" ht="13.5" thickBot="1">
      <c r="B41" s="451" t="s">
        <v>265</v>
      </c>
      <c r="C41" s="459">
        <f ca="1">OP!M31</f>
        <v>2.2986716369747928E-2</v>
      </c>
      <c r="D41" s="460">
        <v>1.83E-2</v>
      </c>
      <c r="E41" s="460">
        <v>6.3E-3</v>
      </c>
      <c r="F41" s="460">
        <v>1.35E-2</v>
      </c>
      <c r="G41" s="460">
        <v>0</v>
      </c>
      <c r="H41" s="460">
        <v>4.1099999999999998E-2</v>
      </c>
      <c r="I41" s="471">
        <f ca="1">IFERROR(AVERAGE(C41:H41),"")</f>
        <v>1.7031119394957987E-2</v>
      </c>
      <c r="J41" s="532">
        <f t="shared" ca="1" si="2"/>
        <v>5.9555969747899402E-3</v>
      </c>
    </row>
    <row r="42" spans="2:11" ht="16.5" thickBot="1">
      <c r="B42" s="168" t="s">
        <v>266</v>
      </c>
      <c r="C42" s="172"/>
      <c r="D42" s="172"/>
      <c r="E42" s="172"/>
      <c r="F42" s="172"/>
      <c r="G42" s="172"/>
      <c r="H42" s="172"/>
      <c r="I42" s="481"/>
      <c r="J42" s="515"/>
    </row>
    <row r="43" spans="2:11">
      <c r="B43" s="170" t="s">
        <v>267</v>
      </c>
      <c r="C43" s="789">
        <f>(65.44-66.92)/66.92</f>
        <v>-2.2115959354453138E-2</v>
      </c>
      <c r="D43" s="607">
        <v>-2.93E-2</v>
      </c>
      <c r="E43" s="607">
        <v>-0.56969999999999998</v>
      </c>
      <c r="F43" s="607">
        <v>-0.2707</v>
      </c>
      <c r="G43" s="607">
        <v>-0.37880000000000003</v>
      </c>
      <c r="H43" s="607">
        <v>-0.4133</v>
      </c>
      <c r="I43" s="470">
        <f>IFERROR(AVERAGE(C43:H43),"")</f>
        <v>-0.28065265989240884</v>
      </c>
      <c r="J43" s="507">
        <f t="shared" si="2"/>
        <v>0.25853670053795569</v>
      </c>
    </row>
    <row r="44" spans="2:11" ht="13.5" thickBot="1">
      <c r="B44" s="440" t="s">
        <v>268</v>
      </c>
      <c r="C44" s="788">
        <f>(65.44-51.24)/51.24</f>
        <v>0.27712724434035901</v>
      </c>
      <c r="D44" s="608">
        <f>(58.05-50.4)/50.4</f>
        <v>0.15178571428571427</v>
      </c>
      <c r="E44" s="608">
        <f>(1132-2073)/2073</f>
        <v>-0.45393150024119633</v>
      </c>
      <c r="F44" s="608">
        <f>(49.42-37.68)/37.68</f>
        <v>0.31157112526539282</v>
      </c>
      <c r="G44" s="608">
        <f>(11.25-41.5)/41.5</f>
        <v>-0.72891566265060237</v>
      </c>
      <c r="H44" s="608">
        <f>(339.1-648.8)/648.8</f>
        <v>-0.4773427866831072</v>
      </c>
      <c r="I44" s="470">
        <f t="shared" ref="I44:I47" si="24">IFERROR(AVERAGE(C44:H44),"")</f>
        <v>-0.15328431094723996</v>
      </c>
      <c r="J44" s="533">
        <f t="shared" si="2"/>
        <v>0.430411555287599</v>
      </c>
    </row>
    <row r="45" spans="2:11" ht="13.5" thickBot="1">
      <c r="B45" s="171" t="s">
        <v>269</v>
      </c>
      <c r="C45" s="606" cm="1">
        <f t="array" aca="1" ref="C45" ca="1">_FV(C8,"Price")</f>
        <v>48.03</v>
      </c>
      <c r="D45" s="606" cm="1">
        <f t="array" aca="1" ref="D45" ca="1">_FV(D8,"Preço")</f>
        <v>6.6040000000000001</v>
      </c>
      <c r="E45" s="606" cm="1">
        <f t="array" aca="1" ref="E45" ca="1">_FV(E8,"Preço")</f>
        <v>862.6</v>
      </c>
      <c r="F45" s="606" cm="1">
        <f t="array" aca="1" ref="F45" ca="1">_FV(F8,"Preço")</f>
        <v>40.28</v>
      </c>
      <c r="G45" s="606" cm="1">
        <f t="array" aca="1" ref="G45" ca="1">_FV(G8,"Preço")</f>
        <v>13.26</v>
      </c>
      <c r="H45" s="606" cm="1">
        <f t="array" aca="1" ref="H45" ca="1">_FV(H8,"Preço")</f>
        <v>223.5</v>
      </c>
      <c r="I45" s="470">
        <f t="shared" ca="1" si="24"/>
        <v>199.04566666666665</v>
      </c>
      <c r="J45" s="534">
        <f t="shared" ca="1" si="2"/>
        <v>151.01566666666665</v>
      </c>
    </row>
    <row r="46" spans="2:11" ht="13.5" thickBot="1">
      <c r="B46" s="440" t="s">
        <v>270</v>
      </c>
      <c r="C46" s="456">
        <v>67.5</v>
      </c>
      <c r="D46" s="456">
        <v>66.680000000000007</v>
      </c>
      <c r="E46" s="456">
        <v>1299.3900000000001</v>
      </c>
      <c r="F46" s="456">
        <v>71.5</v>
      </c>
      <c r="G46" s="456">
        <v>12.66</v>
      </c>
      <c r="H46" s="456">
        <v>426.1</v>
      </c>
      <c r="I46" s="470">
        <f t="shared" si="24"/>
        <v>323.97166666666675</v>
      </c>
      <c r="J46" s="535">
        <f t="shared" si="2"/>
        <v>256.47166666666675</v>
      </c>
    </row>
    <row r="47" spans="2:11" ht="13.5" thickBot="1">
      <c r="B47" s="457" t="s">
        <v>271</v>
      </c>
      <c r="C47" s="458">
        <f ca="1">C46/C45-1</f>
        <v>0.40537164272329784</v>
      </c>
      <c r="D47" s="458">
        <f t="shared" ref="D47:H47" ca="1" si="25">D46/D45-1</f>
        <v>9.0969109630526965</v>
      </c>
      <c r="E47" s="458">
        <f t="shared" ca="1" si="25"/>
        <v>0.5063644794806399</v>
      </c>
      <c r="F47" s="458">
        <f t="shared" ca="1" si="25"/>
        <v>0.77507447864945367</v>
      </c>
      <c r="G47" s="458">
        <f t="shared" ca="1" si="25"/>
        <v>-4.5248868778280493E-2</v>
      </c>
      <c r="H47" s="458">
        <f t="shared" ca="1" si="25"/>
        <v>0.90648769574944077</v>
      </c>
      <c r="I47" s="482">
        <f t="shared" ca="1" si="24"/>
        <v>1.9408267318128747</v>
      </c>
      <c r="J47" s="536">
        <f t="shared" ca="1" si="2"/>
        <v>1.5354550890895768</v>
      </c>
    </row>
    <row r="48" spans="2:11" ht="16.5" thickBot="1">
      <c r="B48" s="168" t="s">
        <v>272</v>
      </c>
      <c r="C48" s="168"/>
      <c r="D48" s="168"/>
      <c r="E48" s="168"/>
      <c r="F48" s="168"/>
      <c r="G48" s="168"/>
      <c r="H48" s="168"/>
      <c r="I48" s="168" t="str">
        <f>IFERROR(AVERAGE(C48:H48),"")</f>
        <v/>
      </c>
      <c r="J48" s="506"/>
      <c r="K48" s="510"/>
    </row>
    <row r="49" spans="2:11">
      <c r="B49" s="170" t="s">
        <v>273</v>
      </c>
      <c r="C49" s="1039">
        <f>(Inputs!B59-Inputs!E59)/Inputs!E59</f>
        <v>0.97908721860007386</v>
      </c>
      <c r="D49" s="368">
        <f>(1155281-1143528)/1143528</f>
        <v>1.0277841906800709E-2</v>
      </c>
      <c r="E49" s="368">
        <f>(750-592)/592</f>
        <v>0.26689189189189189</v>
      </c>
      <c r="F49" s="368">
        <f>(147.403-125.277)/125.777</f>
        <v>0.17591451537244482</v>
      </c>
      <c r="G49" s="368">
        <f>(87.895-218.2985)/218.2985</f>
        <v>-0.59736324344876401</v>
      </c>
      <c r="H49" s="368">
        <f>(4459-2888.6)/2888.6</f>
        <v>0.54365436543654366</v>
      </c>
      <c r="I49" s="482">
        <f>IFERROR(AVERAGE(C49:H49),"")</f>
        <v>0.22974376495983184</v>
      </c>
      <c r="J49" s="507">
        <f t="shared" si="2"/>
        <v>0.74934345364024202</v>
      </c>
      <c r="K49" s="368"/>
    </row>
    <row r="50" spans="2:11">
      <c r="B50" s="508" t="s">
        <v>274</v>
      </c>
      <c r="C50" s="509" t="s">
        <v>17</v>
      </c>
      <c r="D50" s="509">
        <f t="shared" ref="D50" si="26">D63/D11</f>
        <v>3.2577080704201407E-2</v>
      </c>
      <c r="E50" s="509" t="s">
        <v>17</v>
      </c>
      <c r="F50" s="509" t="s">
        <v>17</v>
      </c>
      <c r="G50" s="509" t="s">
        <v>17</v>
      </c>
      <c r="H50" s="509" t="s">
        <v>17</v>
      </c>
      <c r="I50" s="482" t="s">
        <v>17</v>
      </c>
      <c r="J50" s="509" t="s">
        <v>17</v>
      </c>
      <c r="K50" s="511"/>
    </row>
    <row r="52" spans="2:11" ht="27.75" customHeight="1" thickBot="1">
      <c r="B52" s="429" t="s">
        <v>275</v>
      </c>
      <c r="C52" s="428" t="e" vm="1">
        <f>OP!E2</f>
        <v>#VALUE!</v>
      </c>
      <c r="D52" s="320" t="e" vm="2">
        <f>D8</f>
        <v>#VALUE!</v>
      </c>
      <c r="E52" s="321" t="e" vm="3">
        <f>E8</f>
        <v>#VALUE!</v>
      </c>
      <c r="F52" s="322" t="e" vm="4">
        <f>F8</f>
        <v>#VALUE!</v>
      </c>
      <c r="G52" s="323" t="e" vm="5">
        <f>G8</f>
        <v>#VALUE!</v>
      </c>
      <c r="H52" s="574" t="e" vm="6">
        <f>H8</f>
        <v>#VALUE!</v>
      </c>
    </row>
    <row r="53" spans="2:11" ht="13.5" thickBot="1">
      <c r="B53" s="162" t="s">
        <v>276</v>
      </c>
      <c r="C53" s="163"/>
      <c r="D53" s="163"/>
      <c r="E53" s="163"/>
      <c r="F53" s="163"/>
      <c r="G53" s="163"/>
      <c r="H53" s="164"/>
    </row>
    <row r="54" spans="2:11" ht="13.5" thickBot="1">
      <c r="B54" s="160" t="s">
        <v>277</v>
      </c>
      <c r="C54" s="663">
        <f>'Fin. Data'!E5</f>
        <v>1440.4</v>
      </c>
      <c r="D54" s="660">
        <v>3316.6</v>
      </c>
      <c r="E54" s="660">
        <v>2738.84</v>
      </c>
      <c r="F54" s="660">
        <v>2800</v>
      </c>
      <c r="G54" s="660">
        <v>616.5</v>
      </c>
      <c r="H54" s="664">
        <v>17645</v>
      </c>
    </row>
    <row r="55" spans="2:11" ht="13.5" thickBot="1">
      <c r="B55" s="160" t="s">
        <v>278</v>
      </c>
      <c r="C55" s="663">
        <f>'Fin. Data'!C5</f>
        <v>2602.9</v>
      </c>
      <c r="D55" s="660">
        <v>4124.5919999999996</v>
      </c>
      <c r="E55" s="660">
        <v>3302.03</v>
      </c>
      <c r="F55" s="660">
        <v>3700</v>
      </c>
      <c r="G55" s="660">
        <v>749.33</v>
      </c>
      <c r="H55" s="664">
        <v>20351</v>
      </c>
    </row>
    <row r="56" spans="2:11" ht="13.5" thickBot="1">
      <c r="B56" s="160" t="s">
        <v>237</v>
      </c>
      <c r="C56" s="663">
        <f>'Fin. Data'!B5</f>
        <v>2984.2</v>
      </c>
      <c r="D56" s="660">
        <v>4622.8819999999996</v>
      </c>
      <c r="E56" s="660">
        <v>3615.17</v>
      </c>
      <c r="F56" s="660">
        <v>4197.4589999999998</v>
      </c>
      <c r="G56" s="660">
        <v>830.24</v>
      </c>
      <c r="H56" s="664">
        <v>19566</v>
      </c>
    </row>
    <row r="57" spans="2:11" ht="13.5" thickBot="1">
      <c r="B57" s="160" t="s">
        <v>279</v>
      </c>
      <c r="C57" s="663">
        <f>'Fin. Data'!B5-'Fin. Data'!B7</f>
        <v>684.19999999999982</v>
      </c>
      <c r="D57" s="660">
        <v>924.64</v>
      </c>
      <c r="E57" s="660">
        <v>1064.45</v>
      </c>
      <c r="F57" s="660">
        <v>1616.606</v>
      </c>
      <c r="G57" s="660">
        <v>274.11</v>
      </c>
      <c r="H57" s="664">
        <v>4639</v>
      </c>
    </row>
    <row r="58" spans="2:11" ht="13.5" thickBot="1">
      <c r="B58" s="160" t="s">
        <v>59</v>
      </c>
      <c r="C58" s="663">
        <f>'Fin. Data'!B19</f>
        <v>1185.539</v>
      </c>
      <c r="D58" s="660">
        <v>1260</v>
      </c>
      <c r="E58" s="660">
        <v>1139.23</v>
      </c>
      <c r="F58" s="660">
        <v>2580.8519999999999</v>
      </c>
      <c r="G58" s="660">
        <v>188.76</v>
      </c>
      <c r="H58" s="664">
        <v>6569</v>
      </c>
    </row>
    <row r="59" spans="2:11" ht="13.5" thickBot="1">
      <c r="B59" s="160" t="s">
        <v>280</v>
      </c>
      <c r="C59" s="665">
        <f>'Fin. Data'!B11</f>
        <v>893.83900000000006</v>
      </c>
      <c r="D59" s="660">
        <v>1061.692</v>
      </c>
      <c r="E59" s="660">
        <v>767.67</v>
      </c>
      <c r="F59" s="660">
        <v>410.33699999999999</v>
      </c>
      <c r="G59" s="660">
        <v>92.44</v>
      </c>
      <c r="H59" s="664">
        <v>4746</v>
      </c>
    </row>
    <row r="60" spans="2:11">
      <c r="B60" s="160" t="s">
        <v>281</v>
      </c>
      <c r="C60" s="665">
        <f>'Fin. Data'!B14</f>
        <v>-23.2</v>
      </c>
      <c r="D60" s="660">
        <v>196.90799999999999</v>
      </c>
      <c r="E60" s="660">
        <v>-26.87</v>
      </c>
      <c r="F60" s="666">
        <v>-15</v>
      </c>
      <c r="G60" s="660">
        <v>-28.65</v>
      </c>
      <c r="H60" s="664">
        <v>-410</v>
      </c>
    </row>
    <row r="61" spans="2:11" ht="13.5" thickBot="1">
      <c r="B61" s="160" t="s">
        <v>282</v>
      </c>
      <c r="C61" s="665">
        <f>'Fin. Data'!B21</f>
        <v>-258.733</v>
      </c>
      <c r="D61" s="660">
        <v>-298.07100000000003</v>
      </c>
      <c r="E61" s="660">
        <v>-165.92</v>
      </c>
      <c r="F61" s="660">
        <v>-87.099000000000004</v>
      </c>
      <c r="G61" s="660">
        <v>-16.37</v>
      </c>
      <c r="H61" s="664">
        <v>-1163</v>
      </c>
    </row>
    <row r="62" spans="2:11" ht="13.5" thickBot="1">
      <c r="B62" s="160" t="s">
        <v>71</v>
      </c>
      <c r="C62" s="665">
        <f>'Fin. Data'!B23</f>
        <v>611.93100000000004</v>
      </c>
      <c r="D62" s="660">
        <v>671.02599999999995</v>
      </c>
      <c r="E62" s="660">
        <v>574.87</v>
      </c>
      <c r="F62" s="660">
        <v>269.79000000000002</v>
      </c>
      <c r="G62" s="660">
        <v>47</v>
      </c>
      <c r="H62" s="664">
        <v>3074</v>
      </c>
    </row>
    <row r="63" spans="2:11" ht="13.5" thickBot="1">
      <c r="B63" s="160" t="s">
        <v>283</v>
      </c>
      <c r="C63" s="665" t="s">
        <v>17</v>
      </c>
      <c r="D63" s="660">
        <v>150.6</v>
      </c>
      <c r="E63" s="660" t="s">
        <v>17</v>
      </c>
      <c r="F63" s="660" t="s">
        <v>17</v>
      </c>
      <c r="G63" s="660" t="s">
        <v>17</v>
      </c>
      <c r="H63" s="664" t="s">
        <v>17</v>
      </c>
    </row>
    <row r="64" spans="2:11" ht="13.5" thickBot="1">
      <c r="B64" s="165" t="s">
        <v>284</v>
      </c>
      <c r="C64" s="661"/>
      <c r="D64" s="661"/>
      <c r="E64" s="661"/>
      <c r="F64" s="661"/>
      <c r="G64" s="661"/>
      <c r="H64" s="667"/>
    </row>
    <row r="65" spans="2:8">
      <c r="B65" s="160" t="s">
        <v>285</v>
      </c>
      <c r="C65" s="663">
        <f>'Fin. Data'!B39</f>
        <v>998.79899999999998</v>
      </c>
      <c r="D65" s="660">
        <v>689.51900000000001</v>
      </c>
      <c r="E65" s="660">
        <v>1198.82</v>
      </c>
      <c r="F65" s="660">
        <v>118.327</v>
      </c>
      <c r="G65" s="660">
        <v>195.45</v>
      </c>
      <c r="H65" s="664">
        <v>3922</v>
      </c>
    </row>
    <row r="66" spans="2:8">
      <c r="B66" s="160" t="s">
        <v>286</v>
      </c>
      <c r="C66" s="663">
        <f>'Fin. Data'!B40</f>
        <v>325.60000000000002</v>
      </c>
      <c r="D66" s="660">
        <v>405.15100000000001</v>
      </c>
      <c r="E66" s="660">
        <v>358.71</v>
      </c>
      <c r="F66" s="660">
        <v>376</v>
      </c>
      <c r="G66" s="660">
        <v>34.72</v>
      </c>
      <c r="H66" s="664">
        <v>1151</v>
      </c>
    </row>
    <row r="67" spans="2:8">
      <c r="B67" s="160" t="s">
        <v>287</v>
      </c>
      <c r="C67" s="663">
        <f>'Fin. Data'!B41</f>
        <v>453.178</v>
      </c>
      <c r="D67" s="660">
        <v>782.97799999999995</v>
      </c>
      <c r="E67" s="660">
        <v>522.29</v>
      </c>
      <c r="F67" s="660">
        <v>1066.0440000000001</v>
      </c>
      <c r="G67" s="660">
        <v>322.41000000000003</v>
      </c>
      <c r="H67" s="664">
        <v>4550</v>
      </c>
    </row>
    <row r="68" spans="2:8">
      <c r="B68" s="160" t="s">
        <v>288</v>
      </c>
      <c r="C68" s="663">
        <f>Inputs!B27</f>
        <v>1907</v>
      </c>
      <c r="D68" s="660">
        <v>2162.748</v>
      </c>
      <c r="E68" s="660">
        <v>2176.81</v>
      </c>
      <c r="F68" s="660">
        <v>1791.0730000000001</v>
      </c>
      <c r="G68" s="660">
        <v>588.88</v>
      </c>
      <c r="H68" s="664">
        <v>11930</v>
      </c>
    </row>
    <row r="69" spans="2:8" ht="13.5" thickBot="1">
      <c r="B69" s="160" t="s">
        <v>289</v>
      </c>
      <c r="C69" s="663">
        <f>'Fin. Data'!B42</f>
        <v>1082.48</v>
      </c>
      <c r="D69" s="660">
        <v>820.24099999999999</v>
      </c>
      <c r="E69" s="660">
        <v>1817.6</v>
      </c>
      <c r="F69" s="660">
        <v>603.53300000000002</v>
      </c>
      <c r="G69" s="660">
        <v>106.42</v>
      </c>
      <c r="H69" s="664">
        <v>5341</v>
      </c>
    </row>
    <row r="70" spans="2:8" ht="13.5" thickBot="1">
      <c r="B70" s="160" t="s">
        <v>47</v>
      </c>
      <c r="C70" s="663">
        <f>'Fin. Data'!B44</f>
        <v>4992</v>
      </c>
      <c r="D70" s="660">
        <v>7615.0510000000004</v>
      </c>
      <c r="E70" s="660">
        <v>4306.8900000000003</v>
      </c>
      <c r="F70" s="660">
        <v>3471.6669999999999</v>
      </c>
      <c r="G70" s="660">
        <v>1084.7</v>
      </c>
      <c r="H70" s="664">
        <v>41367</v>
      </c>
    </row>
    <row r="71" spans="2:8" ht="13.5" thickBot="1">
      <c r="B71" s="160" t="s">
        <v>290</v>
      </c>
      <c r="C71" s="663">
        <f>Inputs!B43</f>
        <v>538.58600000000001</v>
      </c>
      <c r="D71" s="660">
        <v>492.613</v>
      </c>
      <c r="E71" s="660">
        <v>88.8</v>
      </c>
      <c r="F71" s="660">
        <v>571.822</v>
      </c>
      <c r="G71" s="660">
        <v>133.44</v>
      </c>
      <c r="H71" s="664">
        <v>2200</v>
      </c>
    </row>
    <row r="72" spans="2:8" ht="13.5" thickBot="1">
      <c r="B72" s="160" t="s">
        <v>291</v>
      </c>
      <c r="C72" s="663">
        <f>Inputs!B42</f>
        <v>1010</v>
      </c>
      <c r="D72" s="660">
        <v>1175.1489999999999</v>
      </c>
      <c r="E72" s="660">
        <v>2508.65</v>
      </c>
      <c r="F72" s="660">
        <v>1090.144</v>
      </c>
      <c r="G72" s="660">
        <v>240.41</v>
      </c>
      <c r="H72" s="664">
        <v>8631</v>
      </c>
    </row>
    <row r="73" spans="2:8" ht="13.5" thickBot="1">
      <c r="B73" s="160" t="s">
        <v>292</v>
      </c>
      <c r="C73" s="663">
        <f>'Fin. Data'!B58</f>
        <v>848.59100000000001</v>
      </c>
      <c r="D73" s="660">
        <v>2600</v>
      </c>
      <c r="E73" s="660">
        <v>537.48</v>
      </c>
      <c r="F73" s="660">
        <v>3471.6669999999999</v>
      </c>
      <c r="G73" s="660">
        <v>758.95</v>
      </c>
      <c r="H73" s="664">
        <v>8500</v>
      </c>
    </row>
    <row r="74" spans="2:8" ht="13.5" thickBot="1">
      <c r="B74" s="161" t="s">
        <v>293</v>
      </c>
      <c r="C74" s="668">
        <f>'Fin. Data'!B64</f>
        <v>3214.306</v>
      </c>
      <c r="D74" s="662">
        <v>3876.8090000000002</v>
      </c>
      <c r="E74" s="662">
        <v>1798.24</v>
      </c>
      <c r="F74" s="662">
        <v>1310.777</v>
      </c>
      <c r="G74" s="662">
        <v>325.75</v>
      </c>
      <c r="H74" s="669">
        <v>16010</v>
      </c>
    </row>
  </sheetData>
  <mergeCells count="13">
    <mergeCell ref="D6:H6"/>
    <mergeCell ref="D4:H4"/>
    <mergeCell ref="D1:H1"/>
    <mergeCell ref="D2:H2"/>
    <mergeCell ref="D3:H3"/>
    <mergeCell ref="D5:H5"/>
    <mergeCell ref="L12:L13"/>
    <mergeCell ref="M12:N13"/>
    <mergeCell ref="L9:N9"/>
    <mergeCell ref="L10:L11"/>
    <mergeCell ref="L14:L15"/>
    <mergeCell ref="M14:N15"/>
    <mergeCell ref="M10:N11"/>
  </mergeCells>
  <pageMargins left="0.7" right="0.7" top="0.75" bottom="0.75" header="0.3" footer="0.3"/>
  <pageSetup orientation="portrait" r:id="rId1"/>
  <ignoredErrors>
    <ignoredError sqref="J46" evalError="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topLeftCell="J1" zoomScale="80" zoomScaleNormal="80" workbookViewId="0">
      <selection activeCell="O11" sqref="O11"/>
    </sheetView>
  </sheetViews>
  <sheetFormatPr defaultColWidth="11.42578125" defaultRowHeight="12.75"/>
  <cols>
    <col min="1" max="1" width="1.140625" style="71" customWidth="1"/>
    <col min="2" max="2" width="59.42578125" style="71" customWidth="1"/>
    <col min="3" max="4" width="12.85546875" style="71" customWidth="1"/>
    <col min="5" max="5" width="11.42578125" style="71" bestFit="1" customWidth="1"/>
    <col min="6" max="6" width="11" style="71" customWidth="1"/>
    <col min="7" max="7" width="10.42578125" style="71" customWidth="1"/>
    <col min="8" max="8" width="20.28515625" style="417" customWidth="1"/>
    <col min="9" max="9" width="63.28515625" style="417" customWidth="1"/>
    <col min="10" max="10" width="72.5703125" style="71" customWidth="1"/>
    <col min="11" max="11" width="34.7109375" style="71" bestFit="1" customWidth="1"/>
    <col min="12" max="12" width="34.7109375" style="71" customWidth="1"/>
    <col min="13" max="13" width="32.42578125" style="71" customWidth="1"/>
    <col min="14" max="14" width="34.85546875" style="71" customWidth="1"/>
    <col min="15" max="15" width="33.28515625" style="71" customWidth="1"/>
    <col min="16" max="16" width="47.85546875" style="71" customWidth="1"/>
    <col min="17" max="17" width="43.42578125" style="71" customWidth="1"/>
    <col min="18" max="18" width="11.42578125" style="71" customWidth="1"/>
    <col min="19" max="19" width="10.42578125" style="71" customWidth="1"/>
    <col min="20" max="20" width="12.28515625" style="71" bestFit="1" customWidth="1"/>
    <col min="21" max="21" width="15.42578125" style="71" customWidth="1"/>
    <col min="22" max="22" width="18.140625" style="71" bestFit="1" customWidth="1"/>
    <col min="23" max="23" width="18.28515625" style="71" bestFit="1" customWidth="1"/>
    <col min="24" max="24" width="17.28515625" style="71" bestFit="1" customWidth="1"/>
    <col min="25" max="30" width="11.42578125" style="71"/>
    <col min="31" max="31" width="13" style="71" bestFit="1" customWidth="1"/>
    <col min="32" max="16384" width="11.42578125" style="71"/>
  </cols>
  <sheetData>
    <row r="1" spans="1:24">
      <c r="B1" s="192" t="s">
        <v>294</v>
      </c>
      <c r="C1" s="75"/>
      <c r="D1" s="75"/>
      <c r="E1" s="75"/>
      <c r="F1" s="75"/>
      <c r="G1" s="75"/>
      <c r="H1" s="411"/>
      <c r="I1" s="411"/>
      <c r="J1" s="75"/>
      <c r="T1" s="85" t="s">
        <v>295</v>
      </c>
    </row>
    <row r="2" spans="1:24">
      <c r="B2" s="81" t="s">
        <v>296</v>
      </c>
      <c r="C2" s="193" t="s">
        <v>297</v>
      </c>
      <c r="D2" s="75"/>
      <c r="E2" s="1040" t="s">
        <v>298</v>
      </c>
      <c r="F2" s="75"/>
      <c r="G2" s="75"/>
      <c r="H2" s="411"/>
      <c r="I2" s="411"/>
      <c r="J2" s="75"/>
      <c r="T2" s="85" t="s">
        <v>299</v>
      </c>
    </row>
    <row r="3" spans="1:24" ht="21" thickBot="1">
      <c r="B3" s="1301" t="s">
        <v>300</v>
      </c>
      <c r="C3" s="1301"/>
      <c r="D3" s="1301"/>
      <c r="E3" s="1301"/>
      <c r="F3" s="1301"/>
      <c r="G3" s="1301"/>
      <c r="H3" s="1301"/>
      <c r="I3" s="1301"/>
      <c r="J3" s="1301"/>
      <c r="K3" s="1302" t="s">
        <v>301</v>
      </c>
      <c r="L3" s="1302"/>
      <c r="M3" s="1302"/>
      <c r="N3" s="1302"/>
      <c r="O3" s="1302"/>
      <c r="P3" s="1302"/>
      <c r="Q3" s="1302"/>
    </row>
    <row r="4" spans="1:24" ht="32.25" thickBot="1">
      <c r="B4" s="183" t="s">
        <v>302</v>
      </c>
      <c r="C4" s="215" t="s">
        <v>303</v>
      </c>
      <c r="D4" s="215" t="s">
        <v>304</v>
      </c>
      <c r="E4" s="215" t="s">
        <v>305</v>
      </c>
      <c r="F4" s="215" t="s">
        <v>306</v>
      </c>
      <c r="G4" s="215" t="s">
        <v>307</v>
      </c>
      <c r="H4" s="184" t="s">
        <v>308</v>
      </c>
      <c r="I4" s="184" t="s">
        <v>309</v>
      </c>
      <c r="J4" s="185" t="s">
        <v>310</v>
      </c>
      <c r="K4" s="183" t="s">
        <v>302</v>
      </c>
      <c r="L4" s="218" t="e" vm="1">
        <f>Peers!C8</f>
        <v>#VALUE!</v>
      </c>
      <c r="M4" s="218" t="s">
        <v>167</v>
      </c>
      <c r="N4" s="218" t="s">
        <v>311</v>
      </c>
      <c r="O4" s="218"/>
      <c r="P4" s="218" t="s">
        <v>312</v>
      </c>
      <c r="Q4" s="218" t="s">
        <v>313</v>
      </c>
      <c r="R4" s="572" t="s">
        <v>231</v>
      </c>
    </row>
    <row r="5" spans="1:24" ht="15.75" thickBot="1">
      <c r="B5" s="194" t="s">
        <v>314</v>
      </c>
      <c r="C5" s="195"/>
      <c r="D5" s="196"/>
      <c r="E5" s="196"/>
      <c r="F5" s="196"/>
      <c r="G5" s="196"/>
      <c r="H5" s="412"/>
      <c r="I5" s="412"/>
      <c r="J5" s="197"/>
      <c r="K5" s="194" t="s">
        <v>315</v>
      </c>
      <c r="L5" s="196"/>
      <c r="M5" s="196"/>
      <c r="N5" s="196"/>
      <c r="O5" s="196"/>
      <c r="P5" s="197"/>
      <c r="Q5" s="197"/>
      <c r="R5" s="197"/>
    </row>
    <row r="6" spans="1:24" ht="18.75" thickBot="1">
      <c r="A6" s="71">
        <v>1</v>
      </c>
      <c r="B6" s="188" t="s">
        <v>316</v>
      </c>
      <c r="C6" s="186" t="str">
        <f>VLOOKUP($B$2,'Sector Impact'!$K$4:$AA$16,A6+1,FALSE)</f>
        <v>Low</v>
      </c>
      <c r="D6" s="186"/>
      <c r="E6" s="186"/>
      <c r="F6" s="198"/>
      <c r="G6" s="268"/>
      <c r="H6" s="187"/>
      <c r="I6" s="187"/>
      <c r="J6" s="187"/>
      <c r="K6" s="188" t="s">
        <v>317</v>
      </c>
      <c r="L6" s="400">
        <f>L12/L$11</f>
        <v>8.645889414870371E-2</v>
      </c>
      <c r="M6" s="400">
        <f t="shared" ref="M6:N6" si="0">M12/M$11</f>
        <v>6.7159902891587242E-2</v>
      </c>
      <c r="N6" s="400">
        <f t="shared" si="0"/>
        <v>0.22099459001251534</v>
      </c>
      <c r="O6" s="400" t="e">
        <f>O12/O$11</f>
        <v>#DIV/0!</v>
      </c>
      <c r="P6" s="400">
        <f t="shared" ref="P6:Q9" si="1">P12/P$11</f>
        <v>0.20444285802967285</v>
      </c>
      <c r="Q6" s="400" t="e">
        <f t="shared" si="1"/>
        <v>#VALUE!</v>
      </c>
      <c r="R6" s="470" t="str">
        <f t="shared" ref="R6:R9" si="2">IFERROR(AVERAGE(L6:Q6),"")</f>
        <v/>
      </c>
    </row>
    <row r="7" spans="1:24" s="75" customFormat="1" ht="18.75" thickBot="1">
      <c r="A7" s="75">
        <v>2</v>
      </c>
      <c r="B7" s="188" t="s">
        <v>318</v>
      </c>
      <c r="C7" s="186" t="str">
        <f>VLOOKUP($B$2,'Sector Impact'!$K$4:$AA$16,A7+1,FALSE)</f>
        <v>Low</v>
      </c>
      <c r="D7" s="186"/>
      <c r="E7" s="186"/>
      <c r="F7" s="198"/>
      <c r="G7" s="268"/>
      <c r="H7" s="187"/>
      <c r="I7" s="187"/>
      <c r="J7" s="187"/>
      <c r="K7" s="188" t="s">
        <v>319</v>
      </c>
      <c r="L7" s="400">
        <f t="shared" ref="L7:O9" si="3">L13/L$11</f>
        <v>2.2562969324810025</v>
      </c>
      <c r="M7" s="400">
        <f t="shared" si="3"/>
        <v>5.1895092137579701E-5</v>
      </c>
      <c r="N7" s="400" t="e">
        <f t="shared" si="3"/>
        <v>#VALUE!</v>
      </c>
      <c r="O7" s="400" t="e">
        <f t="shared" si="3"/>
        <v>#DIV/0!</v>
      </c>
      <c r="P7" s="400">
        <f t="shared" si="1"/>
        <v>1.7304927369793284</v>
      </c>
      <c r="Q7" s="400" t="e">
        <f t="shared" si="1"/>
        <v>#VALUE!</v>
      </c>
      <c r="R7" s="471" t="str">
        <f t="shared" si="2"/>
        <v/>
      </c>
    </row>
    <row r="8" spans="1:24" ht="76.5">
      <c r="A8" s="71">
        <v>3</v>
      </c>
      <c r="B8" s="188" t="s">
        <v>320</v>
      </c>
      <c r="C8" s="186" t="str">
        <f>VLOOKUP($B$2,'Sector Impact'!$K$4:$AA$16,A8+1,FALSE)</f>
        <v>Medium</v>
      </c>
      <c r="D8" s="186" t="s">
        <v>295</v>
      </c>
      <c r="E8" s="186" t="s">
        <v>321</v>
      </c>
      <c r="F8" s="198" t="s">
        <v>295</v>
      </c>
      <c r="G8" s="265"/>
      <c r="H8" s="187"/>
      <c r="I8" s="187"/>
      <c r="J8" s="1041" t="s">
        <v>322</v>
      </c>
      <c r="K8" s="188" t="s">
        <v>323</v>
      </c>
      <c r="L8" s="400">
        <f t="shared" si="3"/>
        <v>15.213416336305553</v>
      </c>
      <c r="M8" s="400">
        <f t="shared" si="3"/>
        <v>7.7795663327805686E-2</v>
      </c>
      <c r="N8" s="400">
        <f t="shared" si="3"/>
        <v>0.11927243065579604</v>
      </c>
      <c r="O8" s="400" t="e">
        <f t="shared" si="3"/>
        <v>#DIV/0!</v>
      </c>
      <c r="P8" s="400">
        <f t="shared" si="1"/>
        <v>0.13206902973493079</v>
      </c>
      <c r="Q8" s="400" t="e">
        <f t="shared" si="1"/>
        <v>#VALUE!</v>
      </c>
      <c r="R8" s="471" t="str">
        <f>IFERROR(AVERAGE(L8:Q8),"")</f>
        <v/>
      </c>
    </row>
    <row r="9" spans="1:24" ht="63.75">
      <c r="A9" s="71">
        <v>4</v>
      </c>
      <c r="B9" s="188" t="s">
        <v>324</v>
      </c>
      <c r="C9" s="186" t="str">
        <f>VLOOKUP($B$2,'Sector Impact'!$K$4:$AA$16,A9+1,FALSE)</f>
        <v>Medium</v>
      </c>
      <c r="D9" s="186" t="s">
        <v>295</v>
      </c>
      <c r="E9" s="186" t="s">
        <v>321</v>
      </c>
      <c r="F9" s="198" t="s">
        <v>295</v>
      </c>
      <c r="G9" s="265"/>
      <c r="H9" s="187"/>
      <c r="I9" s="187"/>
      <c r="J9" s="655" t="s">
        <v>325</v>
      </c>
      <c r="K9" s="188" t="s">
        <v>326</v>
      </c>
      <c r="L9" s="400">
        <f t="shared" si="3"/>
        <v>2.35229012898049E-5</v>
      </c>
      <c r="M9" s="400" t="e">
        <f t="shared" si="3"/>
        <v>#VALUE!</v>
      </c>
      <c r="N9" s="400">
        <f t="shared" si="3"/>
        <v>1.3247072089182825E-3</v>
      </c>
      <c r="O9" s="400" t="e">
        <f t="shared" si="3"/>
        <v>#DIV/0!</v>
      </c>
      <c r="P9" s="400">
        <f t="shared" si="1"/>
        <v>1.6642870445092806E-3</v>
      </c>
      <c r="Q9" s="400" t="e">
        <f t="shared" si="1"/>
        <v>#VALUE!</v>
      </c>
      <c r="R9" s="471" t="str">
        <f t="shared" si="2"/>
        <v/>
      </c>
    </row>
    <row r="10" spans="1:24" ht="15">
      <c r="A10" s="71">
        <v>5</v>
      </c>
      <c r="B10" s="188" t="s">
        <v>327</v>
      </c>
      <c r="C10" s="186" t="str">
        <f>VLOOKUP($B$2,'Sector Impact'!$K$4:$AA$16,A10+1,FALSE)</f>
        <v>Low</v>
      </c>
      <c r="D10" s="186"/>
      <c r="E10" s="186"/>
      <c r="F10" s="198"/>
      <c r="G10" s="265"/>
      <c r="H10" s="187"/>
      <c r="I10" s="187"/>
      <c r="J10" s="189" t="s">
        <v>328</v>
      </c>
      <c r="K10" s="194" t="s">
        <v>329</v>
      </c>
      <c r="L10" s="196"/>
      <c r="M10" s="196"/>
      <c r="N10" s="196"/>
      <c r="O10" s="196"/>
      <c r="P10" s="196"/>
      <c r="Q10" s="197"/>
      <c r="S10"/>
      <c r="V10" s="75"/>
      <c r="W10" s="75"/>
      <c r="X10" s="75"/>
    </row>
    <row r="11" spans="1:24" ht="15">
      <c r="B11" s="194" t="s">
        <v>330</v>
      </c>
      <c r="C11" s="191"/>
      <c r="D11" s="191"/>
      <c r="E11" s="200"/>
      <c r="F11" s="200"/>
      <c r="G11" s="201"/>
      <c r="H11" s="413"/>
      <c r="I11" s="413"/>
      <c r="J11" s="202"/>
      <c r="K11" s="188" t="s">
        <v>331</v>
      </c>
      <c r="L11" s="401">
        <f>3188382.21</f>
        <v>3188382.21</v>
      </c>
      <c r="M11" s="672">
        <f>4938810</f>
        <v>4938810</v>
      </c>
      <c r="N11" s="401">
        <f>2500.93*1000</f>
        <v>2500930</v>
      </c>
      <c r="O11" s="401"/>
      <c r="P11" s="671">
        <f>6443.6*1000</f>
        <v>6443600</v>
      </c>
      <c r="Q11" s="401">
        <f>886.89*1000</f>
        <v>886890</v>
      </c>
      <c r="S11"/>
    </row>
    <row r="12" spans="1:24" ht="63.75">
      <c r="A12" s="71">
        <v>6</v>
      </c>
      <c r="B12" s="188" t="s">
        <v>332</v>
      </c>
      <c r="C12" s="186" t="str">
        <f>VLOOKUP($B$2,'Sector Impact'!$K$4:$AA$16,A12+1,FALSE)</f>
        <v>Medium</v>
      </c>
      <c r="D12" s="186" t="s">
        <v>295</v>
      </c>
      <c r="E12" s="186" t="s">
        <v>321</v>
      </c>
      <c r="F12" s="198" t="s">
        <v>295</v>
      </c>
      <c r="G12" s="270"/>
      <c r="H12" s="187"/>
      <c r="I12" s="187"/>
      <c r="J12" s="656" t="s">
        <v>333</v>
      </c>
      <c r="K12" s="188" t="s">
        <v>334</v>
      </c>
      <c r="L12" s="217">
        <f>15321+260343</f>
        <v>275664</v>
      </c>
      <c r="M12" s="217">
        <v>331690</v>
      </c>
      <c r="N12" s="217">
        <v>552692</v>
      </c>
      <c r="O12" s="217"/>
      <c r="P12" s="217">
        <v>1317348</v>
      </c>
      <c r="Q12" s="217" t="s">
        <v>328</v>
      </c>
      <c r="S12"/>
    </row>
    <row r="13" spans="1:24" ht="76.5">
      <c r="A13" s="71">
        <v>7</v>
      </c>
      <c r="B13" s="188" t="s">
        <v>335</v>
      </c>
      <c r="C13" s="186" t="str">
        <f>VLOOKUP($B$2,'Sector Impact'!$K$4:$AA$16,A13+1,FALSE)</f>
        <v>Medium</v>
      </c>
      <c r="D13" s="186" t="s">
        <v>299</v>
      </c>
      <c r="E13" s="186" t="s">
        <v>321</v>
      </c>
      <c r="F13" s="204" t="s">
        <v>299</v>
      </c>
      <c r="G13" s="270"/>
      <c r="H13" s="187"/>
      <c r="I13" s="187"/>
      <c r="J13" s="1042" t="s">
        <v>336</v>
      </c>
      <c r="K13" s="188" t="s">
        <v>337</v>
      </c>
      <c r="L13" s="217">
        <v>7193937</v>
      </c>
      <c r="M13" s="217">
        <v>256.3</v>
      </c>
      <c r="N13" s="217" t="s">
        <v>328</v>
      </c>
      <c r="O13" s="217"/>
      <c r="P13" s="217">
        <v>11150603</v>
      </c>
      <c r="Q13" s="217" t="s">
        <v>328</v>
      </c>
      <c r="S13"/>
    </row>
    <row r="14" spans="1:24" ht="18">
      <c r="A14" s="71">
        <v>8</v>
      </c>
      <c r="B14" s="206" t="s">
        <v>338</v>
      </c>
      <c r="C14" s="186" t="str">
        <f>VLOOKUP($B$2,'Sector Impact'!$K$4:$AA$16,A14+1,FALSE)</f>
        <v>Low</v>
      </c>
      <c r="D14" s="186"/>
      <c r="E14" s="186"/>
      <c r="F14" s="198"/>
      <c r="G14" s="430"/>
      <c r="H14" s="187"/>
      <c r="I14" s="187"/>
      <c r="J14" s="205"/>
      <c r="K14" s="188" t="s">
        <v>339</v>
      </c>
      <c r="L14" s="217">
        <v>48506186</v>
      </c>
      <c r="M14" s="670">
        <v>384218</v>
      </c>
      <c r="N14" s="217">
        <v>298292</v>
      </c>
      <c r="O14" s="217"/>
      <c r="P14" s="217">
        <v>851000</v>
      </c>
      <c r="Q14" s="217" t="s">
        <v>328</v>
      </c>
      <c r="S14"/>
    </row>
    <row r="15" spans="1:24">
      <c r="A15" s="71">
        <v>9</v>
      </c>
      <c r="B15" s="206" t="s">
        <v>340</v>
      </c>
      <c r="C15" s="186" t="str">
        <f>VLOOKUP($B$2,'Sector Impact'!$K$4:$AA$16,A15+1,FALSE)</f>
        <v>Low</v>
      </c>
      <c r="D15" s="186"/>
      <c r="E15" s="186"/>
      <c r="F15" s="198" t="s">
        <v>295</v>
      </c>
      <c r="G15" s="199"/>
      <c r="H15" s="414"/>
      <c r="I15" s="414"/>
      <c r="J15" s="205"/>
      <c r="K15" s="188" t="s">
        <v>341</v>
      </c>
      <c r="L15" s="217">
        <v>75</v>
      </c>
      <c r="M15" s="217" t="s">
        <v>328</v>
      </c>
      <c r="N15" s="217">
        <v>3313</v>
      </c>
      <c r="O15" s="217"/>
      <c r="P15" s="217">
        <v>10724</v>
      </c>
      <c r="Q15" s="217" t="s">
        <v>328</v>
      </c>
      <c r="S15"/>
    </row>
    <row r="16" spans="1:24" ht="42" customHeight="1">
      <c r="A16" s="71">
        <v>10</v>
      </c>
      <c r="B16" s="188" t="s">
        <v>342</v>
      </c>
      <c r="C16" s="186" t="str">
        <f>VLOOKUP($B$2,'Sector Impact'!$K$4:$AA$16,A16+1,FALSE)</f>
        <v>Medium</v>
      </c>
      <c r="D16" s="186" t="s">
        <v>295</v>
      </c>
      <c r="E16" s="186" t="s">
        <v>321</v>
      </c>
      <c r="F16" s="198" t="s">
        <v>295</v>
      </c>
      <c r="G16" s="270"/>
      <c r="H16" s="187"/>
      <c r="I16" s="415" t="s">
        <v>343</v>
      </c>
      <c r="J16" s="1042" t="s">
        <v>344</v>
      </c>
      <c r="K16" s="194" t="s">
        <v>345</v>
      </c>
      <c r="L16" s="196"/>
      <c r="M16" s="196"/>
      <c r="N16" s="196"/>
      <c r="O16" s="196"/>
      <c r="P16" s="197"/>
      <c r="Q16" s="197"/>
      <c r="S16"/>
    </row>
    <row r="17" spans="1:19" ht="114.75">
      <c r="A17" s="71">
        <v>11</v>
      </c>
      <c r="B17" s="188" t="s">
        <v>346</v>
      </c>
      <c r="C17" s="186" t="str">
        <f>VLOOKUP($B$2,'Sector Impact'!$K$4:$AA$16,A17+1,FALSE)</f>
        <v>Medium</v>
      </c>
      <c r="D17" s="207" t="s">
        <v>295</v>
      </c>
      <c r="E17" s="207" t="s">
        <v>347</v>
      </c>
      <c r="F17" s="207" t="s">
        <v>295</v>
      </c>
      <c r="G17" s="269"/>
      <c r="H17" s="187"/>
      <c r="I17" s="415" t="s">
        <v>348</v>
      </c>
      <c r="J17" s="1042" t="s">
        <v>349</v>
      </c>
      <c r="K17" s="188" t="s">
        <v>350</v>
      </c>
      <c r="L17" s="216" t="s">
        <v>351</v>
      </c>
      <c r="M17" s="216" t="s">
        <v>352</v>
      </c>
      <c r="N17" s="216" t="s">
        <v>353</v>
      </c>
      <c r="O17" s="216"/>
      <c r="P17" s="216" t="s">
        <v>354</v>
      </c>
      <c r="Q17" s="216" t="s">
        <v>355</v>
      </c>
      <c r="S17"/>
    </row>
    <row r="18" spans="1:19" ht="38.25">
      <c r="A18" s="71">
        <v>12</v>
      </c>
      <c r="B18" s="188" t="s">
        <v>356</v>
      </c>
      <c r="C18" s="186" t="str">
        <f>VLOOKUP($B$2,'Sector Impact'!$K$4:$AA$16,A18+1,FALSE)</f>
        <v>Medium</v>
      </c>
      <c r="D18" s="186" t="s">
        <v>295</v>
      </c>
      <c r="E18" s="186" t="s">
        <v>321</v>
      </c>
      <c r="F18" s="198" t="s">
        <v>299</v>
      </c>
      <c r="G18" s="265"/>
      <c r="H18" s="657" t="s">
        <v>328</v>
      </c>
      <c r="I18" s="657" t="s">
        <v>328</v>
      </c>
      <c r="J18" s="208" t="s">
        <v>357</v>
      </c>
      <c r="K18" s="188" t="s">
        <v>358</v>
      </c>
      <c r="L18" s="216" t="s">
        <v>359</v>
      </c>
      <c r="M18" s="216" t="s">
        <v>360</v>
      </c>
      <c r="N18" s="216" t="s">
        <v>328</v>
      </c>
      <c r="O18" s="216"/>
      <c r="P18" s="216" t="s">
        <v>361</v>
      </c>
      <c r="Q18" s="216" t="s">
        <v>362</v>
      </c>
    </row>
    <row r="19" spans="1:19" ht="102">
      <c r="A19" s="71">
        <v>13</v>
      </c>
      <c r="B19" s="188" t="s">
        <v>363</v>
      </c>
      <c r="C19" s="186" t="str">
        <f>VLOOKUP($B$2,'Sector Impact'!$K$4:$AA$16,A19+1,FALSE)</f>
        <v>High</v>
      </c>
      <c r="D19" s="186" t="s">
        <v>295</v>
      </c>
      <c r="E19" s="186" t="s">
        <v>321</v>
      </c>
      <c r="F19" s="198" t="s">
        <v>295</v>
      </c>
      <c r="G19" s="265"/>
      <c r="H19" s="187"/>
      <c r="I19" s="415" t="s">
        <v>364</v>
      </c>
      <c r="J19" s="205" t="s">
        <v>365</v>
      </c>
      <c r="K19" s="188" t="s">
        <v>366</v>
      </c>
      <c r="L19" s="217" t="s">
        <v>367</v>
      </c>
      <c r="M19" s="217" t="s">
        <v>368</v>
      </c>
      <c r="N19" s="217" t="s">
        <v>328</v>
      </c>
      <c r="O19" s="217"/>
      <c r="P19" s="217" t="s">
        <v>369</v>
      </c>
      <c r="Q19" s="217" t="s">
        <v>368</v>
      </c>
    </row>
    <row r="20" spans="1:19">
      <c r="A20" s="71">
        <v>14</v>
      </c>
      <c r="B20" s="188" t="s">
        <v>370</v>
      </c>
      <c r="C20" s="186" t="str">
        <f>VLOOKUP($B$2,'Sector Impact'!$K$4:$AA$16,A20+1,FALSE)</f>
        <v>Low</v>
      </c>
      <c r="D20" s="186"/>
      <c r="E20" s="186"/>
      <c r="F20" s="198"/>
      <c r="G20" s="199"/>
      <c r="H20" s="414"/>
      <c r="I20" s="414"/>
      <c r="J20" s="205"/>
      <c r="K20" s="188" t="s">
        <v>371</v>
      </c>
      <c r="L20" s="216" t="s">
        <v>372</v>
      </c>
      <c r="M20" s="216" t="s">
        <v>372</v>
      </c>
      <c r="N20" s="216" t="s">
        <v>373</v>
      </c>
      <c r="O20" s="216"/>
      <c r="P20" s="216" t="s">
        <v>374</v>
      </c>
      <c r="Q20" s="216" t="s">
        <v>375</v>
      </c>
    </row>
    <row r="21" spans="1:19" ht="51">
      <c r="A21" s="71">
        <v>15</v>
      </c>
      <c r="B21" s="188" t="s">
        <v>376</v>
      </c>
      <c r="C21" s="186" t="str">
        <f>VLOOKUP($B$2,'Sector Impact'!$K$4:$AA$16,A21+1,FALSE)</f>
        <v>High</v>
      </c>
      <c r="D21" s="186" t="s">
        <v>295</v>
      </c>
      <c r="E21" s="186" t="s">
        <v>347</v>
      </c>
      <c r="F21" s="198" t="s">
        <v>299</v>
      </c>
      <c r="G21" s="269"/>
      <c r="H21" s="187"/>
      <c r="I21" s="415" t="s">
        <v>328</v>
      </c>
      <c r="J21" s="205" t="s">
        <v>377</v>
      </c>
    </row>
    <row r="22" spans="1:19">
      <c r="A22" s="71">
        <v>16</v>
      </c>
      <c r="B22" s="188" t="s">
        <v>378</v>
      </c>
      <c r="C22" s="190" t="str">
        <f>VLOOKUP($B$2,'Sector Impact'!$K$4:$AA$16,A22+1,FALSE)</f>
        <v>Low</v>
      </c>
      <c r="D22" s="186" t="s">
        <v>295</v>
      </c>
      <c r="E22" s="186"/>
      <c r="F22" s="198"/>
      <c r="G22" s="199"/>
      <c r="H22" s="414"/>
      <c r="I22" s="414"/>
      <c r="J22" s="189"/>
    </row>
    <row r="23" spans="1:19" ht="15">
      <c r="B23" s="194" t="s">
        <v>379</v>
      </c>
      <c r="C23" s="209"/>
      <c r="D23" s="191"/>
      <c r="E23" s="200"/>
      <c r="F23" s="200"/>
      <c r="G23" s="201"/>
      <c r="H23" s="413"/>
      <c r="I23" s="413"/>
      <c r="J23" s="202"/>
      <c r="K23" s="1304" t="s">
        <v>380</v>
      </c>
      <c r="L23" s="1305"/>
      <c r="M23" s="1306"/>
    </row>
    <row r="24" spans="1:19" ht="89.25">
      <c r="A24" s="71">
        <v>17</v>
      </c>
      <c r="B24" s="188" t="s">
        <v>381</v>
      </c>
      <c r="C24" s="210"/>
      <c r="D24" s="211"/>
      <c r="E24" s="204" t="s">
        <v>321</v>
      </c>
      <c r="F24" s="204" t="s">
        <v>299</v>
      </c>
      <c r="G24" s="265"/>
      <c r="H24" s="187"/>
      <c r="I24" s="415" t="s">
        <v>328</v>
      </c>
      <c r="J24" s="212" t="s">
        <v>382</v>
      </c>
      <c r="K24" s="238" t="s">
        <v>383</v>
      </c>
      <c r="L24" s="72" t="s">
        <v>384</v>
      </c>
      <c r="M24" s="73" t="s">
        <v>385</v>
      </c>
      <c r="O24" s="538" t="s">
        <v>234</v>
      </c>
    </row>
    <row r="25" spans="1:19" ht="15.75" customHeight="1">
      <c r="A25" s="71">
        <v>18</v>
      </c>
      <c r="B25" s="188" t="s">
        <v>386</v>
      </c>
      <c r="C25" s="210"/>
      <c r="D25" s="211"/>
      <c r="E25" s="204" t="s">
        <v>321</v>
      </c>
      <c r="F25" s="204" t="s">
        <v>299</v>
      </c>
      <c r="G25" s="265"/>
      <c r="H25" s="187"/>
      <c r="I25" s="415" t="s">
        <v>328</v>
      </c>
      <c r="J25" s="205" t="s">
        <v>387</v>
      </c>
      <c r="K25" s="177" t="s">
        <v>388</v>
      </c>
      <c r="L25" s="178" t="s">
        <v>389</v>
      </c>
      <c r="M25" s="1307" t="s">
        <v>390</v>
      </c>
      <c r="O25" s="539"/>
    </row>
    <row r="26" spans="1:19" ht="15.75" customHeight="1">
      <c r="A26" s="71">
        <v>19</v>
      </c>
      <c r="B26" s="188" t="s">
        <v>391</v>
      </c>
      <c r="C26" s="210"/>
      <c r="D26" s="211"/>
      <c r="E26" s="204" t="s">
        <v>347</v>
      </c>
      <c r="F26" s="204" t="s">
        <v>299</v>
      </c>
      <c r="G26" s="269"/>
      <c r="H26" s="187"/>
      <c r="I26" s="415" t="s">
        <v>328</v>
      </c>
      <c r="J26" s="212" t="s">
        <v>392</v>
      </c>
      <c r="K26" s="177" t="s">
        <v>321</v>
      </c>
      <c r="L26" s="178" t="s">
        <v>347</v>
      </c>
      <c r="M26" s="1308"/>
      <c r="O26" s="540"/>
    </row>
    <row r="27" spans="1:19" ht="38.25">
      <c r="A27" s="71">
        <v>20</v>
      </c>
      <c r="B27" s="188" t="s">
        <v>393</v>
      </c>
      <c r="C27" s="210"/>
      <c r="D27" s="211"/>
      <c r="E27" s="204"/>
      <c r="F27" s="204"/>
      <c r="G27" s="265"/>
      <c r="H27" s="187"/>
      <c r="I27" s="415" t="s">
        <v>328</v>
      </c>
      <c r="J27" s="212" t="s">
        <v>394</v>
      </c>
      <c r="K27" s="179" t="s">
        <v>395</v>
      </c>
      <c r="L27" s="180" t="s">
        <v>321</v>
      </c>
      <c r="M27" s="1308"/>
      <c r="O27" s="541"/>
    </row>
    <row r="28" spans="1:19" ht="25.5">
      <c r="A28" s="71">
        <v>21</v>
      </c>
      <c r="B28" s="188" t="s">
        <v>396</v>
      </c>
      <c r="C28" s="210"/>
      <c r="D28" s="211"/>
      <c r="E28" s="204" t="s">
        <v>397</v>
      </c>
      <c r="F28" s="204" t="s">
        <v>299</v>
      </c>
      <c r="G28" s="541"/>
      <c r="H28" s="187"/>
      <c r="I28" s="415" t="s">
        <v>328</v>
      </c>
      <c r="J28" s="659" t="s">
        <v>398</v>
      </c>
      <c r="K28" s="181" t="s">
        <v>399</v>
      </c>
      <c r="L28" s="182" t="s">
        <v>397</v>
      </c>
      <c r="M28" s="1309"/>
    </row>
    <row r="29" spans="1:19" ht="25.5">
      <c r="A29" s="71">
        <v>22</v>
      </c>
      <c r="B29" s="188" t="s">
        <v>400</v>
      </c>
      <c r="C29" s="210"/>
      <c r="D29" s="211"/>
      <c r="E29" s="204" t="s">
        <v>389</v>
      </c>
      <c r="F29" s="204" t="s">
        <v>299</v>
      </c>
      <c r="G29" s="269"/>
      <c r="H29" s="187"/>
      <c r="I29" s="415" t="s">
        <v>328</v>
      </c>
      <c r="J29" s="658" t="s">
        <v>401</v>
      </c>
    </row>
    <row r="30" spans="1:19" ht="26.1" customHeight="1">
      <c r="A30" s="71">
        <v>23</v>
      </c>
      <c r="B30" s="188" t="s">
        <v>402</v>
      </c>
      <c r="C30" s="210"/>
      <c r="D30" s="211"/>
      <c r="E30" s="204" t="s">
        <v>397</v>
      </c>
      <c r="F30" s="204" t="s">
        <v>299</v>
      </c>
      <c r="G30" s="541"/>
      <c r="H30" s="187"/>
      <c r="I30" s="415" t="s">
        <v>328</v>
      </c>
      <c r="J30" s="212" t="s">
        <v>403</v>
      </c>
    </row>
    <row r="31" spans="1:19" ht="20.25" customHeight="1">
      <c r="A31" s="71">
        <v>24</v>
      </c>
      <c r="B31" s="213" t="s">
        <v>404</v>
      </c>
      <c r="C31" s="210"/>
      <c r="D31" s="211"/>
      <c r="E31" s="204" t="s">
        <v>321</v>
      </c>
      <c r="F31" s="204" t="s">
        <v>299</v>
      </c>
      <c r="G31" s="265"/>
      <c r="H31" s="187"/>
      <c r="I31" s="415" t="s">
        <v>328</v>
      </c>
      <c r="J31" s="203" t="s">
        <v>405</v>
      </c>
      <c r="L31" s="504"/>
    </row>
    <row r="32" spans="1:19" ht="13.5" customHeight="1">
      <c r="A32" s="71">
        <v>25</v>
      </c>
      <c r="B32" s="188" t="s">
        <v>406</v>
      </c>
      <c r="C32" s="210"/>
      <c r="D32" s="204" t="s">
        <v>299</v>
      </c>
      <c r="E32" s="204" t="s">
        <v>347</v>
      </c>
      <c r="F32" s="204" t="s">
        <v>299</v>
      </c>
      <c r="G32" s="269"/>
      <c r="H32" s="187"/>
      <c r="I32" s="415" t="s">
        <v>328</v>
      </c>
      <c r="J32" s="205" t="s">
        <v>407</v>
      </c>
      <c r="L32" s="505"/>
    </row>
    <row r="33" spans="1:27" ht="13.5" customHeight="1">
      <c r="A33" s="71">
        <v>26</v>
      </c>
      <c r="B33" s="188" t="s">
        <v>408</v>
      </c>
      <c r="C33" s="210"/>
      <c r="D33" s="204" t="s">
        <v>295</v>
      </c>
      <c r="E33" s="204" t="s">
        <v>347</v>
      </c>
      <c r="F33" s="204" t="s">
        <v>299</v>
      </c>
      <c r="G33" s="269"/>
      <c r="H33" s="187"/>
      <c r="I33" s="415" t="s">
        <v>328</v>
      </c>
      <c r="J33" s="205" t="s">
        <v>409</v>
      </c>
      <c r="L33" s="266"/>
      <c r="N33" s="266"/>
    </row>
    <row r="34" spans="1:27" ht="13.5" customHeight="1">
      <c r="A34" s="71">
        <v>27</v>
      </c>
      <c r="B34" s="188" t="s">
        <v>410</v>
      </c>
      <c r="C34" s="210"/>
      <c r="D34" s="214" t="s">
        <v>295</v>
      </c>
      <c r="E34" s="204" t="s">
        <v>347</v>
      </c>
      <c r="F34" s="204" t="s">
        <v>299</v>
      </c>
      <c r="G34" s="269"/>
      <c r="H34" s="187"/>
      <c r="I34" s="415" t="s">
        <v>328</v>
      </c>
      <c r="J34" s="205" t="s">
        <v>411</v>
      </c>
      <c r="L34" s="267"/>
      <c r="N34" s="267"/>
    </row>
    <row r="35" spans="1:27">
      <c r="B35" s="78"/>
      <c r="C35" s="78"/>
      <c r="D35" s="78"/>
      <c r="E35" s="78"/>
      <c r="F35" s="78"/>
      <c r="G35" s="78"/>
      <c r="H35" s="416"/>
      <c r="I35" s="416"/>
      <c r="J35" s="78"/>
      <c r="T35" s="79"/>
    </row>
    <row r="36" spans="1:27" ht="18">
      <c r="B36" s="80"/>
      <c r="T36" s="79"/>
    </row>
    <row r="37" spans="1:27">
      <c r="K37"/>
      <c r="T37" s="79"/>
    </row>
    <row r="38" spans="1:27">
      <c r="C38"/>
      <c r="D38"/>
      <c r="E38"/>
      <c r="F38"/>
      <c r="G38"/>
      <c r="H38" s="418"/>
      <c r="I38" s="418"/>
      <c r="J38"/>
      <c r="K38"/>
      <c r="L38"/>
      <c r="M38"/>
      <c r="N38"/>
      <c r="O38"/>
      <c r="P38"/>
      <c r="Q38"/>
      <c r="R38"/>
      <c r="S38"/>
      <c r="T38"/>
      <c r="U38"/>
      <c r="V38"/>
      <c r="W38"/>
      <c r="X38"/>
      <c r="Y38"/>
      <c r="Z38"/>
      <c r="AA38"/>
    </row>
    <row r="39" spans="1:27">
      <c r="C39"/>
      <c r="D39"/>
      <c r="E39"/>
      <c r="F39"/>
      <c r="G39"/>
      <c r="H39" s="418"/>
      <c r="I39" s="418"/>
      <c r="J39"/>
      <c r="M39"/>
      <c r="N39"/>
      <c r="O39"/>
      <c r="P39"/>
      <c r="Q39"/>
      <c r="R39"/>
      <c r="S39"/>
      <c r="T39"/>
      <c r="U39"/>
      <c r="V39"/>
      <c r="W39"/>
      <c r="X39"/>
      <c r="Y39"/>
      <c r="Z39"/>
      <c r="AA39"/>
    </row>
    <row r="54" spans="14:19">
      <c r="N54" s="1303"/>
      <c r="O54" s="1303"/>
      <c r="P54" s="1303"/>
      <c r="Q54" s="1303"/>
      <c r="R54" s="1303"/>
      <c r="S54" s="1303"/>
    </row>
    <row r="55" spans="14:19">
      <c r="O55" s="419"/>
      <c r="P55" s="419"/>
      <c r="Q55" s="419"/>
      <c r="R55" s="419"/>
      <c r="S55" s="419"/>
    </row>
    <row r="56" spans="14:19">
      <c r="N56" s="420"/>
      <c r="O56" s="420"/>
      <c r="P56" s="420"/>
      <c r="Q56" s="420"/>
      <c r="R56" s="420"/>
      <c r="S56" s="420"/>
    </row>
    <row r="57" spans="14:19">
      <c r="N57" s="420"/>
      <c r="O57" s="420"/>
      <c r="P57" s="420"/>
      <c r="Q57" s="420"/>
      <c r="R57" s="420"/>
      <c r="S57" s="420"/>
    </row>
    <row r="58" spans="14:19">
      <c r="N58" s="420"/>
      <c r="O58" s="420"/>
      <c r="P58" s="420"/>
      <c r="Q58" s="420"/>
      <c r="R58" s="420"/>
      <c r="S58" s="420"/>
    </row>
    <row r="59" spans="14:19">
      <c r="N59" s="420"/>
      <c r="O59" s="420"/>
      <c r="P59" s="420"/>
      <c r="Q59" s="420"/>
      <c r="R59" s="420"/>
      <c r="S59" s="420"/>
    </row>
    <row r="60" spans="14:19">
      <c r="N60" s="420"/>
      <c r="O60" s="420"/>
      <c r="P60" s="420"/>
      <c r="Q60" s="420"/>
      <c r="R60" s="420"/>
      <c r="S60" s="420"/>
    </row>
    <row r="61" spans="14:19">
      <c r="N61" s="420"/>
      <c r="O61" s="420"/>
      <c r="P61" s="420"/>
      <c r="Q61" s="420"/>
      <c r="R61" s="420"/>
      <c r="S61" s="420"/>
    </row>
    <row r="62" spans="14:19">
      <c r="N62" s="420"/>
      <c r="O62" s="420"/>
      <c r="P62" s="420"/>
      <c r="Q62" s="420"/>
      <c r="R62" s="420"/>
      <c r="S62" s="420"/>
    </row>
    <row r="63" spans="14:19">
      <c r="N63" s="420"/>
      <c r="O63" s="420"/>
      <c r="P63" s="420"/>
      <c r="Q63" s="420"/>
      <c r="R63" s="420"/>
      <c r="S63" s="420"/>
    </row>
    <row r="64" spans="14:19">
      <c r="N64" s="420"/>
      <c r="O64" s="420"/>
      <c r="P64" s="420"/>
      <c r="Q64" s="420"/>
      <c r="R64" s="420"/>
      <c r="S64" s="420"/>
    </row>
    <row r="65" spans="14:19">
      <c r="N65" s="420"/>
      <c r="O65" s="420"/>
      <c r="P65" s="420"/>
      <c r="Q65" s="420"/>
      <c r="R65" s="420"/>
      <c r="S65" s="420"/>
    </row>
    <row r="66" spans="14:19">
      <c r="N66" s="1300"/>
      <c r="O66" s="1300"/>
      <c r="P66" s="1300"/>
      <c r="Q66" s="1300"/>
      <c r="R66" s="1300"/>
      <c r="S66" s="1300"/>
    </row>
    <row r="67" spans="14:19">
      <c r="N67" s="420"/>
      <c r="O67" s="420"/>
      <c r="P67" s="420"/>
      <c r="Q67" s="420"/>
      <c r="R67" s="420"/>
      <c r="S67" s="420"/>
    </row>
    <row r="68" spans="14:19">
      <c r="N68" s="420"/>
      <c r="O68" s="420"/>
      <c r="P68" s="420"/>
      <c r="Q68" s="420"/>
      <c r="R68" s="420"/>
      <c r="S68" s="420"/>
    </row>
    <row r="69" spans="14:19">
      <c r="N69" s="420"/>
      <c r="O69" s="420"/>
      <c r="P69" s="420"/>
      <c r="Q69" s="420"/>
      <c r="R69" s="420"/>
      <c r="S69" s="420"/>
    </row>
    <row r="70" spans="14:19">
      <c r="N70" s="420"/>
      <c r="O70" s="420"/>
      <c r="P70" s="420"/>
      <c r="Q70" s="420"/>
      <c r="R70" s="420"/>
      <c r="S70" s="420"/>
    </row>
    <row r="71" spans="14:19">
      <c r="N71" s="420"/>
      <c r="O71" s="420"/>
      <c r="P71" s="420"/>
      <c r="Q71" s="420"/>
      <c r="R71" s="420"/>
      <c r="S71" s="420"/>
    </row>
    <row r="72" spans="14:19">
      <c r="N72" s="420"/>
      <c r="O72" s="420"/>
      <c r="P72" s="420"/>
      <c r="Q72" s="420"/>
      <c r="R72" s="420"/>
      <c r="S72" s="420"/>
    </row>
    <row r="73" spans="14:19">
      <c r="N73" s="420"/>
      <c r="O73" s="420"/>
      <c r="P73" s="420"/>
      <c r="Q73" s="420"/>
      <c r="R73" s="420"/>
      <c r="S73" s="420"/>
    </row>
    <row r="74" spans="14:19">
      <c r="N74" s="421"/>
      <c r="O74" s="420"/>
      <c r="P74" s="420"/>
      <c r="Q74" s="420"/>
      <c r="R74" s="420"/>
      <c r="S74" s="420"/>
    </row>
    <row r="75" spans="14:19">
      <c r="N75" s="421"/>
      <c r="O75" s="420"/>
      <c r="P75" s="420"/>
      <c r="Q75" s="420"/>
      <c r="R75" s="420"/>
      <c r="S75" s="420"/>
    </row>
    <row r="76" spans="14:19">
      <c r="N76" s="421"/>
      <c r="O76" s="420"/>
      <c r="P76" s="420"/>
      <c r="Q76" s="420"/>
      <c r="R76" s="420"/>
      <c r="S76" s="420"/>
    </row>
    <row r="77" spans="14:19">
      <c r="N77" s="420"/>
      <c r="O77" s="420"/>
      <c r="P77" s="420"/>
      <c r="Q77" s="420"/>
      <c r="R77" s="420"/>
      <c r="S77" s="420"/>
    </row>
    <row r="78" spans="14:19">
      <c r="N78" s="1300"/>
      <c r="O78" s="1300"/>
      <c r="P78" s="1300"/>
      <c r="Q78" s="1300"/>
      <c r="R78" s="1300"/>
      <c r="S78" s="1300"/>
    </row>
    <row r="79" spans="14:19">
      <c r="N79" s="420"/>
      <c r="O79" s="420"/>
      <c r="P79" s="420"/>
      <c r="Q79" s="420"/>
      <c r="R79" s="420"/>
      <c r="S79" s="420"/>
    </row>
    <row r="80" spans="14:19">
      <c r="N80" s="420"/>
      <c r="O80" s="420"/>
      <c r="P80" s="420"/>
      <c r="Q80" s="420"/>
      <c r="R80" s="420"/>
      <c r="S80" s="420"/>
    </row>
    <row r="81" spans="14:19">
      <c r="N81" s="420"/>
      <c r="O81" s="420"/>
      <c r="P81" s="420"/>
      <c r="Q81" s="420"/>
      <c r="R81" s="420"/>
      <c r="S81" s="420"/>
    </row>
    <row r="82" spans="14:19">
      <c r="N82" s="420"/>
      <c r="O82" s="420"/>
      <c r="P82" s="420"/>
      <c r="Q82" s="420"/>
      <c r="R82" s="420"/>
      <c r="S82" s="420"/>
    </row>
    <row r="83" spans="14:19">
      <c r="N83" s="420"/>
      <c r="O83" s="420"/>
      <c r="P83" s="420"/>
      <c r="Q83" s="420"/>
      <c r="R83" s="420"/>
      <c r="S83" s="420"/>
    </row>
    <row r="84" spans="14:19">
      <c r="N84" s="420"/>
      <c r="O84" s="420"/>
      <c r="P84" s="420"/>
      <c r="Q84" s="420"/>
      <c r="R84" s="420"/>
      <c r="S84" s="420"/>
    </row>
    <row r="85" spans="14:19">
      <c r="N85" s="420"/>
      <c r="O85" s="420"/>
      <c r="P85" s="420"/>
      <c r="Q85" s="420"/>
      <c r="R85" s="420"/>
      <c r="S85" s="420"/>
    </row>
    <row r="86" spans="14:19">
      <c r="N86" s="421"/>
      <c r="O86" s="420"/>
      <c r="P86" s="420"/>
      <c r="Q86" s="420"/>
      <c r="R86" s="420"/>
      <c r="S86" s="420"/>
    </row>
    <row r="87" spans="14:19">
      <c r="N87" s="421"/>
      <c r="O87" s="420"/>
      <c r="P87" s="420"/>
      <c r="Q87" s="420"/>
      <c r="R87" s="420"/>
      <c r="S87" s="420"/>
    </row>
    <row r="88" spans="14:19">
      <c r="N88" s="421"/>
      <c r="O88" s="420"/>
      <c r="P88" s="420"/>
      <c r="Q88" s="420"/>
      <c r="R88" s="420"/>
      <c r="S88" s="420"/>
    </row>
    <row r="89" spans="14:19">
      <c r="N89" s="420"/>
      <c r="O89" s="420"/>
      <c r="P89" s="420"/>
      <c r="Q89" s="420"/>
      <c r="R89" s="420"/>
      <c r="S89" s="420"/>
    </row>
    <row r="90" spans="14:19">
      <c r="N90" s="1300"/>
      <c r="O90" s="1300"/>
      <c r="P90" s="1300"/>
      <c r="Q90" s="1300"/>
      <c r="R90" s="1300"/>
      <c r="S90" s="1300"/>
    </row>
    <row r="91" spans="14:19">
      <c r="N91" s="420"/>
      <c r="O91" s="420"/>
      <c r="P91" s="420"/>
      <c r="Q91" s="420"/>
      <c r="R91" s="420"/>
      <c r="S91" s="420"/>
    </row>
    <row r="92" spans="14:19">
      <c r="N92" s="421"/>
      <c r="O92" s="420"/>
      <c r="P92" s="420"/>
      <c r="Q92" s="420"/>
      <c r="R92" s="420"/>
      <c r="S92" s="420"/>
    </row>
    <row r="93" spans="14:19">
      <c r="N93" s="421"/>
      <c r="O93" s="420"/>
      <c r="P93" s="420"/>
      <c r="Q93" s="420"/>
      <c r="R93" s="420"/>
      <c r="S93" s="420"/>
    </row>
    <row r="94" spans="14:19">
      <c r="N94" s="421"/>
      <c r="O94" s="420"/>
      <c r="P94" s="420"/>
      <c r="Q94" s="420"/>
      <c r="R94" s="420"/>
      <c r="S94" s="420"/>
    </row>
    <row r="95" spans="14:19">
      <c r="N95" s="421"/>
      <c r="O95" s="420"/>
      <c r="P95" s="420"/>
      <c r="Q95" s="420"/>
      <c r="R95" s="420"/>
      <c r="S95" s="420"/>
    </row>
    <row r="96" spans="14:19">
      <c r="N96" s="421"/>
      <c r="O96" s="420"/>
      <c r="P96" s="420"/>
      <c r="Q96" s="420"/>
      <c r="R96" s="420"/>
      <c r="S96" s="420"/>
    </row>
    <row r="97" spans="14:19">
      <c r="N97" s="421"/>
      <c r="O97" s="420"/>
      <c r="P97" s="420"/>
      <c r="Q97" s="420"/>
      <c r="R97" s="420"/>
      <c r="S97" s="420"/>
    </row>
    <row r="98" spans="14:19">
      <c r="N98" s="421"/>
      <c r="O98" s="420"/>
      <c r="P98" s="420"/>
      <c r="Q98" s="420"/>
      <c r="R98" s="420"/>
      <c r="S98" s="420"/>
    </row>
    <row r="99" spans="14:19">
      <c r="N99" s="421"/>
      <c r="O99" s="420"/>
      <c r="P99" s="420"/>
      <c r="Q99" s="420"/>
      <c r="R99" s="420"/>
      <c r="S99" s="420"/>
    </row>
    <row r="100" spans="14:19">
      <c r="N100" s="421"/>
      <c r="O100" s="420"/>
      <c r="P100" s="420"/>
      <c r="Q100" s="420"/>
      <c r="R100" s="420"/>
      <c r="S100" s="420"/>
    </row>
  </sheetData>
  <mergeCells count="8">
    <mergeCell ref="N90:S90"/>
    <mergeCell ref="B3:J3"/>
    <mergeCell ref="K3:Q3"/>
    <mergeCell ref="N54:S54"/>
    <mergeCell ref="N66:S66"/>
    <mergeCell ref="N78:S78"/>
    <mergeCell ref="K23:M23"/>
    <mergeCell ref="M25:M28"/>
  </mergeCells>
  <conditionalFormatting sqref="C10:G10">
    <cfRule type="expression" dxfId="35" priority="22">
      <formula>$C$10="Low"</formula>
    </cfRule>
  </conditionalFormatting>
  <conditionalFormatting sqref="D6:F6 H6:J6">
    <cfRule type="expression" dxfId="34" priority="39">
      <formula>$C$6="Low"</formula>
    </cfRule>
  </conditionalFormatting>
  <conditionalFormatting sqref="D8:F8 J8">
    <cfRule type="expression" dxfId="33" priority="37">
      <formula>$C$8="Low"</formula>
    </cfRule>
  </conditionalFormatting>
  <conditionalFormatting sqref="D13:F13 J13">
    <cfRule type="expression" dxfId="32" priority="33">
      <formula>$C$13="Low"</formula>
    </cfRule>
  </conditionalFormatting>
  <conditionalFormatting sqref="D16:F16 I16:J16">
    <cfRule type="expression" dxfId="31" priority="30">
      <formula>$C$16="Low"</formula>
    </cfRule>
  </conditionalFormatting>
  <conditionalFormatting sqref="D17:F17 J17">
    <cfRule type="expression" dxfId="30" priority="29">
      <formula>$C$17="Low"</formula>
    </cfRule>
  </conditionalFormatting>
  <conditionalFormatting sqref="D18:F18 H18:J18">
    <cfRule type="expression" dxfId="29" priority="28">
      <formula>$C$18="Low"</formula>
    </cfRule>
  </conditionalFormatting>
  <conditionalFormatting sqref="D19:F19 J20">
    <cfRule type="expression" dxfId="28" priority="27">
      <formula>$C$19="Low"</formula>
    </cfRule>
  </conditionalFormatting>
  <conditionalFormatting sqref="D21:F21 J21">
    <cfRule type="expression" dxfId="27" priority="25">
      <formula>$C$21="Low"</formula>
    </cfRule>
  </conditionalFormatting>
  <conditionalFormatting sqref="D7:G7 J7">
    <cfRule type="expression" dxfId="26" priority="38">
      <formula>$C$7="Low"</formula>
    </cfRule>
  </conditionalFormatting>
  <conditionalFormatting sqref="D9:G9 J9:J10">
    <cfRule type="expression" dxfId="25" priority="36">
      <formula>$C$9="Low"</formula>
    </cfRule>
  </conditionalFormatting>
  <conditionalFormatting sqref="D12:G12 J12">
    <cfRule type="expression" dxfId="24" priority="34">
      <formula>$C$12="Low"</formula>
    </cfRule>
  </conditionalFormatting>
  <conditionalFormatting sqref="D14:G14 J14">
    <cfRule type="expression" dxfId="23" priority="32">
      <formula>$C$14="Low"</formula>
    </cfRule>
  </conditionalFormatting>
  <conditionalFormatting sqref="D15:J15">
    <cfRule type="expression" dxfId="22" priority="31">
      <formula>$C$15="Low"</formula>
    </cfRule>
  </conditionalFormatting>
  <conditionalFormatting sqref="D20:J20">
    <cfRule type="expression" dxfId="21" priority="26">
      <formula>$C$20="Low"</formula>
    </cfRule>
  </conditionalFormatting>
  <conditionalFormatting sqref="D22:J22">
    <cfRule type="expression" dxfId="20" priority="24">
      <formula>$C$22="Low"</formula>
    </cfRule>
  </conditionalFormatting>
  <conditionalFormatting sqref="G6">
    <cfRule type="expression" dxfId="19" priority="20">
      <formula>$C$7="Low"</formula>
    </cfRule>
  </conditionalFormatting>
  <conditionalFormatting sqref="G8">
    <cfRule type="expression" dxfId="18" priority="4">
      <formula>$C$9="Low"</formula>
    </cfRule>
  </conditionalFormatting>
  <conditionalFormatting sqref="G13">
    <cfRule type="expression" dxfId="17" priority="3">
      <formula>$C$12="Low"</formula>
    </cfRule>
  </conditionalFormatting>
  <conditionalFormatting sqref="G16">
    <cfRule type="expression" dxfId="16" priority="1">
      <formula>$C$12="Low"</formula>
    </cfRule>
  </conditionalFormatting>
  <conditionalFormatting sqref="G18:G19">
    <cfRule type="expression" dxfId="15" priority="2">
      <formula>$C$17="Low"</formula>
    </cfRule>
  </conditionalFormatting>
  <conditionalFormatting sqref="H16:H17">
    <cfRule type="expression" dxfId="14" priority="9">
      <formula>$C$6="Low"</formula>
    </cfRule>
  </conditionalFormatting>
  <conditionalFormatting sqref="H19">
    <cfRule type="expression" dxfId="13" priority="8">
      <formula>$C$6="Low"</formula>
    </cfRule>
  </conditionalFormatting>
  <conditionalFormatting sqref="H21">
    <cfRule type="expression" dxfId="12" priority="7">
      <formula>$C$6="Low"</formula>
    </cfRule>
  </conditionalFormatting>
  <conditionalFormatting sqref="H24:H34">
    <cfRule type="expression" dxfId="11" priority="6">
      <formula>$C$6="Low"</formula>
    </cfRule>
  </conditionalFormatting>
  <conditionalFormatting sqref="H7:I10">
    <cfRule type="expression" dxfId="10" priority="17">
      <formula>$C$6="Low"</formula>
    </cfRule>
  </conditionalFormatting>
  <conditionalFormatting sqref="H12:I14">
    <cfRule type="expression" dxfId="9" priority="10">
      <formula>$C$6="Low"</formula>
    </cfRule>
  </conditionalFormatting>
  <conditionalFormatting sqref="I17">
    <cfRule type="expression" dxfId="8" priority="14">
      <formula>$C$16="Low"</formula>
    </cfRule>
  </conditionalFormatting>
  <conditionalFormatting sqref="I19">
    <cfRule type="expression" dxfId="7" priority="13">
      <formula>$C$16="Low"</formula>
    </cfRule>
  </conditionalFormatting>
  <conditionalFormatting sqref="I21">
    <cfRule type="expression" dxfId="6" priority="12">
      <formula>$C$16="Low"</formula>
    </cfRule>
  </conditionalFormatting>
  <conditionalFormatting sqref="I24:I34">
    <cfRule type="expression" dxfId="5" priority="11">
      <formula>$C$16="Low"</formula>
    </cfRule>
  </conditionalFormatting>
  <conditionalFormatting sqref="J19">
    <cfRule type="expression" dxfId="4" priority="5">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5"/>
  <sheetViews>
    <sheetView showGridLines="0" tabSelected="1" topLeftCell="B49" zoomScale="85" zoomScaleNormal="85" workbookViewId="0">
      <selection activeCell="F12" sqref="F12"/>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11" width="11.140625" style="2" customWidth="1"/>
    <col min="12" max="12" width="19"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316" t="s">
        <v>412</v>
      </c>
      <c r="B1" s="1316"/>
      <c r="C1" s="1316"/>
      <c r="D1" s="1316"/>
      <c r="E1" s="1316"/>
      <c r="F1" s="1316"/>
      <c r="G1" s="1316"/>
      <c r="H1" s="1316"/>
      <c r="I1" s="1316"/>
      <c r="J1" s="1316"/>
      <c r="K1" s="1316"/>
      <c r="L1" s="1316"/>
      <c r="M1" s="1316"/>
      <c r="N1" s="1316"/>
      <c r="O1" s="1316"/>
      <c r="P1" s="1316"/>
      <c r="Q1" s="1316"/>
      <c r="R1" s="1316"/>
      <c r="S1" s="1316"/>
      <c r="T1" s="1316"/>
      <c r="U1" s="1316"/>
      <c r="V1" s="1316"/>
      <c r="W1" s="1316"/>
      <c r="X1" s="1316"/>
      <c r="Y1" s="1316"/>
      <c r="Z1" s="1316"/>
      <c r="AA1" s="1316"/>
      <c r="AB1" s="1316"/>
      <c r="AC1" s="1316"/>
      <c r="AD1" s="1316"/>
      <c r="AE1" s="1316"/>
      <c r="AF1" s="1316"/>
      <c r="AG1" s="11"/>
      <c r="AH1" s="11"/>
      <c r="AI1" s="11"/>
      <c r="AJ1" s="11"/>
      <c r="AK1" s="11"/>
      <c r="AL1" s="11"/>
      <c r="AM1" s="11"/>
      <c r="AN1" s="11"/>
    </row>
    <row r="2" spans="1:40" ht="3.75" customHeight="1" thickBot="1">
      <c r="A2" s="1317"/>
      <c r="B2" s="1317"/>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c r="AD2" s="1317"/>
      <c r="AE2" s="1317"/>
      <c r="AF2" s="1317"/>
      <c r="AG2" s="422"/>
      <c r="AH2" s="11"/>
      <c r="AI2" s="11"/>
      <c r="AJ2" s="11"/>
      <c r="AK2" s="11"/>
      <c r="AL2" s="11"/>
      <c r="AM2" s="11"/>
      <c r="AN2" s="11"/>
    </row>
    <row r="3" spans="1:40" ht="19.5" thickBot="1">
      <c r="A3" s="219"/>
      <c r="B3" s="219"/>
      <c r="C3" s="219"/>
      <c r="D3" s="219"/>
      <c r="E3" s="219"/>
      <c r="F3" s="219"/>
      <c r="G3" s="1323" t="s">
        <v>413</v>
      </c>
      <c r="H3" s="1324"/>
      <c r="I3" s="1324"/>
      <c r="J3" s="1324"/>
      <c r="K3" s="1325" t="s">
        <v>414</v>
      </c>
      <c r="L3" s="1326"/>
      <c r="M3" s="1326"/>
      <c r="N3" s="1326"/>
      <c r="O3" s="1326"/>
      <c r="P3" s="1326"/>
      <c r="Q3" s="1326"/>
      <c r="R3" s="1326"/>
      <c r="S3" s="1326"/>
      <c r="T3" s="1326"/>
      <c r="U3" s="1326"/>
      <c r="V3" s="1326"/>
      <c r="W3" s="1326"/>
      <c r="X3" s="1326"/>
      <c r="Y3" s="1326"/>
      <c r="Z3" s="1326"/>
      <c r="AA3" s="1326"/>
      <c r="AB3" s="1326"/>
      <c r="AC3" s="1326"/>
      <c r="AD3" s="1326"/>
      <c r="AE3" s="1326"/>
      <c r="AF3" s="1327"/>
      <c r="AG3" s="422"/>
      <c r="AH3" s="11"/>
      <c r="AI3" s="11"/>
      <c r="AJ3" s="11"/>
      <c r="AK3" s="11"/>
      <c r="AL3" s="11"/>
      <c r="AM3" s="11"/>
      <c r="AN3" s="11"/>
    </row>
    <row r="4" spans="1:40" ht="15">
      <c r="A4" s="241" t="s">
        <v>415</v>
      </c>
      <c r="B4" s="954" t="s">
        <v>416</v>
      </c>
      <c r="C4" s="948" t="s">
        <v>417</v>
      </c>
      <c r="D4" s="250" t="s">
        <v>418</v>
      </c>
      <c r="E4" s="250" t="s">
        <v>419</v>
      </c>
      <c r="F4" s="251" t="s">
        <v>420</v>
      </c>
      <c r="G4" s="248">
        <v>2024</v>
      </c>
      <c r="H4" s="248">
        <f>G4+1</f>
        <v>2025</v>
      </c>
      <c r="I4" s="248">
        <f t="shared" ref="I4:AF4" si="0">H4+1</f>
        <v>2026</v>
      </c>
      <c r="J4" s="249">
        <f t="shared" si="0"/>
        <v>2027</v>
      </c>
      <c r="K4" s="250">
        <f t="shared" si="0"/>
        <v>2028</v>
      </c>
      <c r="L4" s="250">
        <f t="shared" si="0"/>
        <v>2029</v>
      </c>
      <c r="M4" s="250">
        <f t="shared" si="0"/>
        <v>2030</v>
      </c>
      <c r="N4" s="250">
        <f t="shared" si="0"/>
        <v>2031</v>
      </c>
      <c r="O4" s="250">
        <f t="shared" si="0"/>
        <v>2032</v>
      </c>
      <c r="P4" s="250">
        <f t="shared" si="0"/>
        <v>2033</v>
      </c>
      <c r="Q4" s="250">
        <f t="shared" si="0"/>
        <v>2034</v>
      </c>
      <c r="R4" s="250">
        <f t="shared" si="0"/>
        <v>2035</v>
      </c>
      <c r="S4" s="250">
        <f t="shared" si="0"/>
        <v>2036</v>
      </c>
      <c r="T4" s="250">
        <f t="shared" si="0"/>
        <v>2037</v>
      </c>
      <c r="U4" s="250">
        <f t="shared" si="0"/>
        <v>2038</v>
      </c>
      <c r="V4" s="250">
        <f t="shared" si="0"/>
        <v>2039</v>
      </c>
      <c r="W4" s="250">
        <f t="shared" si="0"/>
        <v>2040</v>
      </c>
      <c r="X4" s="250">
        <f t="shared" si="0"/>
        <v>2041</v>
      </c>
      <c r="Y4" s="250">
        <f t="shared" si="0"/>
        <v>2042</v>
      </c>
      <c r="Z4" s="250">
        <f t="shared" si="0"/>
        <v>2043</v>
      </c>
      <c r="AA4" s="250">
        <f t="shared" si="0"/>
        <v>2044</v>
      </c>
      <c r="AB4" s="250">
        <f t="shared" si="0"/>
        <v>2045</v>
      </c>
      <c r="AC4" s="250">
        <f t="shared" si="0"/>
        <v>2046</v>
      </c>
      <c r="AD4" s="250">
        <f t="shared" si="0"/>
        <v>2047</v>
      </c>
      <c r="AE4" s="250">
        <f t="shared" si="0"/>
        <v>2048</v>
      </c>
      <c r="AF4" s="251">
        <f t="shared" si="0"/>
        <v>2049</v>
      </c>
      <c r="AG4" s="422"/>
      <c r="AH4" s="11"/>
      <c r="AI4" s="11"/>
      <c r="AJ4" s="11"/>
      <c r="AK4" s="11"/>
      <c r="AL4" s="11"/>
      <c r="AM4" s="11"/>
      <c r="AN4" s="11"/>
    </row>
    <row r="5" spans="1:40">
      <c r="A5" s="1191" t="s">
        <v>421</v>
      </c>
      <c r="B5" s="955">
        <v>1</v>
      </c>
      <c r="C5" s="949" t="s">
        <v>422</v>
      </c>
      <c r="D5" s="957">
        <f>'Fin. Data'!D6</f>
        <v>0.42050819216884183</v>
      </c>
      <c r="E5" s="259">
        <f t="shared" ref="E5:AF5" si="1">+E6/D6-1</f>
        <v>0.27212746200087978</v>
      </c>
      <c r="F5" s="936">
        <f t="shared" si="1"/>
        <v>0.1464904529563178</v>
      </c>
      <c r="G5" s="928">
        <f>+G6/F6-1</f>
        <v>0.14999999999999991</v>
      </c>
      <c r="H5" s="918">
        <f>+H6/G6-1</f>
        <v>0.13500000000000001</v>
      </c>
      <c r="I5" s="918">
        <f>+I6/H6-1</f>
        <v>0.12000000000000011</v>
      </c>
      <c r="J5" s="919">
        <f>+J6/I6-1</f>
        <v>0.10499999999999998</v>
      </c>
      <c r="K5" s="928">
        <f t="shared" si="1"/>
        <v>9.000000000000008E-2</v>
      </c>
      <c r="L5" s="918">
        <f t="shared" si="1"/>
        <v>8.6500000000000021E-2</v>
      </c>
      <c r="M5" s="918">
        <f t="shared" si="1"/>
        <v>8.2999999999999963E-2</v>
      </c>
      <c r="N5" s="918">
        <f t="shared" si="1"/>
        <v>7.9499999999999904E-2</v>
      </c>
      <c r="O5" s="918">
        <f t="shared" si="1"/>
        <v>7.6000000000000068E-2</v>
      </c>
      <c r="P5" s="918">
        <f t="shared" si="1"/>
        <v>7.2500000000000009E-2</v>
      </c>
      <c r="Q5" s="918">
        <f t="shared" si="1"/>
        <v>6.899999999999995E-2</v>
      </c>
      <c r="R5" s="918">
        <f t="shared" si="1"/>
        <v>6.5499999999999892E-2</v>
      </c>
      <c r="S5" s="918">
        <f t="shared" si="1"/>
        <v>6.2000000000000055E-2</v>
      </c>
      <c r="T5" s="918">
        <f t="shared" si="1"/>
        <v>5.8499999999999996E-2</v>
      </c>
      <c r="U5" s="918">
        <f t="shared" si="1"/>
        <v>5.4999999999999938E-2</v>
      </c>
      <c r="V5" s="918">
        <f t="shared" si="1"/>
        <v>5.1499999999999879E-2</v>
      </c>
      <c r="W5" s="918">
        <f t="shared" si="1"/>
        <v>4.8000000000000043E-2</v>
      </c>
      <c r="X5" s="918">
        <f t="shared" si="1"/>
        <v>4.4499999999999984E-2</v>
      </c>
      <c r="Y5" s="918">
        <f t="shared" si="1"/>
        <v>4.0999999999999925E-2</v>
      </c>
      <c r="Z5" s="918">
        <f t="shared" si="1"/>
        <v>3.7499999999999867E-2</v>
      </c>
      <c r="AA5" s="918">
        <f t="shared" si="1"/>
        <v>3.400000000000003E-2</v>
      </c>
      <c r="AB5" s="918">
        <f t="shared" si="1"/>
        <v>3.0499999999999972E-2</v>
      </c>
      <c r="AC5" s="918">
        <f t="shared" si="1"/>
        <v>2.6999999999999913E-2</v>
      </c>
      <c r="AD5" s="918">
        <f t="shared" si="1"/>
        <v>2.3499999999999854E-2</v>
      </c>
      <c r="AE5" s="918">
        <f t="shared" si="1"/>
        <v>2.0000000000000018E-2</v>
      </c>
      <c r="AF5" s="919">
        <f t="shared" si="1"/>
        <v>1.6499999999999959E-2</v>
      </c>
      <c r="AG5" s="336"/>
      <c r="AH5" s="11" t="s">
        <v>423</v>
      </c>
      <c r="AI5" s="11"/>
      <c r="AJ5" s="11"/>
      <c r="AK5" s="11"/>
      <c r="AL5" s="11"/>
      <c r="AM5" s="11"/>
      <c r="AN5" s="11"/>
    </row>
    <row r="6" spans="1:40" ht="15">
      <c r="A6" s="1191"/>
      <c r="B6" s="955">
        <v>2</v>
      </c>
      <c r="C6" s="950" t="s">
        <v>424</v>
      </c>
      <c r="D6" s="958">
        <f>Inputs!D6</f>
        <v>2046.1</v>
      </c>
      <c r="E6" s="605">
        <f>Inputs!C6</f>
        <v>2602.9</v>
      </c>
      <c r="F6" s="937">
        <f>Inputs!B6</f>
        <v>2984.2</v>
      </c>
      <c r="G6" s="929">
        <f>Assumptions!C44</f>
        <v>3431.8299999999995</v>
      </c>
      <c r="H6" s="912">
        <f>Assumptions!D44</f>
        <v>3895.1270499999996</v>
      </c>
      <c r="I6" s="912">
        <f>Assumptions!E44</f>
        <v>4362.5422959999996</v>
      </c>
      <c r="J6" s="920">
        <f>Assumptions!F44</f>
        <v>4820.6092370799997</v>
      </c>
      <c r="K6" s="929">
        <f>Assumptions!G44</f>
        <v>5254.4640684172</v>
      </c>
      <c r="L6" s="912">
        <f>Assumptions!H44</f>
        <v>5708.9752103352876</v>
      </c>
      <c r="M6" s="912">
        <f>Assumptions!I44</f>
        <v>6182.820152793116</v>
      </c>
      <c r="N6" s="912">
        <f>Assumptions!J44</f>
        <v>6674.3543549401684</v>
      </c>
      <c r="O6" s="912">
        <f>Assumptions!K44</f>
        <v>7181.6052859156216</v>
      </c>
      <c r="P6" s="912">
        <f>Assumptions!L44</f>
        <v>7702.2716691445039</v>
      </c>
      <c r="Q6" s="912">
        <f>Assumptions!M44</f>
        <v>8233.7284143154739</v>
      </c>
      <c r="R6" s="912">
        <f>Assumptions!N44</f>
        <v>8773.0376254531366</v>
      </c>
      <c r="S6" s="912">
        <f>Assumptions!O44</f>
        <v>9316.9659582312306</v>
      </c>
      <c r="T6" s="912">
        <f>Assumptions!P44</f>
        <v>9862.0084667877582</v>
      </c>
      <c r="U6" s="912">
        <f>Assumptions!Q44</f>
        <v>10404.418932461083</v>
      </c>
      <c r="V6" s="912">
        <f>Assumptions!R44</f>
        <v>10940.246507482829</v>
      </c>
      <c r="W6" s="912">
        <f>Assumptions!S44</f>
        <v>11465.378339842006</v>
      </c>
      <c r="X6" s="912">
        <f>Assumptions!T44</f>
        <v>11975.587675964975</v>
      </c>
      <c r="Y6" s="912">
        <f>Assumptions!U44</f>
        <v>12466.586770679538</v>
      </c>
      <c r="Z6" s="912">
        <f>Assumptions!V44</f>
        <v>12934.083774580018</v>
      </c>
      <c r="AA6" s="912">
        <f>Assumptions!W44</f>
        <v>13373.842622915739</v>
      </c>
      <c r="AB6" s="912">
        <f>Assumptions!X44</f>
        <v>13781.744822914668</v>
      </c>
      <c r="AC6" s="912">
        <f>Assumptions!Y44</f>
        <v>14153.851933133363</v>
      </c>
      <c r="AD6" s="912">
        <f>Assumptions!Z44</f>
        <v>14486.467453561994</v>
      </c>
      <c r="AE6" s="912">
        <f>Assumptions!AA44</f>
        <v>14776.196802633234</v>
      </c>
      <c r="AF6" s="920">
        <f>Assumptions!AB44</f>
        <v>15020.004049876681</v>
      </c>
      <c r="AG6" s="423"/>
      <c r="AH6" s="11"/>
      <c r="AI6" s="11"/>
      <c r="AJ6" s="11"/>
      <c r="AK6" s="11"/>
      <c r="AL6" s="11"/>
      <c r="AM6" s="11"/>
      <c r="AN6" s="11"/>
    </row>
    <row r="7" spans="1:40">
      <c r="A7" s="1191"/>
      <c r="B7" s="955">
        <v>3</v>
      </c>
      <c r="C7" s="951" t="s">
        <v>425</v>
      </c>
      <c r="D7" s="959">
        <f>D8/D6</f>
        <v>0.28307511851815653</v>
      </c>
      <c r="E7" s="279">
        <f t="shared" ref="E7:F7" si="2">E8/E6</f>
        <v>0.29755272964770063</v>
      </c>
      <c r="F7" s="938">
        <f t="shared" si="2"/>
        <v>0.29952382548086592</v>
      </c>
      <c r="G7" s="930">
        <v>0.3</v>
      </c>
      <c r="H7" s="913">
        <v>0.29499999999999998</v>
      </c>
      <c r="I7" s="913">
        <v>0.28999999999999998</v>
      </c>
      <c r="J7" s="921">
        <v>0.28499999999999998</v>
      </c>
      <c r="K7" s="930">
        <f>J7-0.001</f>
        <v>0.28399999999999997</v>
      </c>
      <c r="L7" s="913">
        <f t="shared" ref="L7:AF7" si="3">K7-0.001</f>
        <v>0.28299999999999997</v>
      </c>
      <c r="M7" s="913">
        <f t="shared" si="3"/>
        <v>0.28199999999999997</v>
      </c>
      <c r="N7" s="913">
        <f t="shared" si="3"/>
        <v>0.28099999999999997</v>
      </c>
      <c r="O7" s="913">
        <f t="shared" si="3"/>
        <v>0.27999999999999997</v>
      </c>
      <c r="P7" s="913">
        <f t="shared" si="3"/>
        <v>0.27899999999999997</v>
      </c>
      <c r="Q7" s="913">
        <f t="shared" si="3"/>
        <v>0.27799999999999997</v>
      </c>
      <c r="R7" s="913">
        <f t="shared" si="3"/>
        <v>0.27699999999999997</v>
      </c>
      <c r="S7" s="913">
        <f t="shared" si="3"/>
        <v>0.27599999999999997</v>
      </c>
      <c r="T7" s="913">
        <f t="shared" si="3"/>
        <v>0.27499999999999997</v>
      </c>
      <c r="U7" s="913">
        <f t="shared" si="3"/>
        <v>0.27399999999999997</v>
      </c>
      <c r="V7" s="913">
        <f t="shared" si="3"/>
        <v>0.27299999999999996</v>
      </c>
      <c r="W7" s="913">
        <f t="shared" si="3"/>
        <v>0.27199999999999996</v>
      </c>
      <c r="X7" s="913">
        <f t="shared" si="3"/>
        <v>0.27099999999999996</v>
      </c>
      <c r="Y7" s="913">
        <f t="shared" si="3"/>
        <v>0.26999999999999996</v>
      </c>
      <c r="Z7" s="913">
        <f t="shared" si="3"/>
        <v>0.26899999999999996</v>
      </c>
      <c r="AA7" s="913">
        <f t="shared" si="3"/>
        <v>0.26799999999999996</v>
      </c>
      <c r="AB7" s="913">
        <f t="shared" si="3"/>
        <v>0.26699999999999996</v>
      </c>
      <c r="AC7" s="913">
        <f t="shared" si="3"/>
        <v>0.26599999999999996</v>
      </c>
      <c r="AD7" s="913">
        <f t="shared" si="3"/>
        <v>0.26499999999999996</v>
      </c>
      <c r="AE7" s="913">
        <f t="shared" si="3"/>
        <v>0.26399999999999996</v>
      </c>
      <c r="AF7" s="921">
        <f t="shared" si="3"/>
        <v>0.26299999999999996</v>
      </c>
      <c r="AG7" s="911">
        <f>(J7/AF7)/22/100</f>
        <v>4.9256826823366746E-4</v>
      </c>
      <c r="AH7" s="11" t="s">
        <v>423</v>
      </c>
      <c r="AI7" s="11"/>
      <c r="AJ7" s="11"/>
      <c r="AK7" s="11"/>
      <c r="AL7" s="11"/>
      <c r="AM7" s="11"/>
      <c r="AN7" s="11"/>
    </row>
    <row r="8" spans="1:40" ht="15">
      <c r="A8" s="1191"/>
      <c r="B8" s="955">
        <v>4</v>
      </c>
      <c r="C8" s="952" t="s">
        <v>67</v>
      </c>
      <c r="D8" s="960">
        <f>'Fin. Data'!D11</f>
        <v>579.20000000000005</v>
      </c>
      <c r="E8" s="280">
        <f>'Fin. Data'!C11</f>
        <v>774.5</v>
      </c>
      <c r="F8" s="939">
        <f>'Fin. Data'!B11</f>
        <v>893.83900000000006</v>
      </c>
      <c r="G8" s="929">
        <f>G7*G6</f>
        <v>1029.5489999999998</v>
      </c>
      <c r="H8" s="912">
        <f t="shared" ref="H8:AF8" si="4">H7*H6</f>
        <v>1149.0624797499997</v>
      </c>
      <c r="I8" s="912">
        <f t="shared" si="4"/>
        <v>1265.1372658399998</v>
      </c>
      <c r="J8" s="920">
        <f t="shared" si="4"/>
        <v>1373.8736325677999</v>
      </c>
      <c r="K8" s="929">
        <f t="shared" si="4"/>
        <v>1492.2677954304847</v>
      </c>
      <c r="L8" s="912">
        <f t="shared" si="4"/>
        <v>1615.6399845248861</v>
      </c>
      <c r="M8" s="912">
        <f t="shared" si="4"/>
        <v>1743.5552830876586</v>
      </c>
      <c r="N8" s="912">
        <f t="shared" si="4"/>
        <v>1875.493573738187</v>
      </c>
      <c r="O8" s="912">
        <f t="shared" si="4"/>
        <v>2010.8494800563737</v>
      </c>
      <c r="P8" s="912">
        <f t="shared" si="4"/>
        <v>2148.9337956913164</v>
      </c>
      <c r="Q8" s="912">
        <f t="shared" si="4"/>
        <v>2288.9764991797015</v>
      </c>
      <c r="R8" s="912">
        <f t="shared" si="4"/>
        <v>2430.1314222505184</v>
      </c>
      <c r="S8" s="912">
        <f t="shared" si="4"/>
        <v>2571.4826044718193</v>
      </c>
      <c r="T8" s="912">
        <f t="shared" si="4"/>
        <v>2712.052328366633</v>
      </c>
      <c r="U8" s="912">
        <f t="shared" si="4"/>
        <v>2850.8107874943366</v>
      </c>
      <c r="V8" s="912">
        <f t="shared" si="4"/>
        <v>2986.687296542812</v>
      </c>
      <c r="W8" s="912">
        <f t="shared" si="4"/>
        <v>3118.5829084370253</v>
      </c>
      <c r="X8" s="912">
        <f t="shared" si="4"/>
        <v>3245.3842601865076</v>
      </c>
      <c r="Y8" s="912">
        <f t="shared" si="4"/>
        <v>3365.9784280834747</v>
      </c>
      <c r="Z8" s="912">
        <f t="shared" si="4"/>
        <v>3479.2685353620245</v>
      </c>
      <c r="AA8" s="912">
        <f t="shared" si="4"/>
        <v>3584.1898229414178</v>
      </c>
      <c r="AB8" s="912">
        <f t="shared" si="4"/>
        <v>3679.7258677182158</v>
      </c>
      <c r="AC8" s="912">
        <f t="shared" si="4"/>
        <v>3764.9246142134739</v>
      </c>
      <c r="AD8" s="912">
        <f t="shared" si="4"/>
        <v>3838.9138751939277</v>
      </c>
      <c r="AE8" s="912">
        <f t="shared" si="4"/>
        <v>3900.9159558951733</v>
      </c>
      <c r="AF8" s="920">
        <f t="shared" si="4"/>
        <v>3950.2610651175664</v>
      </c>
      <c r="AG8" s="408"/>
      <c r="AH8" s="7"/>
      <c r="AI8" s="7"/>
      <c r="AJ8" s="7"/>
      <c r="AK8" s="11"/>
      <c r="AL8" s="11"/>
      <c r="AM8" s="11"/>
      <c r="AN8" s="11"/>
    </row>
    <row r="9" spans="1:40" ht="15">
      <c r="A9" s="1191"/>
      <c r="B9" s="955" t="s">
        <v>426</v>
      </c>
      <c r="C9" s="950" t="s">
        <v>427</v>
      </c>
      <c r="D9" s="961">
        <v>-208.27600000000001</v>
      </c>
      <c r="E9" s="798">
        <v>-242.75399999999999</v>
      </c>
      <c r="F9" s="940">
        <v>-265.31400000000002</v>
      </c>
      <c r="G9" s="932">
        <f t="shared" ref="G9:AF9" si="5">F9*(1+G5)</f>
        <v>-305.11110000000002</v>
      </c>
      <c r="H9" s="932">
        <f t="shared" si="5"/>
        <v>-346.30109850000002</v>
      </c>
      <c r="I9" s="932">
        <f t="shared" si="5"/>
        <v>-387.85723032000004</v>
      </c>
      <c r="J9" s="932">
        <f t="shared" si="5"/>
        <v>-428.58223950360002</v>
      </c>
      <c r="K9" s="932">
        <f t="shared" si="5"/>
        <v>-467.15464105892408</v>
      </c>
      <c r="L9" s="932">
        <f t="shared" si="5"/>
        <v>-507.56351751052102</v>
      </c>
      <c r="M9" s="932">
        <f t="shared" si="5"/>
        <v>-549.69128946389424</v>
      </c>
      <c r="N9" s="932">
        <f t="shared" si="5"/>
        <v>-593.39174697627379</v>
      </c>
      <c r="O9" s="932">
        <f t="shared" si="5"/>
        <v>-638.48951974647059</v>
      </c>
      <c r="P9" s="932">
        <f t="shared" si="5"/>
        <v>-684.78000992808973</v>
      </c>
      <c r="Q9" s="932">
        <f t="shared" si="5"/>
        <v>-732.02983061312784</v>
      </c>
      <c r="R9" s="932">
        <f t="shared" si="5"/>
        <v>-779.97778451828765</v>
      </c>
      <c r="S9" s="932">
        <f t="shared" si="5"/>
        <v>-828.33640715842148</v>
      </c>
      <c r="T9" s="932">
        <f t="shared" si="5"/>
        <v>-876.79408697718918</v>
      </c>
      <c r="U9" s="932">
        <f t="shared" si="5"/>
        <v>-925.01776176093449</v>
      </c>
      <c r="V9" s="932">
        <f t="shared" si="5"/>
        <v>-972.65617649162255</v>
      </c>
      <c r="W9" s="932">
        <f t="shared" si="5"/>
        <v>-1019.3436729632205</v>
      </c>
      <c r="X9" s="932">
        <f t="shared" si="5"/>
        <v>-1064.7044664100838</v>
      </c>
      <c r="Y9" s="932">
        <f t="shared" si="5"/>
        <v>-1108.3573495328972</v>
      </c>
      <c r="Z9" s="932">
        <f t="shared" si="5"/>
        <v>-1149.9207501403807</v>
      </c>
      <c r="AA9" s="932">
        <f t="shared" si="5"/>
        <v>-1189.0180556451537</v>
      </c>
      <c r="AB9" s="932">
        <f t="shared" si="5"/>
        <v>-1225.2831063423309</v>
      </c>
      <c r="AC9" s="932">
        <f t="shared" si="5"/>
        <v>-1258.3657502135738</v>
      </c>
      <c r="AD9" s="932">
        <f t="shared" si="5"/>
        <v>-1287.9373453435926</v>
      </c>
      <c r="AE9" s="932">
        <f t="shared" si="5"/>
        <v>-1313.6960922504645</v>
      </c>
      <c r="AF9" s="932">
        <f t="shared" si="5"/>
        <v>-1335.3720777725971</v>
      </c>
      <c r="AG9" s="409">
        <f>SUM(D9:AF9)</f>
        <v>-22692.077107141653</v>
      </c>
      <c r="AH9" s="7"/>
      <c r="AI9" s="7"/>
      <c r="AJ9" s="7"/>
      <c r="AK9" s="11"/>
      <c r="AL9" s="11"/>
      <c r="AM9" s="11"/>
      <c r="AN9" s="11"/>
    </row>
    <row r="10" spans="1:40" ht="15">
      <c r="A10" s="1191"/>
      <c r="B10" s="955" t="s">
        <v>428</v>
      </c>
      <c r="C10" s="950" t="s">
        <v>429</v>
      </c>
      <c r="D10" s="961">
        <v>-38.243000000000002</v>
      </c>
      <c r="E10" s="798">
        <v>-22.163</v>
      </c>
      <c r="F10" s="940">
        <v>-26.385999999999999</v>
      </c>
      <c r="G10" s="932">
        <f t="shared" ref="G10:J10" si="6">F38*$D$54</f>
        <v>-28.508297999999996</v>
      </c>
      <c r="H10" s="915">
        <f t="shared" si="6"/>
        <v>-29.249513747999998</v>
      </c>
      <c r="I10" s="915">
        <f t="shared" si="6"/>
        <v>-30.010001105447998</v>
      </c>
      <c r="J10" s="923">
        <f t="shared" si="6"/>
        <v>-30.790261134189645</v>
      </c>
      <c r="K10" s="931">
        <f t="shared" ref="K10:AF10" si="7">J38*$E$54</f>
        <v>-31.590807923678579</v>
      </c>
      <c r="L10" s="914">
        <f t="shared" si="7"/>
        <v>-32.412168929694218</v>
      </c>
      <c r="M10" s="914">
        <f t="shared" si="7"/>
        <v>-33.254885321866269</v>
      </c>
      <c r="N10" s="914">
        <f t="shared" si="7"/>
        <v>-34.119512340234792</v>
      </c>
      <c r="O10" s="914">
        <f t="shared" si="7"/>
        <v>-35.006619661080904</v>
      </c>
      <c r="P10" s="914">
        <f t="shared" si="7"/>
        <v>-35.916791772269008</v>
      </c>
      <c r="Q10" s="914">
        <f t="shared" si="7"/>
        <v>-36.850628358348004</v>
      </c>
      <c r="R10" s="914">
        <f t="shared" si="7"/>
        <v>-37.808744695665055</v>
      </c>
      <c r="S10" s="914">
        <f t="shared" si="7"/>
        <v>-38.791772057752347</v>
      </c>
      <c r="T10" s="914">
        <f t="shared" si="7"/>
        <v>-39.800358131253908</v>
      </c>
      <c r="U10" s="914">
        <f t="shared" si="7"/>
        <v>-40.83516744266651</v>
      </c>
      <c r="V10" s="914">
        <f t="shared" si="7"/>
        <v>-41.89688179617584</v>
      </c>
      <c r="W10" s="914">
        <f t="shared" si="7"/>
        <v>-42.986200722876411</v>
      </c>
      <c r="X10" s="914">
        <f t="shared" si="7"/>
        <v>-44.103841941671199</v>
      </c>
      <c r="Y10" s="914">
        <f t="shared" si="7"/>
        <v>-45.250541832154646</v>
      </c>
      <c r="Z10" s="914">
        <f t="shared" si="7"/>
        <v>-46.427055919790668</v>
      </c>
      <c r="AA10" s="914">
        <f t="shared" si="7"/>
        <v>-47.634159373705224</v>
      </c>
      <c r="AB10" s="914">
        <f t="shared" si="7"/>
        <v>-48.872647517421562</v>
      </c>
      <c r="AC10" s="914">
        <f t="shared" si="7"/>
        <v>-50.14333635287452</v>
      </c>
      <c r="AD10" s="914">
        <f t="shared" si="7"/>
        <v>-51.447063098049256</v>
      </c>
      <c r="AE10" s="914">
        <f t="shared" si="7"/>
        <v>-52.784686738598538</v>
      </c>
      <c r="AF10" s="922">
        <f t="shared" si="7"/>
        <v>-54.157088593802094</v>
      </c>
      <c r="AG10" s="408"/>
      <c r="AH10" s="7"/>
      <c r="AI10" s="7"/>
      <c r="AJ10" s="7"/>
      <c r="AK10" s="11"/>
      <c r="AL10" s="11"/>
      <c r="AM10" s="11"/>
      <c r="AN10" s="11"/>
    </row>
    <row r="11" spans="1:40" ht="15">
      <c r="A11" s="1191"/>
      <c r="B11" s="955" t="s">
        <v>430</v>
      </c>
      <c r="C11" s="950" t="s">
        <v>431</v>
      </c>
      <c r="D11" s="962">
        <f>D20</f>
        <v>-28.6</v>
      </c>
      <c r="E11" s="798">
        <f>E20</f>
        <v>-37</v>
      </c>
      <c r="F11" s="940">
        <f>F20</f>
        <v>-40</v>
      </c>
      <c r="G11" s="932">
        <f>G6*$D$55</f>
        <v>-48.045619999999992</v>
      </c>
      <c r="H11" s="915">
        <f t="shared" ref="H11:AF11" si="8">H6*$D$55</f>
        <v>-54.531778699999997</v>
      </c>
      <c r="I11" s="915">
        <f t="shared" si="8"/>
        <v>-61.075592143999998</v>
      </c>
      <c r="J11" s="923">
        <f t="shared" si="8"/>
        <v>-67.488529319119991</v>
      </c>
      <c r="K11" s="932">
        <f t="shared" si="8"/>
        <v>-73.562496957840807</v>
      </c>
      <c r="L11" s="915">
        <f t="shared" si="8"/>
        <v>-79.925652944694022</v>
      </c>
      <c r="M11" s="915">
        <f t="shared" si="8"/>
        <v>-86.559482139103622</v>
      </c>
      <c r="N11" s="915">
        <f t="shared" si="8"/>
        <v>-93.440960969162361</v>
      </c>
      <c r="O11" s="915">
        <f t="shared" si="8"/>
        <v>-100.54247400281871</v>
      </c>
      <c r="P11" s="915">
        <f t="shared" si="8"/>
        <v>-107.83180336802306</v>
      </c>
      <c r="Q11" s="915">
        <f t="shared" si="8"/>
        <v>-115.27219780041663</v>
      </c>
      <c r="R11" s="915">
        <f t="shared" si="8"/>
        <v>-122.82252675634392</v>
      </c>
      <c r="S11" s="915">
        <f t="shared" si="8"/>
        <v>-130.43752341523722</v>
      </c>
      <c r="T11" s="915">
        <f t="shared" si="8"/>
        <v>-138.06811853502862</v>
      </c>
      <c r="U11" s="915">
        <f t="shared" si="8"/>
        <v>-145.66186505445518</v>
      </c>
      <c r="V11" s="915">
        <f t="shared" si="8"/>
        <v>-153.16345110475962</v>
      </c>
      <c r="W11" s="915">
        <f t="shared" si="8"/>
        <v>-160.51529675778809</v>
      </c>
      <c r="X11" s="915">
        <f t="shared" si="8"/>
        <v>-167.65822746350966</v>
      </c>
      <c r="Y11" s="915">
        <f t="shared" si="8"/>
        <v>-174.53221478951355</v>
      </c>
      <c r="Z11" s="915">
        <f t="shared" si="8"/>
        <v>-181.07717284412027</v>
      </c>
      <c r="AA11" s="915">
        <f t="shared" si="8"/>
        <v>-187.23379672082035</v>
      </c>
      <c r="AB11" s="915">
        <f t="shared" si="8"/>
        <v>-192.94442752080536</v>
      </c>
      <c r="AC11" s="915">
        <f t="shared" si="8"/>
        <v>-198.15392706386709</v>
      </c>
      <c r="AD11" s="915">
        <f t="shared" si="8"/>
        <v>-202.81054434986791</v>
      </c>
      <c r="AE11" s="915">
        <f t="shared" si="8"/>
        <v>-206.86675523686529</v>
      </c>
      <c r="AF11" s="923">
        <f t="shared" si="8"/>
        <v>-210.28005669827354</v>
      </c>
      <c r="AG11" s="408"/>
      <c r="AH11" s="7"/>
      <c r="AI11" s="7"/>
      <c r="AJ11" s="7"/>
      <c r="AK11" s="11"/>
      <c r="AL11" s="11"/>
      <c r="AM11" s="11"/>
      <c r="AN11" s="11"/>
    </row>
    <row r="12" spans="1:40" ht="15">
      <c r="A12" s="1191"/>
      <c r="B12" s="955">
        <v>6</v>
      </c>
      <c r="C12" s="952" t="s">
        <v>59</v>
      </c>
      <c r="D12" s="960">
        <f>D8-D9-D10</f>
        <v>825.71900000000016</v>
      </c>
      <c r="E12" s="260">
        <f t="shared" ref="E12:AF12" si="9">E8-E9-E10</f>
        <v>1039.4169999999999</v>
      </c>
      <c r="F12" s="941">
        <f t="shared" si="9"/>
        <v>1185.539</v>
      </c>
      <c r="G12" s="933">
        <f>G8-G9-G10</f>
        <v>1363.1683979999998</v>
      </c>
      <c r="H12" s="916">
        <f t="shared" si="9"/>
        <v>1524.6130919979998</v>
      </c>
      <c r="I12" s="916">
        <f t="shared" si="9"/>
        <v>1683.004497265448</v>
      </c>
      <c r="J12" s="924">
        <f t="shared" si="9"/>
        <v>1833.2461332055896</v>
      </c>
      <c r="K12" s="933">
        <f t="shared" si="9"/>
        <v>1991.0132444130875</v>
      </c>
      <c r="L12" s="916">
        <f t="shared" si="9"/>
        <v>2155.6156709651013</v>
      </c>
      <c r="M12" s="916">
        <f t="shared" si="9"/>
        <v>2326.5014578734194</v>
      </c>
      <c r="N12" s="916">
        <f t="shared" si="9"/>
        <v>2503.0048330546956</v>
      </c>
      <c r="O12" s="916">
        <f t="shared" si="9"/>
        <v>2684.3456194639252</v>
      </c>
      <c r="P12" s="916">
        <f t="shared" si="9"/>
        <v>2869.6305973916751</v>
      </c>
      <c r="Q12" s="916">
        <f t="shared" si="9"/>
        <v>3057.856958151177</v>
      </c>
      <c r="R12" s="916">
        <f t="shared" si="9"/>
        <v>3247.9179514644711</v>
      </c>
      <c r="S12" s="916">
        <f t="shared" si="9"/>
        <v>3438.6107836879933</v>
      </c>
      <c r="T12" s="916">
        <f t="shared" si="9"/>
        <v>3628.6467734750759</v>
      </c>
      <c r="U12" s="916">
        <f t="shared" si="9"/>
        <v>3816.6637166979381</v>
      </c>
      <c r="V12" s="916">
        <f t="shared" si="9"/>
        <v>4001.2403548306102</v>
      </c>
      <c r="W12" s="916">
        <f t="shared" si="9"/>
        <v>4180.9127821231223</v>
      </c>
      <c r="X12" s="916">
        <f t="shared" si="9"/>
        <v>4354.1925685382621</v>
      </c>
      <c r="Y12" s="916">
        <f t="shared" si="9"/>
        <v>4519.5863194485264</v>
      </c>
      <c r="Z12" s="916">
        <f t="shared" si="9"/>
        <v>4675.6163414221955</v>
      </c>
      <c r="AA12" s="916">
        <f t="shared" si="9"/>
        <v>4820.8420379602767</v>
      </c>
      <c r="AB12" s="916">
        <f t="shared" si="9"/>
        <v>4953.8816215779689</v>
      </c>
      <c r="AC12" s="916">
        <f t="shared" si="9"/>
        <v>5073.4337007799231</v>
      </c>
      <c r="AD12" s="916">
        <f t="shared" si="9"/>
        <v>5178.2982836355695</v>
      </c>
      <c r="AE12" s="916">
        <f t="shared" si="9"/>
        <v>5267.396734884237</v>
      </c>
      <c r="AF12" s="924">
        <f t="shared" si="9"/>
        <v>5339.7902314839648</v>
      </c>
      <c r="AG12" s="274"/>
      <c r="AH12" s="7"/>
      <c r="AI12" s="7"/>
      <c r="AJ12" s="7"/>
      <c r="AK12" s="11"/>
      <c r="AL12" s="11"/>
      <c r="AM12" s="11"/>
      <c r="AN12" s="11"/>
    </row>
    <row r="13" spans="1:40" ht="15">
      <c r="A13" s="1191"/>
      <c r="B13" s="955">
        <v>7</v>
      </c>
      <c r="C13" s="950" t="s">
        <v>432</v>
      </c>
      <c r="D13" s="963">
        <f>'Fin. Data'!D14</f>
        <v>-21.6</v>
      </c>
      <c r="E13" s="404">
        <f>'Fin. Data'!C14</f>
        <v>-27.2</v>
      </c>
      <c r="F13" s="942">
        <f>'Fin. Data'!B14</f>
        <v>-23.2</v>
      </c>
      <c r="G13" s="931">
        <f>F43*$D$58-F44*$D$57-Assumptions!C137*DCF!$D$65</f>
        <v>-36.442479999999989</v>
      </c>
      <c r="H13" s="931">
        <f>G43*$D$58-G44*$D$57-Assumptions!D137*DCF!$D$65</f>
        <v>-32.227176089725845</v>
      </c>
      <c r="I13" s="931">
        <f>H43*$D$58-H44*$D$57-Assumptions!E137*DCF!$D$65</f>
        <v>-29.63182400866668</v>
      </c>
      <c r="J13" s="931">
        <f>I43*$D$58-I44*$D$57-Assumptions!F137*DCF!$D$65</f>
        <v>-26.092796597086849</v>
      </c>
      <c r="K13" s="931">
        <f>J43*$D$58-J44*$D$57-Assumptions!G137*DCF!$E$65</f>
        <v>-28.117183974164028</v>
      </c>
      <c r="L13" s="931">
        <f>K43*$D$58-K44*$D$57-Assumptions!H137*DCF!$D$65</f>
        <v>-26.829218360223912</v>
      </c>
      <c r="M13" s="931">
        <f>L43*$D$58-L44*$D$57-Assumptions!I137*DCF!$D$65</f>
        <v>-22.757349633806193</v>
      </c>
      <c r="N13" s="931">
        <f>M43*$D$58-M44*$D$57-Assumptions!J137*DCF!$D$65</f>
        <v>-17.806295261721324</v>
      </c>
      <c r="O13" s="931">
        <f>N43*$D$58-N44*$D$57-Assumptions!K137*DCF!$D$65</f>
        <v>-11.963053460835667</v>
      </c>
      <c r="P13" s="931">
        <f>O43*$D$58-O44*$D$57-Assumptions!L137*DCF!$D$65</f>
        <v>-5.1406836307603214</v>
      </c>
      <c r="Q13" s="931">
        <f>P43*$D$58-P44*$D$57-Assumptions!M137*DCF!$D$65</f>
        <v>2.7456581097393524</v>
      </c>
      <c r="R13" s="931">
        <f>Q43*$D$58-Q44*$D$57-Assumptions!N137*DCF!$D$65</f>
        <v>11.754218407962327</v>
      </c>
      <c r="S13" s="931">
        <f>R43*$D$58-R44*$D$57-Assumptions!O137*DCF!$D$65</f>
        <v>21.957650083938063</v>
      </c>
      <c r="T13" s="931">
        <f>S43*$D$58-S44*$D$57-Assumptions!P137*DCF!$D$65</f>
        <v>33.421679024117793</v>
      </c>
      <c r="U13" s="931">
        <f>T43*$D$58-T44*$D$57-Assumptions!Q137*DCF!$D$65</f>
        <v>46.203434708233033</v>
      </c>
      <c r="V13" s="931">
        <f>U43*$D$58-U44*$D$57-Assumptions!R137*DCF!$D$65</f>
        <v>60.357855373730231</v>
      </c>
      <c r="W13" s="931">
        <f>V43*$D$58-V44*$D$57-Assumptions!S137*DCF!$D$65</f>
        <v>75.931881049439482</v>
      </c>
      <c r="X13" s="931">
        <f>W43*$D$58-W44*$D$57-Assumptions!T137*DCF!$D$65</f>
        <v>92.964188034577674</v>
      </c>
      <c r="Y13" s="931">
        <f>X43*$D$58-X44*$D$57-Assumptions!U137*DCF!$D$65</f>
        <v>111.48544029126876</v>
      </c>
      <c r="Z13" s="931">
        <f>Y43*$D$58-Y44*$D$57-Assumptions!V137*DCF!$D$65</f>
        <v>131.51642595196921</v>
      </c>
      <c r="AA13" s="931">
        <f>Z43*$D$58-Z44*$D$57-Assumptions!W137*DCF!$D$65</f>
        <v>153.06761393671383</v>
      </c>
      <c r="AB13" s="931">
        <f>AA43*$D$58-AA44*$D$57-Assumptions!X137*DCF!$D$65</f>
        <v>176.13868201465127</v>
      </c>
      <c r="AC13" s="931">
        <f>AB43*$D$58-AB44*$D$57-Assumptions!Y137*DCF!$D$65</f>
        <v>200.7178290145383</v>
      </c>
      <c r="AD13" s="931">
        <f>AC43*$D$58-AC44*$D$57-Assumptions!Z137*DCF!$D$65</f>
        <v>226.78152457055251</v>
      </c>
      <c r="AE13" s="931">
        <f>AD43*$D$58-AD44*$D$57-Assumptions!AA137*DCF!$D$65</f>
        <v>254.29435060095341</v>
      </c>
      <c r="AF13" s="931">
        <f>AE43*$D$58-AE44*$D$57-Assumptions!AB137*DCF!$D$65</f>
        <v>283.20897116763638</v>
      </c>
      <c r="AG13" s="408"/>
      <c r="AH13" s="7"/>
      <c r="AI13" s="7"/>
      <c r="AJ13" s="7"/>
      <c r="AK13" s="11"/>
      <c r="AL13" s="11"/>
      <c r="AM13" s="11"/>
      <c r="AN13" s="11"/>
    </row>
    <row r="14" spans="1:40" ht="15">
      <c r="A14" s="1191"/>
      <c r="B14" s="955">
        <v>8</v>
      </c>
      <c r="C14" s="950" t="s">
        <v>433</v>
      </c>
      <c r="D14" s="964">
        <f>'Fin. Data'!D15</f>
        <v>-0.02</v>
      </c>
      <c r="E14" s="281">
        <f>'Fin. Data'!C15</f>
        <v>-8.9999999999999993E-3</v>
      </c>
      <c r="F14" s="943">
        <f>'Fin. Data'!B15</f>
        <v>0</v>
      </c>
      <c r="G14" s="929">
        <f>AVERAGE(D14:F14)*(1+G5)</f>
        <v>-1.1116666666666664E-2</v>
      </c>
      <c r="H14" s="912">
        <f t="shared" ref="H14:AF14" si="10">AVERAGE(E14:G14)*(1+H5)</f>
        <v>-7.6108055555555547E-3</v>
      </c>
      <c r="I14" s="912">
        <f t="shared" si="10"/>
        <v>-6.9915896296296291E-3</v>
      </c>
      <c r="J14" s="920">
        <f t="shared" si="10"/>
        <v>-9.4731877820987635E-3</v>
      </c>
      <c r="K14" s="929">
        <f t="shared" si="10"/>
        <v>-8.7474618114465E-3</v>
      </c>
      <c r="L14" s="912">
        <f t="shared" si="10"/>
        <v>-9.131032638659841E-3</v>
      </c>
      <c r="M14" s="912">
        <f t="shared" si="10"/>
        <v>-9.8739572858260426E-3</v>
      </c>
      <c r="N14" s="912">
        <f t="shared" si="10"/>
        <v>-9.9862572163130024E-3</v>
      </c>
      <c r="O14" s="912">
        <f t="shared" si="10"/>
        <v>-1.0398193974499868E-2</v>
      </c>
      <c r="P14" s="912">
        <f t="shared" si="10"/>
        <v>-1.0817381030398414E-2</v>
      </c>
      <c r="Q14" s="912">
        <f t="shared" si="10"/>
        <v>-1.1118252881491621E-2</v>
      </c>
      <c r="R14" s="912">
        <f t="shared" si="10"/>
        <v>-1.1483897870982812E-2</v>
      </c>
      <c r="S14" s="912">
        <f t="shared" si="10"/>
        <v>-1.1830514251136987E-2</v>
      </c>
      <c r="T14" s="912">
        <f t="shared" si="10"/>
        <v>-1.2148991968774229E-2</v>
      </c>
      <c r="U14" s="912">
        <f t="shared" si="10"/>
        <v>-1.2471297105297733E-2</v>
      </c>
      <c r="V14" s="912">
        <f t="shared" si="10"/>
        <v>-1.2776006565485734E-2</v>
      </c>
      <c r="W14" s="912">
        <f t="shared" si="10"/>
        <v>-1.3063772610085489E-2</v>
      </c>
      <c r="X14" s="912">
        <f t="shared" si="10"/>
        <v>-1.3338639725122543E-2</v>
      </c>
      <c r="Y14" s="912">
        <f t="shared" si="10"/>
        <v>-1.3594911358540738E-2</v>
      </c>
      <c r="Z14" s="912">
        <f t="shared" si="10"/>
        <v>-1.3832407777421446E-2</v>
      </c>
      <c r="AA14" s="912">
        <f t="shared" si="10"/>
        <v>-1.4050667154120537E-2</v>
      </c>
      <c r="AB14" s="912">
        <f t="shared" si="10"/>
        <v>-1.4247688290643415E-2</v>
      </c>
      <c r="AC14" s="912">
        <f t="shared" si="10"/>
        <v>-1.4422764609728134E-2</v>
      </c>
      <c r="AD14" s="912">
        <f t="shared" si="10"/>
        <v>-1.4575022125257547E-2</v>
      </c>
      <c r="AE14" s="912">
        <f t="shared" si="10"/>
        <v>-1.4703461508713893E-2</v>
      </c>
      <c r="AF14" s="920">
        <f t="shared" si="10"/>
        <v>-1.4807439613240204E-2</v>
      </c>
      <c r="AG14" s="408"/>
      <c r="AH14" s="7"/>
      <c r="AI14" s="7"/>
      <c r="AJ14" s="7"/>
      <c r="AK14" s="11"/>
      <c r="AL14" s="11"/>
      <c r="AM14" s="11"/>
      <c r="AN14" s="11"/>
    </row>
    <row r="15" spans="1:40" ht="15">
      <c r="A15" s="1191"/>
      <c r="B15" s="955">
        <v>9</v>
      </c>
      <c r="C15" s="952" t="s">
        <v>434</v>
      </c>
      <c r="D15" s="965">
        <f t="shared" ref="D15:AF15" si="11">D8+D13+D14</f>
        <v>557.58000000000004</v>
      </c>
      <c r="E15" s="260">
        <f t="shared" si="11"/>
        <v>747.29099999999994</v>
      </c>
      <c r="F15" s="941">
        <f t="shared" si="11"/>
        <v>870.63900000000001</v>
      </c>
      <c r="G15" s="933">
        <f>G8+G13+G14</f>
        <v>993.09540333333314</v>
      </c>
      <c r="H15" s="916">
        <f t="shared" si="11"/>
        <v>1116.8276928547184</v>
      </c>
      <c r="I15" s="916">
        <f t="shared" si="11"/>
        <v>1235.4984502417035</v>
      </c>
      <c r="J15" s="924">
        <f t="shared" si="11"/>
        <v>1347.771362782931</v>
      </c>
      <c r="K15" s="933">
        <f t="shared" si="11"/>
        <v>1464.1418639945093</v>
      </c>
      <c r="L15" s="916">
        <f t="shared" si="11"/>
        <v>1588.8016351320236</v>
      </c>
      <c r="M15" s="916">
        <f t="shared" si="11"/>
        <v>1720.7880594965666</v>
      </c>
      <c r="N15" s="916">
        <f t="shared" si="11"/>
        <v>1857.6772922192495</v>
      </c>
      <c r="O15" s="916">
        <f t="shared" si="11"/>
        <v>1998.8760284015636</v>
      </c>
      <c r="P15" s="916">
        <f t="shared" si="11"/>
        <v>2143.7822946795259</v>
      </c>
      <c r="Q15" s="916">
        <f t="shared" si="11"/>
        <v>2291.7110390365592</v>
      </c>
      <c r="R15" s="916">
        <f t="shared" si="11"/>
        <v>2441.8741567606098</v>
      </c>
      <c r="S15" s="916">
        <f t="shared" si="11"/>
        <v>2593.4284240415063</v>
      </c>
      <c r="T15" s="916">
        <f t="shared" si="11"/>
        <v>2745.4618583987817</v>
      </c>
      <c r="U15" s="916">
        <f t="shared" si="11"/>
        <v>2897.0017509054646</v>
      </c>
      <c r="V15" s="916">
        <f t="shared" si="11"/>
        <v>3047.0323759099765</v>
      </c>
      <c r="W15" s="916">
        <f t="shared" si="11"/>
        <v>3194.5017257138547</v>
      </c>
      <c r="X15" s="916">
        <f t="shared" si="11"/>
        <v>3338.33510958136</v>
      </c>
      <c r="Y15" s="916">
        <f t="shared" si="11"/>
        <v>3477.4502734633847</v>
      </c>
      <c r="Z15" s="916">
        <f t="shared" si="11"/>
        <v>3610.7711289062163</v>
      </c>
      <c r="AA15" s="916">
        <f t="shared" si="11"/>
        <v>3737.2433862109774</v>
      </c>
      <c r="AB15" s="916">
        <f t="shared" si="11"/>
        <v>3855.8503020445764</v>
      </c>
      <c r="AC15" s="916">
        <f t="shared" si="11"/>
        <v>3965.6280204634027</v>
      </c>
      <c r="AD15" s="916">
        <f t="shared" si="11"/>
        <v>4065.6808247423546</v>
      </c>
      <c r="AE15" s="916">
        <f t="shared" si="11"/>
        <v>4155.1956030346182</v>
      </c>
      <c r="AF15" s="924">
        <f t="shared" si="11"/>
        <v>4233.4552288455898</v>
      </c>
      <c r="AG15" s="408"/>
      <c r="AH15" s="7"/>
      <c r="AI15" s="7"/>
      <c r="AJ15" s="7"/>
      <c r="AK15" s="11"/>
      <c r="AL15" s="11"/>
      <c r="AM15" s="11"/>
      <c r="AN15" s="11"/>
    </row>
    <row r="16" spans="1:40" ht="15">
      <c r="A16" s="1191"/>
      <c r="B16" s="955">
        <v>10</v>
      </c>
      <c r="C16" s="950" t="s">
        <v>435</v>
      </c>
      <c r="D16" s="966">
        <f>'Fin. Data'!D21</f>
        <v>-164</v>
      </c>
      <c r="E16" s="403">
        <f>'Fin. Data'!C21</f>
        <v>-140.59999999999991</v>
      </c>
      <c r="F16" s="944">
        <f>'Fin. Data'!B21</f>
        <v>-258.733</v>
      </c>
      <c r="G16" s="947">
        <f>-($D$56)*G15</f>
        <v>-268.13575889999998</v>
      </c>
      <c r="H16" s="917">
        <f>-(1*$D$56)*H15</f>
        <v>-301.54347707077397</v>
      </c>
      <c r="I16" s="917">
        <f>-(1*$D$56)*I15</f>
        <v>-333.58458156525995</v>
      </c>
      <c r="J16" s="925">
        <f t="shared" ref="J16:AF16" si="12">-(1*$D$56)*J15</f>
        <v>-363.8982679513914</v>
      </c>
      <c r="K16" s="934">
        <f t="shared" si="12"/>
        <v>-395.31830327851753</v>
      </c>
      <c r="L16" s="917">
        <f t="shared" si="12"/>
        <v>-428.97644148564643</v>
      </c>
      <c r="M16" s="917">
        <f t="shared" si="12"/>
        <v>-464.61277606407299</v>
      </c>
      <c r="N16" s="917">
        <f t="shared" si="12"/>
        <v>-501.57286889919737</v>
      </c>
      <c r="O16" s="917">
        <f t="shared" si="12"/>
        <v>-539.69652766842216</v>
      </c>
      <c r="P16" s="917">
        <f t="shared" si="12"/>
        <v>-578.82121956347203</v>
      </c>
      <c r="Q16" s="917">
        <f t="shared" si="12"/>
        <v>-618.76198053987105</v>
      </c>
      <c r="R16" s="917">
        <f t="shared" si="12"/>
        <v>-659.30602232536467</v>
      </c>
      <c r="S16" s="917">
        <f t="shared" si="12"/>
        <v>-700.22567449120675</v>
      </c>
      <c r="T16" s="917">
        <f t="shared" si="12"/>
        <v>-741.2747017676711</v>
      </c>
      <c r="U16" s="917">
        <f t="shared" si="12"/>
        <v>-782.19047274447553</v>
      </c>
      <c r="V16" s="917">
        <f t="shared" si="12"/>
        <v>-822.69874149569375</v>
      </c>
      <c r="W16" s="917">
        <f t="shared" si="12"/>
        <v>-862.51546594274089</v>
      </c>
      <c r="X16" s="917">
        <f t="shared" si="12"/>
        <v>-901.35047958696725</v>
      </c>
      <c r="Y16" s="917">
        <f t="shared" si="12"/>
        <v>-938.91157383511393</v>
      </c>
      <c r="Z16" s="917">
        <f t="shared" si="12"/>
        <v>-974.90820480467846</v>
      </c>
      <c r="AA16" s="917">
        <f t="shared" si="12"/>
        <v>-1009.055714276964</v>
      </c>
      <c r="AB16" s="917">
        <f t="shared" si="12"/>
        <v>-1041.0795815520357</v>
      </c>
      <c r="AC16" s="917">
        <f t="shared" si="12"/>
        <v>-1070.7195655251187</v>
      </c>
      <c r="AD16" s="917">
        <f t="shared" si="12"/>
        <v>-1097.7338226804359</v>
      </c>
      <c r="AE16" s="917">
        <f t="shared" si="12"/>
        <v>-1121.902812819347</v>
      </c>
      <c r="AF16" s="925">
        <f t="shared" si="12"/>
        <v>-1143.0329117883093</v>
      </c>
      <c r="AG16" s="408"/>
      <c r="AH16" s="7"/>
      <c r="AI16" s="7"/>
      <c r="AJ16" s="7"/>
      <c r="AK16" s="11"/>
      <c r="AL16" s="11"/>
      <c r="AM16" s="11"/>
      <c r="AN16" s="11"/>
    </row>
    <row r="17" spans="1:40" ht="15">
      <c r="A17" s="1191"/>
      <c r="B17" s="956">
        <v>11</v>
      </c>
      <c r="C17" s="953" t="s">
        <v>436</v>
      </c>
      <c r="D17" s="967">
        <f>'Fin. Data'!D23</f>
        <v>393.53300000000002</v>
      </c>
      <c r="E17" s="945">
        <f>'Fin. Data'!C23</f>
        <v>606.70000000000005</v>
      </c>
      <c r="F17" s="946">
        <f>'Fin. Data'!B23</f>
        <v>611.93100000000004</v>
      </c>
      <c r="G17" s="935">
        <f t="shared" ref="G17:AF17" si="13">G16+G15</f>
        <v>724.9596444333331</v>
      </c>
      <c r="H17" s="926">
        <f t="shared" si="13"/>
        <v>815.28421578394443</v>
      </c>
      <c r="I17" s="926">
        <f t="shared" si="13"/>
        <v>901.9138686764436</v>
      </c>
      <c r="J17" s="927">
        <f t="shared" si="13"/>
        <v>983.87309483153956</v>
      </c>
      <c r="K17" s="935">
        <f t="shared" si="13"/>
        <v>1068.8235607159918</v>
      </c>
      <c r="L17" s="926">
        <f t="shared" si="13"/>
        <v>1159.8251936463771</v>
      </c>
      <c r="M17" s="926">
        <f t="shared" si="13"/>
        <v>1256.1752834324936</v>
      </c>
      <c r="N17" s="926">
        <f t="shared" si="13"/>
        <v>1356.1044233200521</v>
      </c>
      <c r="O17" s="926">
        <f t="shared" si="13"/>
        <v>1459.1795007331416</v>
      </c>
      <c r="P17" s="926">
        <f t="shared" si="13"/>
        <v>1564.961075116054</v>
      </c>
      <c r="Q17" s="926">
        <f t="shared" si="13"/>
        <v>1672.9490584966882</v>
      </c>
      <c r="R17" s="926">
        <f t="shared" si="13"/>
        <v>1782.5681344352452</v>
      </c>
      <c r="S17" s="926">
        <f t="shared" si="13"/>
        <v>1893.2027495502996</v>
      </c>
      <c r="T17" s="926">
        <f t="shared" si="13"/>
        <v>2004.1871566311106</v>
      </c>
      <c r="U17" s="926">
        <f t="shared" si="13"/>
        <v>2114.8112781609889</v>
      </c>
      <c r="V17" s="926">
        <f t="shared" si="13"/>
        <v>2224.3336344142826</v>
      </c>
      <c r="W17" s="926">
        <f t="shared" si="13"/>
        <v>2331.986259771114</v>
      </c>
      <c r="X17" s="926">
        <f t="shared" si="13"/>
        <v>2436.9846299943929</v>
      </c>
      <c r="Y17" s="926">
        <f t="shared" si="13"/>
        <v>2538.5386996282709</v>
      </c>
      <c r="Z17" s="926">
        <f t="shared" si="13"/>
        <v>2635.8629241015378</v>
      </c>
      <c r="AA17" s="926">
        <f t="shared" si="13"/>
        <v>2728.1876719340135</v>
      </c>
      <c r="AB17" s="926">
        <f t="shared" si="13"/>
        <v>2814.7707204925409</v>
      </c>
      <c r="AC17" s="926">
        <f t="shared" si="13"/>
        <v>2894.9084549382842</v>
      </c>
      <c r="AD17" s="926">
        <f t="shared" si="13"/>
        <v>2967.9470020619187</v>
      </c>
      <c r="AE17" s="926">
        <f t="shared" si="13"/>
        <v>3033.2927902152715</v>
      </c>
      <c r="AF17" s="927">
        <f t="shared" si="13"/>
        <v>3090.4223170572805</v>
      </c>
      <c r="AG17" s="408"/>
      <c r="AH17" s="7"/>
      <c r="AI17" s="7"/>
      <c r="AJ17" s="7"/>
      <c r="AK17" s="11"/>
      <c r="AL17" s="11"/>
      <c r="AM17" s="11"/>
      <c r="AN17" s="11"/>
    </row>
    <row r="18" spans="1:40" ht="15">
      <c r="A18" s="231"/>
      <c r="B18" s="242"/>
      <c r="C18" s="243" t="s">
        <v>437</v>
      </c>
      <c r="D18" s="247" t="s">
        <v>437</v>
      </c>
      <c r="E18" s="247" t="s">
        <v>437</v>
      </c>
      <c r="F18" s="247" t="s">
        <v>437</v>
      </c>
      <c r="G18" s="244" t="s">
        <v>437</v>
      </c>
      <c r="H18" s="244" t="s">
        <v>437</v>
      </c>
      <c r="I18" s="244" t="s">
        <v>437</v>
      </c>
      <c r="J18" s="244" t="s">
        <v>437</v>
      </c>
      <c r="K18" s="244" t="s">
        <v>437</v>
      </c>
      <c r="L18" s="244" t="s">
        <v>437</v>
      </c>
      <c r="M18" s="244" t="s">
        <v>437</v>
      </c>
      <c r="N18" s="244" t="s">
        <v>437</v>
      </c>
      <c r="O18" s="244" t="s">
        <v>437</v>
      </c>
      <c r="P18" s="244" t="s">
        <v>437</v>
      </c>
      <c r="Q18" s="244" t="s">
        <v>437</v>
      </c>
      <c r="R18" s="244" t="s">
        <v>437</v>
      </c>
      <c r="S18" s="244" t="s">
        <v>437</v>
      </c>
      <c r="T18" s="244" t="s">
        <v>437</v>
      </c>
      <c r="U18" s="244" t="s">
        <v>437</v>
      </c>
      <c r="V18" s="244" t="s">
        <v>437</v>
      </c>
      <c r="W18" s="244" t="s">
        <v>437</v>
      </c>
      <c r="X18" s="244" t="s">
        <v>437</v>
      </c>
      <c r="Y18" s="244" t="s">
        <v>437</v>
      </c>
      <c r="Z18" s="244" t="s">
        <v>437</v>
      </c>
      <c r="AA18" s="244" t="s">
        <v>437</v>
      </c>
      <c r="AB18" s="244" t="s">
        <v>437</v>
      </c>
      <c r="AC18" s="244" t="s">
        <v>437</v>
      </c>
      <c r="AD18" s="244" t="s">
        <v>437</v>
      </c>
      <c r="AE18" s="244" t="s">
        <v>437</v>
      </c>
      <c r="AF18" s="252" t="s">
        <v>437</v>
      </c>
      <c r="AG18" s="408"/>
      <c r="AH18" s="7"/>
      <c r="AI18" s="7"/>
      <c r="AJ18" s="7"/>
      <c r="AK18" s="11"/>
      <c r="AL18" s="11"/>
      <c r="AM18" s="11"/>
      <c r="AN18" s="11"/>
    </row>
    <row r="19" spans="1:40" ht="15">
      <c r="A19" s="1321" t="s">
        <v>438</v>
      </c>
      <c r="B19" s="221">
        <v>12</v>
      </c>
      <c r="C19" s="358" t="s">
        <v>439</v>
      </c>
      <c r="D19" s="978">
        <f>'Fin. Data'!D67-DCF!D20-DCF!D21</f>
        <v>801.59899999999993</v>
      </c>
      <c r="E19" s="979">
        <f>'Fin. Data'!C67-DCF!E20-DCF!E21</f>
        <v>742.43200000000002</v>
      </c>
      <c r="F19" s="980">
        <f>'Fin. Data'!B67-DCF!F20-DCF!F21</f>
        <v>795.87400000000002</v>
      </c>
      <c r="G19" s="968">
        <f>G17-G10-G9-G11</f>
        <v>1106.6246624333332</v>
      </c>
      <c r="H19" s="405">
        <f>H17-H10-H9-H11</f>
        <v>1245.3666067319443</v>
      </c>
      <c r="I19" s="405">
        <f t="shared" ref="I19:AF19" si="14">I17-I10-I9-I11</f>
        <v>1380.8566922458917</v>
      </c>
      <c r="J19" s="406">
        <f t="shared" si="14"/>
        <v>1510.7341247884492</v>
      </c>
      <c r="K19" s="399">
        <f t="shared" si="14"/>
        <v>1641.1315066564352</v>
      </c>
      <c r="L19" s="405">
        <f t="shared" si="14"/>
        <v>1779.7265330312864</v>
      </c>
      <c r="M19" s="405">
        <f t="shared" si="14"/>
        <v>1925.6809403573579</v>
      </c>
      <c r="N19" s="405">
        <f t="shared" si="14"/>
        <v>2077.0566436057229</v>
      </c>
      <c r="O19" s="405">
        <f t="shared" si="14"/>
        <v>2233.2181141435121</v>
      </c>
      <c r="P19" s="405">
        <f t="shared" si="14"/>
        <v>2393.4896801844357</v>
      </c>
      <c r="Q19" s="405">
        <f t="shared" si="14"/>
        <v>2557.1017152685808</v>
      </c>
      <c r="R19" s="405">
        <f t="shared" si="14"/>
        <v>2723.1771904055418</v>
      </c>
      <c r="S19" s="405">
        <f t="shared" si="14"/>
        <v>2890.7684521817105</v>
      </c>
      <c r="T19" s="405">
        <f t="shared" si="14"/>
        <v>3058.8497202745821</v>
      </c>
      <c r="U19" s="405">
        <f t="shared" si="14"/>
        <v>3226.326072419045</v>
      </c>
      <c r="V19" s="405">
        <f t="shared" si="14"/>
        <v>3392.0501438068404</v>
      </c>
      <c r="W19" s="405">
        <f t="shared" si="14"/>
        <v>3554.8314302149988</v>
      </c>
      <c r="X19" s="405">
        <f t="shared" si="14"/>
        <v>3713.4511658096576</v>
      </c>
      <c r="Y19" s="405">
        <f t="shared" si="14"/>
        <v>3866.6788057828367</v>
      </c>
      <c r="Z19" s="405">
        <f t="shared" si="14"/>
        <v>4013.2879030058298</v>
      </c>
      <c r="AA19" s="405">
        <f t="shared" si="14"/>
        <v>4152.0736836736924</v>
      </c>
      <c r="AB19" s="405">
        <f t="shared" si="14"/>
        <v>4281.8709018730988</v>
      </c>
      <c r="AC19" s="405">
        <f t="shared" si="14"/>
        <v>4401.5714685685989</v>
      </c>
      <c r="AD19" s="405">
        <f t="shared" si="14"/>
        <v>4510.1419548534286</v>
      </c>
      <c r="AE19" s="405">
        <f t="shared" si="14"/>
        <v>4606.6403244411995</v>
      </c>
      <c r="AF19" s="407">
        <f t="shared" si="14"/>
        <v>4690.231540121953</v>
      </c>
      <c r="AG19" s="408"/>
      <c r="AH19" s="7"/>
      <c r="AI19" s="7"/>
      <c r="AJ19" s="7"/>
      <c r="AK19" s="11"/>
      <c r="AL19" s="11"/>
      <c r="AM19" s="11"/>
      <c r="AN19" s="11"/>
    </row>
    <row r="20" spans="1:40" ht="15">
      <c r="A20" s="1322"/>
      <c r="B20" s="221">
        <v>13</v>
      </c>
      <c r="C20" s="240" t="s">
        <v>440</v>
      </c>
      <c r="D20" s="981">
        <v>-28.6</v>
      </c>
      <c r="E20" s="974">
        <v>-37</v>
      </c>
      <c r="F20" s="982">
        <v>-40</v>
      </c>
      <c r="G20" s="968">
        <f>G11</f>
        <v>-48.045619999999992</v>
      </c>
      <c r="H20" s="405">
        <f t="shared" ref="H20:AF20" si="15">H11</f>
        <v>-54.531778699999997</v>
      </c>
      <c r="I20" s="405">
        <f t="shared" si="15"/>
        <v>-61.075592143999998</v>
      </c>
      <c r="J20" s="406">
        <f t="shared" si="15"/>
        <v>-67.488529319119991</v>
      </c>
      <c r="K20" s="399">
        <f t="shared" si="15"/>
        <v>-73.562496957840807</v>
      </c>
      <c r="L20" s="405">
        <f t="shared" si="15"/>
        <v>-79.925652944694022</v>
      </c>
      <c r="M20" s="405">
        <f t="shared" si="15"/>
        <v>-86.559482139103622</v>
      </c>
      <c r="N20" s="405">
        <f t="shared" si="15"/>
        <v>-93.440960969162361</v>
      </c>
      <c r="O20" s="405">
        <f t="shared" si="15"/>
        <v>-100.54247400281871</v>
      </c>
      <c r="P20" s="405">
        <f t="shared" si="15"/>
        <v>-107.83180336802306</v>
      </c>
      <c r="Q20" s="405">
        <f t="shared" si="15"/>
        <v>-115.27219780041663</v>
      </c>
      <c r="R20" s="405">
        <f t="shared" si="15"/>
        <v>-122.82252675634392</v>
      </c>
      <c r="S20" s="405">
        <f t="shared" si="15"/>
        <v>-130.43752341523722</v>
      </c>
      <c r="T20" s="405">
        <f t="shared" si="15"/>
        <v>-138.06811853502862</v>
      </c>
      <c r="U20" s="405">
        <f t="shared" si="15"/>
        <v>-145.66186505445518</v>
      </c>
      <c r="V20" s="405">
        <f t="shared" si="15"/>
        <v>-153.16345110475962</v>
      </c>
      <c r="W20" s="405">
        <f t="shared" si="15"/>
        <v>-160.51529675778809</v>
      </c>
      <c r="X20" s="405">
        <f t="shared" si="15"/>
        <v>-167.65822746350966</v>
      </c>
      <c r="Y20" s="405">
        <f t="shared" si="15"/>
        <v>-174.53221478951355</v>
      </c>
      <c r="Z20" s="405">
        <f t="shared" si="15"/>
        <v>-181.07717284412027</v>
      </c>
      <c r="AA20" s="405">
        <f t="shared" si="15"/>
        <v>-187.23379672082035</v>
      </c>
      <c r="AB20" s="405">
        <f t="shared" si="15"/>
        <v>-192.94442752080536</v>
      </c>
      <c r="AC20" s="405">
        <f t="shared" si="15"/>
        <v>-198.15392706386709</v>
      </c>
      <c r="AD20" s="405">
        <f t="shared" si="15"/>
        <v>-202.81054434986791</v>
      </c>
      <c r="AE20" s="405">
        <f t="shared" si="15"/>
        <v>-206.86675523686529</v>
      </c>
      <c r="AF20" s="407">
        <f t="shared" si="15"/>
        <v>-210.28005669827354</v>
      </c>
      <c r="AG20" s="408"/>
      <c r="AH20" s="7"/>
      <c r="AI20" s="7"/>
      <c r="AJ20" s="7"/>
      <c r="AK20" s="11"/>
      <c r="AL20" s="11"/>
      <c r="AM20" s="11"/>
      <c r="AN20" s="11"/>
    </row>
    <row r="21" spans="1:40" ht="15">
      <c r="A21" s="1322"/>
      <c r="B21" s="221">
        <v>14</v>
      </c>
      <c r="C21" s="240" t="s">
        <v>441</v>
      </c>
      <c r="D21" s="983">
        <f>Inputs!D62</f>
        <v>92.301000000000002</v>
      </c>
      <c r="E21" s="975">
        <f>Inputs!C62</f>
        <v>-42.832000000000001</v>
      </c>
      <c r="F21" s="984">
        <f>-Inputs!B62</f>
        <v>48.526000000000003</v>
      </c>
      <c r="G21" s="1001">
        <f t="shared" ref="G21:J21" si="16">$D$59*(G6-F6)</f>
        <v>-7.7294641456258475</v>
      </c>
      <c r="H21" s="376">
        <f>$D$59*(H6-G6)</f>
        <v>-7.999995390722761</v>
      </c>
      <c r="I21" s="376">
        <f t="shared" si="16"/>
        <v>-8.0711064608625165</v>
      </c>
      <c r="J21" s="377">
        <f t="shared" si="16"/>
        <v>-7.9096843316452681</v>
      </c>
      <c r="K21" s="283">
        <f t="shared" ref="K21:AF21" si="17">$E$59*(K6-J6)</f>
        <v>2.1421593357388971</v>
      </c>
      <c r="L21" s="282">
        <f t="shared" si="17"/>
        <v>2.2441499218904633</v>
      </c>
      <c r="M21" s="282">
        <f t="shared" si="17"/>
        <v>2.3396106113424384</v>
      </c>
      <c r="N21" s="282">
        <f t="shared" si="17"/>
        <v>2.4269513761526142</v>
      </c>
      <c r="O21" s="282">
        <f t="shared" si="17"/>
        <v>2.5045527648089694</v>
      </c>
      <c r="P21" s="282">
        <f t="shared" si="17"/>
        <v>2.570791594509835</v>
      </c>
      <c r="Q21" s="282">
        <f t="shared" si="17"/>
        <v>2.6240690341063981</v>
      </c>
      <c r="R21" s="282">
        <f t="shared" si="17"/>
        <v>2.6628406048349698</v>
      </c>
      <c r="S21" s="282">
        <f t="shared" si="17"/>
        <v>2.6856475297099704</v>
      </c>
      <c r="T21" s="282">
        <f t="shared" si="17"/>
        <v>2.6911487754563166</v>
      </c>
      <c r="U21" s="282">
        <f t="shared" si="17"/>
        <v>2.6781530570107268</v>
      </c>
      <c r="V21" s="282">
        <f t="shared" si="17"/>
        <v>2.6456500176370104</v>
      </c>
      <c r="W21" s="282">
        <f t="shared" si="17"/>
        <v>2.5928397609742824</v>
      </c>
      <c r="X21" s="282">
        <f t="shared" si="17"/>
        <v>2.519159897766591</v>
      </c>
      <c r="Y21" s="282">
        <f t="shared" si="17"/>
        <v>2.4243092818405687</v>
      </c>
      <c r="Z21" s="282">
        <f t="shared" si="17"/>
        <v>2.3082676485329463</v>
      </c>
      <c r="AA21" s="282">
        <f t="shared" si="17"/>
        <v>2.1713104347200058</v>
      </c>
      <c r="AB21" s="282">
        <f t="shared" si="17"/>
        <v>2.0140181523460163</v>
      </c>
      <c r="AC21" s="282">
        <f t="shared" si="17"/>
        <v>1.8372798053048935</v>
      </c>
      <c r="AD21" s="282">
        <f t="shared" si="17"/>
        <v>1.6422899800418822</v>
      </c>
      <c r="AE21" s="282">
        <f t="shared" si="17"/>
        <v>1.4305393996364932</v>
      </c>
      <c r="AF21" s="284">
        <f t="shared" si="17"/>
        <v>1.2037989047941016</v>
      </c>
      <c r="AG21" s="408"/>
      <c r="AH21" s="7"/>
      <c r="AI21" s="7"/>
      <c r="AJ21" s="7"/>
      <c r="AK21" s="11"/>
      <c r="AL21" s="11"/>
      <c r="AM21" s="11"/>
      <c r="AN21" s="11"/>
    </row>
    <row r="22" spans="1:40" ht="15">
      <c r="A22" s="1322"/>
      <c r="B22" s="221">
        <v>15</v>
      </c>
      <c r="C22" s="245" t="s">
        <v>442</v>
      </c>
      <c r="D22" s="985">
        <f t="shared" ref="D22:AF22" si="18">D19+D20+D21</f>
        <v>865.3</v>
      </c>
      <c r="E22" s="976">
        <f t="shared" si="18"/>
        <v>662.6</v>
      </c>
      <c r="F22" s="986">
        <f t="shared" si="18"/>
        <v>804.4</v>
      </c>
      <c r="G22" s="969">
        <f>G19+G20+G21</f>
        <v>1050.8495782877073</v>
      </c>
      <c r="H22" s="373">
        <f t="shared" si="18"/>
        <v>1182.8348326412217</v>
      </c>
      <c r="I22" s="373">
        <f t="shared" si="18"/>
        <v>1311.7099936410293</v>
      </c>
      <c r="J22" s="374">
        <f t="shared" si="18"/>
        <v>1435.335911137684</v>
      </c>
      <c r="K22" s="372">
        <f t="shared" si="18"/>
        <v>1569.7111690343334</v>
      </c>
      <c r="L22" s="373">
        <f t="shared" si="18"/>
        <v>1702.0450300084829</v>
      </c>
      <c r="M22" s="373">
        <f t="shared" si="18"/>
        <v>1841.4610688295968</v>
      </c>
      <c r="N22" s="373">
        <f t="shared" si="18"/>
        <v>1986.0426340127131</v>
      </c>
      <c r="O22" s="373">
        <f t="shared" si="18"/>
        <v>2135.1801929055023</v>
      </c>
      <c r="P22" s="373">
        <f t="shared" si="18"/>
        <v>2288.2286684109226</v>
      </c>
      <c r="Q22" s="373">
        <f t="shared" si="18"/>
        <v>2444.4535865022708</v>
      </c>
      <c r="R22" s="373">
        <f t="shared" si="18"/>
        <v>2603.0175042540327</v>
      </c>
      <c r="S22" s="373">
        <f t="shared" si="18"/>
        <v>2763.0165762961833</v>
      </c>
      <c r="T22" s="373">
        <f t="shared" si="18"/>
        <v>2923.4727505150099</v>
      </c>
      <c r="U22" s="373">
        <f t="shared" si="18"/>
        <v>3083.3423604216005</v>
      </c>
      <c r="V22" s="373">
        <f t="shared" si="18"/>
        <v>3241.5323427197177</v>
      </c>
      <c r="W22" s="373">
        <f t="shared" si="18"/>
        <v>3396.9089732181847</v>
      </c>
      <c r="X22" s="373">
        <f t="shared" si="18"/>
        <v>3548.3120982439145</v>
      </c>
      <c r="Y22" s="373">
        <f t="shared" si="18"/>
        <v>3694.5709002751637</v>
      </c>
      <c r="Z22" s="373">
        <f t="shared" si="18"/>
        <v>3834.5189978102421</v>
      </c>
      <c r="AA22" s="373">
        <f t="shared" si="18"/>
        <v>3967.0111973875919</v>
      </c>
      <c r="AB22" s="373">
        <f t="shared" si="18"/>
        <v>4090.9404925046397</v>
      </c>
      <c r="AC22" s="373">
        <f t="shared" si="18"/>
        <v>4205.2548213100372</v>
      </c>
      <c r="AD22" s="373">
        <f t="shared" si="18"/>
        <v>4308.9737004836024</v>
      </c>
      <c r="AE22" s="373">
        <f t="shared" si="18"/>
        <v>4401.2041086039708</v>
      </c>
      <c r="AF22" s="375">
        <f t="shared" si="18"/>
        <v>4481.1552823284737</v>
      </c>
      <c r="AG22" s="408"/>
      <c r="AH22" s="7"/>
      <c r="AI22" s="7"/>
      <c r="AJ22" s="7"/>
      <c r="AK22" s="11"/>
      <c r="AL22" s="11"/>
      <c r="AM22" s="11"/>
      <c r="AN22" s="11"/>
    </row>
    <row r="23" spans="1:40" ht="15">
      <c r="A23" s="1322"/>
      <c r="B23" s="221">
        <v>16</v>
      </c>
      <c r="C23" s="240" t="s">
        <v>443</v>
      </c>
      <c r="D23" s="987">
        <f>'Fin. Data'!D32</f>
        <v>-124.681</v>
      </c>
      <c r="E23" s="977">
        <f>'Fin. Data'!C32</f>
        <v>-167.09</v>
      </c>
      <c r="F23" s="988">
        <f>'Fin. Data'!B32</f>
        <v>-174</v>
      </c>
      <c r="G23" s="970">
        <f>G6*$D$60</f>
        <v>-240.22809999999998</v>
      </c>
      <c r="H23" s="282">
        <f t="shared" ref="H23:J23" si="19">H6*$D$60</f>
        <v>-272.65889349999998</v>
      </c>
      <c r="I23" s="282">
        <f t="shared" si="19"/>
        <v>-305.37796071999998</v>
      </c>
      <c r="J23" s="357">
        <f t="shared" si="19"/>
        <v>-337.44264659560002</v>
      </c>
      <c r="K23" s="283">
        <f t="shared" ref="K23:AF23" si="20">K6*$E$60</f>
        <v>-472.90176615754797</v>
      </c>
      <c r="L23" s="282">
        <f t="shared" si="20"/>
        <v>-513.80776893017583</v>
      </c>
      <c r="M23" s="282">
        <f t="shared" si="20"/>
        <v>-556.45381375138038</v>
      </c>
      <c r="N23" s="282">
        <f t="shared" si="20"/>
        <v>-600.69189194461512</v>
      </c>
      <c r="O23" s="282">
        <f t="shared" si="20"/>
        <v>-646.34447573240595</v>
      </c>
      <c r="P23" s="282">
        <f t="shared" si="20"/>
        <v>-693.20445022300532</v>
      </c>
      <c r="Q23" s="282">
        <f t="shared" si="20"/>
        <v>-741.03555728839262</v>
      </c>
      <c r="R23" s="282">
        <f t="shared" si="20"/>
        <v>-789.57338629078231</v>
      </c>
      <c r="S23" s="282">
        <f t="shared" si="20"/>
        <v>-838.52693624081076</v>
      </c>
      <c r="T23" s="282">
        <f t="shared" si="20"/>
        <v>-887.58076201089818</v>
      </c>
      <c r="U23" s="282">
        <f t="shared" si="20"/>
        <v>-936.39770392149751</v>
      </c>
      <c r="V23" s="282">
        <f t="shared" si="20"/>
        <v>-984.62218567345451</v>
      </c>
      <c r="W23" s="282">
        <f t="shared" si="20"/>
        <v>-1031.8840505857804</v>
      </c>
      <c r="X23" s="282">
        <f t="shared" si="20"/>
        <v>-1077.8028908368476</v>
      </c>
      <c r="Y23" s="282">
        <f t="shared" si="20"/>
        <v>-1121.9928093611584</v>
      </c>
      <c r="Z23" s="282">
        <f t="shared" si="20"/>
        <v>-1164.0675397122016</v>
      </c>
      <c r="AA23" s="282">
        <f t="shared" si="20"/>
        <v>-1203.6458360624165</v>
      </c>
      <c r="AB23" s="282">
        <f t="shared" si="20"/>
        <v>-1240.3570340623201</v>
      </c>
      <c r="AC23" s="282">
        <f t="shared" si="20"/>
        <v>-1273.8466739820026</v>
      </c>
      <c r="AD23" s="282">
        <f t="shared" si="20"/>
        <v>-1303.7820708205795</v>
      </c>
      <c r="AE23" s="282">
        <f t="shared" si="20"/>
        <v>-1329.8577122369911</v>
      </c>
      <c r="AF23" s="284">
        <f t="shared" si="20"/>
        <v>-1351.8003644889013</v>
      </c>
      <c r="AG23" s="409">
        <f>SUM(D23:AF23)</f>
        <v>-22381.656281129763</v>
      </c>
      <c r="AH23" s="7"/>
      <c r="AI23" s="7"/>
      <c r="AJ23" s="7"/>
      <c r="AK23" s="11"/>
      <c r="AL23" s="11"/>
      <c r="AM23" s="11"/>
      <c r="AN23" s="11"/>
    </row>
    <row r="24" spans="1:40" ht="15">
      <c r="A24" s="1322"/>
      <c r="B24" s="221">
        <v>17</v>
      </c>
      <c r="C24" s="240" t="s">
        <v>444</v>
      </c>
      <c r="D24" s="983">
        <f>Inputs!D66</f>
        <v>-496.7</v>
      </c>
      <c r="E24" s="975">
        <f>'Fin. Data'!C33</f>
        <v>0</v>
      </c>
      <c r="F24" s="984">
        <f>'Fin. Data'!B33</f>
        <v>0</v>
      </c>
      <c r="G24" s="970">
        <f>G6*$D$61</f>
        <v>0</v>
      </c>
      <c r="H24" s="282">
        <f t="shared" ref="H24:J24" si="21">H6*$D$61</f>
        <v>0</v>
      </c>
      <c r="I24" s="282">
        <f t="shared" si="21"/>
        <v>0</v>
      </c>
      <c r="J24" s="357">
        <f t="shared" si="21"/>
        <v>0</v>
      </c>
      <c r="K24" s="283">
        <f t="shared" ref="K24:AF24" si="22">K6*$E$61</f>
        <v>0</v>
      </c>
      <c r="L24" s="282">
        <f t="shared" si="22"/>
        <v>0</v>
      </c>
      <c r="M24" s="282">
        <f t="shared" si="22"/>
        <v>0</v>
      </c>
      <c r="N24" s="282">
        <f t="shared" si="22"/>
        <v>0</v>
      </c>
      <c r="O24" s="282">
        <f t="shared" si="22"/>
        <v>0</v>
      </c>
      <c r="P24" s="282">
        <f t="shared" si="22"/>
        <v>0</v>
      </c>
      <c r="Q24" s="282">
        <f t="shared" si="22"/>
        <v>0</v>
      </c>
      <c r="R24" s="282">
        <f t="shared" si="22"/>
        <v>0</v>
      </c>
      <c r="S24" s="282">
        <f t="shared" si="22"/>
        <v>0</v>
      </c>
      <c r="T24" s="282">
        <f t="shared" si="22"/>
        <v>0</v>
      </c>
      <c r="U24" s="282">
        <f t="shared" si="22"/>
        <v>0</v>
      </c>
      <c r="V24" s="282">
        <f t="shared" si="22"/>
        <v>0</v>
      </c>
      <c r="W24" s="282">
        <f t="shared" si="22"/>
        <v>0</v>
      </c>
      <c r="X24" s="282">
        <f t="shared" si="22"/>
        <v>0</v>
      </c>
      <c r="Y24" s="282">
        <f t="shared" si="22"/>
        <v>0</v>
      </c>
      <c r="Z24" s="282">
        <f t="shared" si="22"/>
        <v>0</v>
      </c>
      <c r="AA24" s="282">
        <f t="shared" si="22"/>
        <v>0</v>
      </c>
      <c r="AB24" s="282">
        <f t="shared" si="22"/>
        <v>0</v>
      </c>
      <c r="AC24" s="282">
        <f t="shared" si="22"/>
        <v>0</v>
      </c>
      <c r="AD24" s="282">
        <f t="shared" si="22"/>
        <v>0</v>
      </c>
      <c r="AE24" s="282">
        <f t="shared" si="22"/>
        <v>0</v>
      </c>
      <c r="AF24" s="284">
        <f t="shared" si="22"/>
        <v>0</v>
      </c>
      <c r="AG24" s="408"/>
      <c r="AH24" s="410">
        <f>AG9-AG23</f>
        <v>-310.42082601189031</v>
      </c>
      <c r="AI24" s="7"/>
      <c r="AJ24" s="7"/>
      <c r="AK24" s="11"/>
      <c r="AL24" s="11"/>
      <c r="AM24" s="11"/>
      <c r="AN24" s="11"/>
    </row>
    <row r="25" spans="1:40" ht="15">
      <c r="A25" s="1322"/>
      <c r="B25" s="221">
        <v>18</v>
      </c>
      <c r="C25" s="240" t="s">
        <v>445</v>
      </c>
      <c r="D25" s="983">
        <f>Inputs!D67</f>
        <v>-1.9000000000005457E-2</v>
      </c>
      <c r="E25" s="975">
        <f>Inputs!C67</f>
        <v>9.0000000000003411E-2</v>
      </c>
      <c r="F25" s="984">
        <f>Inputs!B67</f>
        <v>0</v>
      </c>
      <c r="G25" s="970">
        <f>(1+G5)*AVERAGE(D25:F25)</f>
        <v>2.7216666666665883E-2</v>
      </c>
      <c r="H25" s="282">
        <f t="shared" ref="H25:AF25" si="23">(1+H5)*AVERAGE(E25:G25)</f>
        <v>4.4346972222223217E-2</v>
      </c>
      <c r="I25" s="282">
        <f t="shared" si="23"/>
        <v>2.6717091851851935E-2</v>
      </c>
      <c r="J25" s="357">
        <f t="shared" si="23"/>
        <v>3.6200069156172944E-2</v>
      </c>
      <c r="K25" s="283">
        <f t="shared" si="23"/>
        <v>3.8972635073656801E-2</v>
      </c>
      <c r="L25" s="282">
        <f t="shared" si="23"/>
        <v>3.6901087814249056E-2</v>
      </c>
      <c r="M25" s="282">
        <f t="shared" si="23"/>
        <v>4.0458638927912446E-2</v>
      </c>
      <c r="N25" s="282">
        <f t="shared" si="23"/>
        <v>4.1860261526725284E-2</v>
      </c>
      <c r="O25" s="282">
        <f t="shared" si="23"/>
        <v>4.2760235792440732E-2</v>
      </c>
      <c r="P25" s="282">
        <f t="shared" si="23"/>
        <v>4.4715791208330545E-2</v>
      </c>
      <c r="Q25" s="282">
        <f t="shared" si="23"/>
        <v>4.6086830811964609E-2</v>
      </c>
      <c r="R25" s="282">
        <f t="shared" si="23"/>
        <v>4.7437074999823359E-2</v>
      </c>
      <c r="S25" s="282">
        <f t="shared" si="23"/>
        <v>4.8936852745121953E-2</v>
      </c>
      <c r="T25" s="282">
        <f t="shared" si="23"/>
        <v>5.0264904310829715E-2</v>
      </c>
      <c r="U25" s="282">
        <f t="shared" si="23"/>
        <v>5.1567989272947548E-2</v>
      </c>
      <c r="V25" s="282">
        <f t="shared" si="23"/>
        <v>5.2844796088279175E-2</v>
      </c>
      <c r="W25" s="282">
        <f t="shared" si="23"/>
        <v>5.4034072925438381E-2</v>
      </c>
      <c r="X25" s="282">
        <f t="shared" si="23"/>
        <v>5.5165914493473904E-2</v>
      </c>
      <c r="Y25" s="282">
        <f t="shared" si="23"/>
        <v>5.622953987699543E-2</v>
      </c>
      <c r="Z25" s="282">
        <f t="shared" si="23"/>
        <v>5.7211044856501407E-2</v>
      </c>
      <c r="AA25" s="282">
        <f t="shared" si="23"/>
        <v>5.8113040066895917E-2</v>
      </c>
      <c r="AB25" s="282">
        <f t="shared" si="23"/>
        <v>5.8928670118934906E-2</v>
      </c>
      <c r="AC25" s="282">
        <f t="shared" si="23"/>
        <v>5.9652526476158395E-2</v>
      </c>
      <c r="AD25" s="282">
        <f t="shared" si="23"/>
        <v>6.028218374118198E-2</v>
      </c>
      <c r="AE25" s="282">
        <f t="shared" si="23"/>
        <v>6.0813549314333609E-2</v>
      </c>
      <c r="AF25" s="284">
        <f t="shared" si="23"/>
        <v>6.1243535271315527E-2</v>
      </c>
      <c r="AG25" s="274"/>
      <c r="AH25" s="7"/>
      <c r="AI25" s="7"/>
      <c r="AJ25" s="7"/>
      <c r="AK25" s="11"/>
      <c r="AL25" s="11"/>
      <c r="AM25" s="11"/>
      <c r="AN25" s="11"/>
    </row>
    <row r="26" spans="1:40" ht="15">
      <c r="A26" s="1322"/>
      <c r="B26" s="221">
        <v>19</v>
      </c>
      <c r="C26" s="245" t="s">
        <v>446</v>
      </c>
      <c r="D26" s="985">
        <f t="shared" ref="D26:AF26" si="24">D23+D24+D25</f>
        <v>-621.4</v>
      </c>
      <c r="E26" s="976">
        <f t="shared" si="24"/>
        <v>-167</v>
      </c>
      <c r="F26" s="986">
        <f t="shared" si="24"/>
        <v>-174</v>
      </c>
      <c r="G26" s="971">
        <f>G23+G24+G25</f>
        <v>-240.20088333333331</v>
      </c>
      <c r="H26" s="285">
        <f t="shared" si="24"/>
        <v>-272.61454652777775</v>
      </c>
      <c r="I26" s="285">
        <f t="shared" si="24"/>
        <v>-305.3512436281481</v>
      </c>
      <c r="J26" s="356">
        <f t="shared" si="24"/>
        <v>-337.40644652644386</v>
      </c>
      <c r="K26" s="286">
        <f t="shared" si="24"/>
        <v>-472.86279352247431</v>
      </c>
      <c r="L26" s="285">
        <f t="shared" si="24"/>
        <v>-513.77086784236155</v>
      </c>
      <c r="M26" s="285">
        <f t="shared" si="24"/>
        <v>-556.41335511245245</v>
      </c>
      <c r="N26" s="285">
        <f t="shared" si="24"/>
        <v>-600.6500316830884</v>
      </c>
      <c r="O26" s="285">
        <f t="shared" si="24"/>
        <v>-646.3017154966135</v>
      </c>
      <c r="P26" s="285">
        <f t="shared" si="24"/>
        <v>-693.15973443179701</v>
      </c>
      <c r="Q26" s="285">
        <f t="shared" si="24"/>
        <v>-740.98947045758064</v>
      </c>
      <c r="R26" s="285">
        <f t="shared" si="24"/>
        <v>-789.52594921578248</v>
      </c>
      <c r="S26" s="285">
        <f t="shared" si="24"/>
        <v>-838.47799938806565</v>
      </c>
      <c r="T26" s="285">
        <f t="shared" si="24"/>
        <v>-887.5304971065874</v>
      </c>
      <c r="U26" s="285">
        <f t="shared" si="24"/>
        <v>-936.34613593222457</v>
      </c>
      <c r="V26" s="285">
        <f t="shared" si="24"/>
        <v>-984.56934087736624</v>
      </c>
      <c r="W26" s="285">
        <f t="shared" si="24"/>
        <v>-1031.8300165128551</v>
      </c>
      <c r="X26" s="285">
        <f t="shared" si="24"/>
        <v>-1077.7477249223541</v>
      </c>
      <c r="Y26" s="285">
        <f t="shared" si="24"/>
        <v>-1121.9365798212814</v>
      </c>
      <c r="Z26" s="285">
        <f t="shared" si="24"/>
        <v>-1164.010328667345</v>
      </c>
      <c r="AA26" s="285">
        <f t="shared" si="24"/>
        <v>-1203.5877230223496</v>
      </c>
      <c r="AB26" s="285">
        <f t="shared" si="24"/>
        <v>-1240.298105392201</v>
      </c>
      <c r="AC26" s="285">
        <f t="shared" si="24"/>
        <v>-1273.7870214555264</v>
      </c>
      <c r="AD26" s="285">
        <f t="shared" si="24"/>
        <v>-1303.7217886368383</v>
      </c>
      <c r="AE26" s="285">
        <f t="shared" si="24"/>
        <v>-1329.7968986876767</v>
      </c>
      <c r="AF26" s="271">
        <f t="shared" si="24"/>
        <v>-1351.7391209536299</v>
      </c>
      <c r="AG26" s="408"/>
      <c r="AH26" s="7"/>
      <c r="AI26" s="7"/>
      <c r="AJ26" s="7"/>
      <c r="AK26" s="11"/>
      <c r="AL26" s="11"/>
      <c r="AM26" s="11"/>
      <c r="AN26" s="11"/>
    </row>
    <row r="27" spans="1:40" ht="15">
      <c r="A27" s="1322"/>
      <c r="B27" s="221">
        <v>20</v>
      </c>
      <c r="C27" s="240" t="s">
        <v>447</v>
      </c>
      <c r="D27" s="983">
        <f>Inputs!D71+Inputs!D72</f>
        <v>-146.30000000000001</v>
      </c>
      <c r="E27" s="975">
        <f>Inputs!C71+Inputs!C72</f>
        <v>-170.5</v>
      </c>
      <c r="F27" s="988">
        <f>Inputs!B71+Inputs!B72</f>
        <v>-200.79599999999999</v>
      </c>
      <c r="G27" s="1000">
        <f t="shared" ref="G27:AF27" si="25">AVERAGE(D27:F27)*(1+G5)</f>
        <v>-198.4118</v>
      </c>
      <c r="H27" s="282">
        <f t="shared" si="25"/>
        <v>-215.53945100000001</v>
      </c>
      <c r="I27" s="282">
        <f t="shared" si="25"/>
        <v>-229.50564037333336</v>
      </c>
      <c r="J27" s="357">
        <f t="shared" si="25"/>
        <v>-237.00662165584447</v>
      </c>
      <c r="K27" s="283">
        <f t="shared" si="25"/>
        <v>-247.81212240060128</v>
      </c>
      <c r="L27" s="282">
        <f t="shared" si="25"/>
        <v>-258.70448122765168</v>
      </c>
      <c r="M27" s="282">
        <f t="shared" si="25"/>
        <v>-268.41188432755916</v>
      </c>
      <c r="N27" s="282">
        <f t="shared" si="25"/>
        <v>-278.84510091609968</v>
      </c>
      <c r="O27" s="282">
        <f t="shared" si="25"/>
        <v>-289.07151264104346</v>
      </c>
      <c r="P27" s="282">
        <f t="shared" si="25"/>
        <v>-298.98743799378104</v>
      </c>
      <c r="Q27" s="282">
        <f t="shared" si="25"/>
        <v>-308.90681036931261</v>
      </c>
      <c r="R27" s="282">
        <f t="shared" si="25"/>
        <v>-318.57233944996932</v>
      </c>
      <c r="S27" s="282">
        <f t="shared" si="25"/>
        <v>-327.96917208582431</v>
      </c>
      <c r="T27" s="282">
        <f t="shared" si="25"/>
        <v>-337.11401624551831</v>
      </c>
      <c r="U27" s="282">
        <f t="shared" si="25"/>
        <v>-345.91886060309469</v>
      </c>
      <c r="V27" s="282">
        <f t="shared" si="25"/>
        <v>-354.35621815152024</v>
      </c>
      <c r="W27" s="282">
        <f t="shared" si="25"/>
        <v>-362.39459052004656</v>
      </c>
      <c r="X27" s="282">
        <f t="shared" si="25"/>
        <v>-369.98615651912792</v>
      </c>
      <c r="Y27" s="282">
        <f t="shared" si="25"/>
        <v>-377.09772692117104</v>
      </c>
      <c r="Z27" s="282">
        <f t="shared" si="25"/>
        <v>-383.69463891128618</v>
      </c>
      <c r="AA27" s="282">
        <f t="shared" si="25"/>
        <v>-389.74166403717965</v>
      </c>
      <c r="AB27" s="282">
        <f t="shared" si="25"/>
        <v>-395.2084392602203</v>
      </c>
      <c r="AC27" s="282">
        <f t="shared" si="25"/>
        <v>-400.06605008277353</v>
      </c>
      <c r="AD27" s="282">
        <f t="shared" si="25"/>
        <v>-404.28801099486907</v>
      </c>
      <c r="AE27" s="282">
        <f t="shared" si="25"/>
        <v>-407.85125011487338</v>
      </c>
      <c r="AF27" s="284">
        <f t="shared" si="25"/>
        <v>-410.73556627573083</v>
      </c>
      <c r="AG27" s="408"/>
      <c r="AH27" s="7"/>
      <c r="AI27" s="7"/>
      <c r="AJ27" s="7"/>
      <c r="AK27" s="11"/>
      <c r="AL27" s="11"/>
      <c r="AM27" s="11"/>
      <c r="AN27" s="11"/>
    </row>
    <row r="28" spans="1:40" ht="15">
      <c r="A28" s="1322"/>
      <c r="B28" s="221">
        <v>21</v>
      </c>
      <c r="C28" s="240" t="s">
        <v>448</v>
      </c>
      <c r="D28" s="987">
        <f>+SUM(Inputs!D69:D70)</f>
        <v>-77.400000000000006</v>
      </c>
      <c r="E28" s="975">
        <f>+SUM(Inputs!C69:C70)</f>
        <v>-14.370000000000001</v>
      </c>
      <c r="F28" s="984">
        <f>+SUM(Inputs!B69:B70)</f>
        <v>-8.1969999999999992</v>
      </c>
      <c r="G28" s="1000">
        <f>G44-F44</f>
        <v>-167.00680100000011</v>
      </c>
      <c r="H28" s="282">
        <f t="shared" ref="H28:AF28" si="26">H44-G44</f>
        <v>80.722346999000024</v>
      </c>
      <c r="I28" s="282">
        <f t="shared" si="26"/>
        <v>79.195702633724068</v>
      </c>
      <c r="J28" s="357">
        <f t="shared" si="26"/>
        <v>75.120817970070789</v>
      </c>
      <c r="K28" s="283">
        <f t="shared" si="26"/>
        <v>1074.3901778102927</v>
      </c>
      <c r="L28" s="282">
        <f t="shared" si="26"/>
        <v>164.60242655201387</v>
      </c>
      <c r="M28" s="282">
        <f t="shared" si="26"/>
        <v>170.8857869083181</v>
      </c>
      <c r="N28" s="282">
        <f t="shared" si="26"/>
        <v>176.50337518127617</v>
      </c>
      <c r="O28" s="282">
        <f t="shared" si="26"/>
        <v>181.34078640922962</v>
      </c>
      <c r="P28" s="282">
        <f t="shared" si="26"/>
        <v>185.28497792774988</v>
      </c>
      <c r="Q28" s="282">
        <f t="shared" si="26"/>
        <v>188.22636075950186</v>
      </c>
      <c r="R28" s="282">
        <f t="shared" si="26"/>
        <v>190.06099331329415</v>
      </c>
      <c r="S28" s="282">
        <f t="shared" si="26"/>
        <v>190.69283222352215</v>
      </c>
      <c r="T28" s="282">
        <f t="shared" si="26"/>
        <v>190.0359897870826</v>
      </c>
      <c r="U28" s="282">
        <f t="shared" si="26"/>
        <v>188.01694322286221</v>
      </c>
      <c r="V28" s="282">
        <f t="shared" si="26"/>
        <v>184.57663813267209</v>
      </c>
      <c r="W28" s="282">
        <f t="shared" si="26"/>
        <v>179.67242729251211</v>
      </c>
      <c r="X28" s="282">
        <f t="shared" si="26"/>
        <v>173.27978641513982</v>
      </c>
      <c r="Y28" s="282">
        <f t="shared" si="26"/>
        <v>165.39375091026432</v>
      </c>
      <c r="Z28" s="282">
        <f t="shared" si="26"/>
        <v>156.03002197366914</v>
      </c>
      <c r="AA28" s="282">
        <f t="shared" si="26"/>
        <v>145.22569653808114</v>
      </c>
      <c r="AB28" s="282">
        <f t="shared" si="26"/>
        <v>133.03958361769219</v>
      </c>
      <c r="AC28" s="282">
        <f t="shared" si="26"/>
        <v>119.55207920195426</v>
      </c>
      <c r="AD28" s="282">
        <f t="shared" si="26"/>
        <v>104.8645828556464</v>
      </c>
      <c r="AE28" s="282">
        <f t="shared" si="26"/>
        <v>89.098451248667516</v>
      </c>
      <c r="AF28" s="284">
        <f t="shared" si="26"/>
        <v>72.393496599727769</v>
      </c>
      <c r="AG28" s="408"/>
      <c r="AH28" s="7"/>
      <c r="AI28" s="7"/>
      <c r="AJ28" s="7"/>
      <c r="AK28" s="11"/>
      <c r="AL28" s="11"/>
      <c r="AM28" s="11"/>
      <c r="AN28" s="11"/>
    </row>
    <row r="29" spans="1:40" ht="15">
      <c r="A29" s="1322"/>
      <c r="B29" s="221">
        <v>22</v>
      </c>
      <c r="C29" s="240" t="s">
        <v>449</v>
      </c>
      <c r="D29" s="987">
        <f>'Fin. Data'!D28</f>
        <v>0</v>
      </c>
      <c r="E29" s="975">
        <f>'Fin. Data'!C28</f>
        <v>-48.351999999999997</v>
      </c>
      <c r="F29" s="988">
        <f>'Fin. Data'!B28</f>
        <v>-30.5</v>
      </c>
      <c r="G29" s="970">
        <f>-G17*$D$63</f>
        <v>-28.998385777333326</v>
      </c>
      <c r="H29" s="282">
        <f>-H17*$D$63</f>
        <v>-32.611368631357777</v>
      </c>
      <c r="I29" s="282">
        <f>-I17*$D$63</f>
        <v>-36.076554747057742</v>
      </c>
      <c r="J29" s="357">
        <f>-J17*$D$63</f>
        <v>-39.354923793261584</v>
      </c>
      <c r="K29" s="283">
        <f t="shared" ref="K29:AF29" si="27">-K17*$E$63</f>
        <v>-32.064706821479753</v>
      </c>
      <c r="L29" s="282">
        <f t="shared" si="27"/>
        <v>-34.794755809391312</v>
      </c>
      <c r="M29" s="282">
        <f t="shared" si="27"/>
        <v>-37.685258502974811</v>
      </c>
      <c r="N29" s="282">
        <f t="shared" si="27"/>
        <v>-40.683132699601565</v>
      </c>
      <c r="O29" s="282">
        <f t="shared" si="27"/>
        <v>-43.775385021994246</v>
      </c>
      <c r="P29" s="282">
        <f t="shared" si="27"/>
        <v>-46.948832253481619</v>
      </c>
      <c r="Q29" s="282">
        <f t="shared" si="27"/>
        <v>-50.18847175490064</v>
      </c>
      <c r="R29" s="282">
        <f t="shared" si="27"/>
        <v>-53.477044033057354</v>
      </c>
      <c r="S29" s="282">
        <f t="shared" si="27"/>
        <v>-56.796082486508986</v>
      </c>
      <c r="T29" s="282">
        <f t="shared" si="27"/>
        <v>-60.125614698933319</v>
      </c>
      <c r="U29" s="282">
        <f t="shared" si="27"/>
        <v>-63.444338344829667</v>
      </c>
      <c r="V29" s="282">
        <f t="shared" si="27"/>
        <v>-66.730009032428484</v>
      </c>
      <c r="W29" s="282">
        <f t="shared" si="27"/>
        <v>-69.959587793133423</v>
      </c>
      <c r="X29" s="282">
        <f t="shared" si="27"/>
        <v>-73.10953889983179</v>
      </c>
      <c r="Y29" s="282">
        <f t="shared" si="27"/>
        <v>-76.156160988848129</v>
      </c>
      <c r="Z29" s="282">
        <f t="shared" si="27"/>
        <v>-79.075887723046137</v>
      </c>
      <c r="AA29" s="282">
        <f t="shared" si="27"/>
        <v>-81.845630158020398</v>
      </c>
      <c r="AB29" s="282">
        <f t="shared" si="27"/>
        <v>-84.443121614776231</v>
      </c>
      <c r="AC29" s="282">
        <f t="shared" si="27"/>
        <v>-86.847253648148524</v>
      </c>
      <c r="AD29" s="282">
        <f t="shared" si="27"/>
        <v>-89.038410061857562</v>
      </c>
      <c r="AE29" s="282">
        <f t="shared" si="27"/>
        <v>-90.998783706458141</v>
      </c>
      <c r="AF29" s="284">
        <f t="shared" si="27"/>
        <v>-92.712669511718417</v>
      </c>
      <c r="AG29" s="408"/>
      <c r="AH29" s="7"/>
      <c r="AI29" s="7"/>
      <c r="AJ29" s="7"/>
      <c r="AK29" s="11"/>
      <c r="AL29" s="11"/>
      <c r="AM29" s="11"/>
      <c r="AN29" s="11"/>
    </row>
    <row r="30" spans="1:40" s="7" customFormat="1" ht="15">
      <c r="A30" s="1322"/>
      <c r="B30" s="221">
        <v>23</v>
      </c>
      <c r="C30" s="240" t="s">
        <v>450</v>
      </c>
      <c r="D30" s="983">
        <f>'Fin. Data'!D27</f>
        <v>-120.679</v>
      </c>
      <c r="E30" s="975">
        <f>'Fin. Data'!C27</f>
        <v>-160.96</v>
      </c>
      <c r="F30" s="984">
        <f>'Fin. Data'!B27</f>
        <v>-303.39999999999998</v>
      </c>
      <c r="G30" s="970">
        <f>$D$62*G17</f>
        <v>-217.48789332999993</v>
      </c>
      <c r="H30" s="283">
        <f t="shared" ref="H30:AF30" si="28">$D$62*H17</f>
        <v>-244.58526473518333</v>
      </c>
      <c r="I30" s="283">
        <f t="shared" si="28"/>
        <v>-270.57416060293309</v>
      </c>
      <c r="J30" s="283">
        <f t="shared" si="28"/>
        <v>-295.16192844946187</v>
      </c>
      <c r="K30" s="283">
        <f t="shared" si="28"/>
        <v>-320.64706821479751</v>
      </c>
      <c r="L30" s="283">
        <f t="shared" si="28"/>
        <v>-347.94755809391313</v>
      </c>
      <c r="M30" s="283">
        <f t="shared" si="28"/>
        <v>-376.85258502974807</v>
      </c>
      <c r="N30" s="283">
        <f t="shared" si="28"/>
        <v>-406.8313269960156</v>
      </c>
      <c r="O30" s="283">
        <f t="shared" si="28"/>
        <v>-437.75385021994248</v>
      </c>
      <c r="P30" s="283">
        <f t="shared" si="28"/>
        <v>-469.48832253481618</v>
      </c>
      <c r="Q30" s="283">
        <f t="shared" si="28"/>
        <v>-501.88471754900644</v>
      </c>
      <c r="R30" s="283">
        <f t="shared" si="28"/>
        <v>-534.77044033057348</v>
      </c>
      <c r="S30" s="283">
        <f t="shared" si="28"/>
        <v>-567.96082486508988</v>
      </c>
      <c r="T30" s="283">
        <f t="shared" si="28"/>
        <v>-601.25614698933316</v>
      </c>
      <c r="U30" s="283">
        <f t="shared" si="28"/>
        <v>-634.44338344829669</v>
      </c>
      <c r="V30" s="283">
        <f t="shared" si="28"/>
        <v>-667.30009032428472</v>
      </c>
      <c r="W30" s="283">
        <f t="shared" si="28"/>
        <v>-699.59587793133414</v>
      </c>
      <c r="X30" s="283">
        <f t="shared" si="28"/>
        <v>-731.09538899831784</v>
      </c>
      <c r="Y30" s="283">
        <f t="shared" si="28"/>
        <v>-761.56160988848126</v>
      </c>
      <c r="Z30" s="283">
        <f t="shared" si="28"/>
        <v>-790.75887723046128</v>
      </c>
      <c r="AA30" s="283">
        <f t="shared" si="28"/>
        <v>-818.45630158020401</v>
      </c>
      <c r="AB30" s="283">
        <f t="shared" si="28"/>
        <v>-844.43121614776226</v>
      </c>
      <c r="AC30" s="283">
        <f t="shared" si="28"/>
        <v>-868.47253648148524</v>
      </c>
      <c r="AD30" s="283">
        <f t="shared" si="28"/>
        <v>-890.38410061857564</v>
      </c>
      <c r="AE30" s="283">
        <f t="shared" si="28"/>
        <v>-909.98783706458141</v>
      </c>
      <c r="AF30" s="283">
        <f t="shared" si="28"/>
        <v>-927.12669511718411</v>
      </c>
      <c r="AG30" s="408"/>
      <c r="AK30" s="11"/>
      <c r="AL30" s="11"/>
      <c r="AM30" s="11"/>
      <c r="AN30" s="11"/>
    </row>
    <row r="31" spans="1:40" s="3" customFormat="1" ht="15">
      <c r="A31" s="1322"/>
      <c r="B31" s="221">
        <v>24</v>
      </c>
      <c r="C31" s="240" t="s">
        <v>451</v>
      </c>
      <c r="D31" s="989">
        <f>Inputs!D75</f>
        <v>-0.8009999999999593</v>
      </c>
      <c r="E31" s="973">
        <f>Inputs!C75</f>
        <v>2.9320000000000093</v>
      </c>
      <c r="F31" s="990">
        <f>Inputs!B75</f>
        <v>-53.732000000000028</v>
      </c>
      <c r="G31" s="1000">
        <f>(1+G5)*AVERAGE(D31:F31)</f>
        <v>-19.780383333333322</v>
      </c>
      <c r="H31" s="282">
        <f t="shared" ref="H31:AF31" si="29">(1+H5)*AVERAGE(E31:G31)</f>
        <v>-26.702911694444449</v>
      </c>
      <c r="I31" s="282">
        <f t="shared" si="29"/>
        <v>-37.413710143703717</v>
      </c>
      <c r="J31" s="357">
        <f t="shared" si="29"/>
        <v>-30.902063571495681</v>
      </c>
      <c r="K31" s="396">
        <f t="shared" si="29"/>
        <v>-34.523455698837267</v>
      </c>
      <c r="L31" s="397">
        <f t="shared" si="29"/>
        <v>-37.244940919450279</v>
      </c>
      <c r="M31" s="397">
        <f t="shared" si="29"/>
        <v>-37.064036128511745</v>
      </c>
      <c r="N31" s="397">
        <f t="shared" si="29"/>
        <v>-39.161537050056609</v>
      </c>
      <c r="O31" s="397">
        <f t="shared" si="29"/>
        <v>-40.698091056489353</v>
      </c>
      <c r="P31" s="397">
        <f t="shared" si="29"/>
        <v>-41.800209964033137</v>
      </c>
      <c r="Q31" s="397">
        <f t="shared" si="29"/>
        <v>-43.351455632483017</v>
      </c>
      <c r="R31" s="397">
        <f t="shared" si="29"/>
        <v>-44.69763857125912</v>
      </c>
      <c r="S31" s="397">
        <f t="shared" si="29"/>
        <v>-45.96665367539245</v>
      </c>
      <c r="T31" s="397">
        <f t="shared" si="29"/>
        <v>-47.285223043354648</v>
      </c>
      <c r="U31" s="397">
        <f t="shared" si="29"/>
        <v>-48.51224621031885</v>
      </c>
      <c r="V31" s="397">
        <f t="shared" si="29"/>
        <v>-49.688325086637604</v>
      </c>
      <c r="W31" s="397">
        <f t="shared" si="29"/>
        <v>-50.823037489548675</v>
      </c>
      <c r="X31" s="397">
        <f t="shared" si="29"/>
        <v>-51.885053125834865</v>
      </c>
      <c r="Y31" s="397">
        <f t="shared" si="29"/>
        <v>-52.881556248601342</v>
      </c>
      <c r="Z31" s="397">
        <f t="shared" si="29"/>
        <v>-53.808086207128099</v>
      </c>
      <c r="AA31" s="397">
        <f t="shared" si="29"/>
        <v>-54.655411743779169</v>
      </c>
      <c r="AB31" s="397">
        <f t="shared" si="29"/>
        <v>-55.422026117531203</v>
      </c>
      <c r="AC31" s="397">
        <f t="shared" si="29"/>
        <v>-56.103477739428776</v>
      </c>
      <c r="AD31" s="397">
        <f t="shared" si="29"/>
        <v>-56.695389039118837</v>
      </c>
      <c r="AE31" s="397">
        <f t="shared" si="29"/>
        <v>-57.195103584666789</v>
      </c>
      <c r="AF31" s="398">
        <f t="shared" si="29"/>
        <v>-57.599623624735806</v>
      </c>
      <c r="AG31" s="408"/>
      <c r="AH31" s="426"/>
      <c r="AI31" s="426"/>
      <c r="AJ31" s="426"/>
      <c r="AK31" s="424"/>
      <c r="AL31" s="424"/>
      <c r="AM31" s="424"/>
      <c r="AN31" s="424"/>
    </row>
    <row r="32" spans="1:40" s="7" customFormat="1" ht="16.5" customHeight="1">
      <c r="A32" s="1322"/>
      <c r="B32" s="222">
        <v>25</v>
      </c>
      <c r="C32" s="246" t="s">
        <v>452</v>
      </c>
      <c r="D32" s="991">
        <f t="shared" ref="D32:AF32" si="30">D27+D28+D29+D30+D31</f>
        <v>-345.17999999999995</v>
      </c>
      <c r="E32" s="992">
        <f t="shared" si="30"/>
        <v>-391.25</v>
      </c>
      <c r="F32" s="993">
        <f>F27+F28+F29+F30+F31</f>
        <v>-596.625</v>
      </c>
      <c r="G32" s="972">
        <f>G27+G28+G29+G30+G31</f>
        <v>-631.68526344066674</v>
      </c>
      <c r="H32" s="352">
        <f t="shared" si="30"/>
        <v>-438.71664906198555</v>
      </c>
      <c r="I32" s="352">
        <f t="shared" si="30"/>
        <v>-494.37436323330382</v>
      </c>
      <c r="J32" s="353">
        <f t="shared" si="30"/>
        <v>-527.30471949999276</v>
      </c>
      <c r="K32" s="351">
        <f t="shared" si="30"/>
        <v>439.34282467457689</v>
      </c>
      <c r="L32" s="352">
        <f t="shared" si="30"/>
        <v>-514.08930949839259</v>
      </c>
      <c r="M32" s="352">
        <f t="shared" si="30"/>
        <v>-549.12797708047572</v>
      </c>
      <c r="N32" s="352">
        <f t="shared" si="30"/>
        <v>-589.01772248049735</v>
      </c>
      <c r="O32" s="352">
        <f t="shared" si="30"/>
        <v>-629.95805253023991</v>
      </c>
      <c r="P32" s="352">
        <f t="shared" si="30"/>
        <v>-671.93982481836213</v>
      </c>
      <c r="Q32" s="352">
        <f t="shared" si="30"/>
        <v>-716.10509454620092</v>
      </c>
      <c r="R32" s="352">
        <f t="shared" si="30"/>
        <v>-761.45646907156515</v>
      </c>
      <c r="S32" s="352">
        <f t="shared" si="30"/>
        <v>-807.99990088929349</v>
      </c>
      <c r="T32" s="352">
        <f t="shared" si="30"/>
        <v>-855.74501119005686</v>
      </c>
      <c r="U32" s="352">
        <f t="shared" si="30"/>
        <v>-904.3018853836777</v>
      </c>
      <c r="V32" s="352">
        <f t="shared" si="30"/>
        <v>-953.49800446219899</v>
      </c>
      <c r="W32" s="352">
        <f t="shared" si="30"/>
        <v>-1003.1006664415507</v>
      </c>
      <c r="X32" s="352">
        <f t="shared" si="30"/>
        <v>-1052.7963511279727</v>
      </c>
      <c r="Y32" s="352">
        <f t="shared" si="30"/>
        <v>-1102.3033031368375</v>
      </c>
      <c r="Z32" s="352">
        <f t="shared" si="30"/>
        <v>-1151.3074680982525</v>
      </c>
      <c r="AA32" s="352">
        <f t="shared" si="30"/>
        <v>-1199.4733109811023</v>
      </c>
      <c r="AB32" s="352">
        <f t="shared" si="30"/>
        <v>-1246.4652195225979</v>
      </c>
      <c r="AC32" s="352">
        <f t="shared" si="30"/>
        <v>-1291.937238749882</v>
      </c>
      <c r="AD32" s="352">
        <f t="shared" si="30"/>
        <v>-1335.5413278587748</v>
      </c>
      <c r="AE32" s="352">
        <f t="shared" si="30"/>
        <v>-1376.9345232219123</v>
      </c>
      <c r="AF32" s="490">
        <f t="shared" si="30"/>
        <v>-1415.7810579296413</v>
      </c>
      <c r="AG32" s="408"/>
      <c r="AK32" s="11"/>
      <c r="AL32" s="11"/>
      <c r="AM32" s="11"/>
      <c r="AN32" s="11"/>
    </row>
    <row r="33" spans="1:40">
      <c r="A33" s="1310"/>
      <c r="B33" s="1311"/>
      <c r="C33" s="1311"/>
      <c r="D33" s="1312"/>
      <c r="E33" s="1312"/>
      <c r="F33" s="1312"/>
      <c r="G33" s="1311"/>
      <c r="H33" s="1311"/>
      <c r="I33" s="1311"/>
      <c r="J33" s="1311"/>
      <c r="K33" s="1311"/>
      <c r="L33" s="1311"/>
      <c r="M33" s="1311"/>
      <c r="N33" s="1311"/>
      <c r="O33" s="1311"/>
      <c r="P33" s="1311"/>
      <c r="Q33" s="1311"/>
      <c r="R33" s="1311"/>
      <c r="S33" s="1311"/>
      <c r="T33" s="1311"/>
      <c r="U33" s="1311"/>
      <c r="V33" s="1311"/>
      <c r="W33" s="1311"/>
      <c r="X33" s="1311"/>
      <c r="Y33" s="1311"/>
      <c r="Z33" s="1311"/>
      <c r="AA33" s="1311"/>
      <c r="AB33" s="1311"/>
      <c r="AC33" s="1311"/>
      <c r="AD33" s="1311"/>
      <c r="AE33" s="1311"/>
      <c r="AF33" s="1313"/>
      <c r="AG33" s="7"/>
      <c r="AH33" s="7"/>
      <c r="AI33" s="7"/>
      <c r="AJ33" s="7"/>
      <c r="AK33" s="11"/>
      <c r="AL33" s="11"/>
      <c r="AM33" s="11"/>
      <c r="AN33" s="11"/>
    </row>
    <row r="34" spans="1:40" ht="15">
      <c r="A34" s="1334" t="s">
        <v>453</v>
      </c>
      <c r="B34" s="221">
        <v>26</v>
      </c>
      <c r="C34" s="225" t="s">
        <v>454</v>
      </c>
      <c r="D34" s="299">
        <f>D22+D26+D27+D28+D31</f>
        <v>19.399000000000001</v>
      </c>
      <c r="E34" s="799">
        <f t="shared" ref="E34:AF34" si="31">E22+E26+E27+E28+E31</f>
        <v>313.66200000000003</v>
      </c>
      <c r="F34" s="380">
        <f t="shared" si="31"/>
        <v>367.67499999999995</v>
      </c>
      <c r="G34" s="491">
        <f>G22+G26+G27+G28+G31</f>
        <v>425.44971062104065</v>
      </c>
      <c r="H34" s="349">
        <f t="shared" si="31"/>
        <v>748.7002704179996</v>
      </c>
      <c r="I34" s="349">
        <f t="shared" si="31"/>
        <v>818.63510212956828</v>
      </c>
      <c r="J34" s="350">
        <f t="shared" si="31"/>
        <v>905.14159735397072</v>
      </c>
      <c r="K34" s="379">
        <f t="shared" si="31"/>
        <v>1888.9029752227132</v>
      </c>
      <c r="L34" s="349">
        <f t="shared" si="31"/>
        <v>1056.927166571033</v>
      </c>
      <c r="M34" s="349">
        <f t="shared" si="31"/>
        <v>1150.4575801693913</v>
      </c>
      <c r="N34" s="349">
        <f t="shared" si="31"/>
        <v>1243.8893395447444</v>
      </c>
      <c r="O34" s="349">
        <f t="shared" si="31"/>
        <v>1340.4496601205856</v>
      </c>
      <c r="P34" s="349">
        <f t="shared" si="31"/>
        <v>1439.5662639490613</v>
      </c>
      <c r="Q34" s="349">
        <f t="shared" si="31"/>
        <v>1539.4322108023964</v>
      </c>
      <c r="R34" s="349">
        <f t="shared" si="31"/>
        <v>1640.2825703303158</v>
      </c>
      <c r="S34" s="349">
        <f t="shared" si="31"/>
        <v>1741.2955833704229</v>
      </c>
      <c r="T34" s="349">
        <f t="shared" si="31"/>
        <v>1841.5790039066321</v>
      </c>
      <c r="U34" s="349">
        <f t="shared" si="31"/>
        <v>1940.5820608988245</v>
      </c>
      <c r="V34" s="349">
        <f t="shared" si="31"/>
        <v>2037.4950967368654</v>
      </c>
      <c r="W34" s="349">
        <f t="shared" si="31"/>
        <v>2131.5337559882464</v>
      </c>
      <c r="X34" s="349">
        <f t="shared" si="31"/>
        <v>2221.9729500917374</v>
      </c>
      <c r="Y34" s="349">
        <f t="shared" si="31"/>
        <v>2308.0487881943741</v>
      </c>
      <c r="Z34" s="349">
        <f t="shared" si="31"/>
        <v>2389.0359659981514</v>
      </c>
      <c r="AA34" s="349">
        <f t="shared" si="31"/>
        <v>2464.2520951223646</v>
      </c>
      <c r="AB34" s="349">
        <f t="shared" si="31"/>
        <v>2533.05150535238</v>
      </c>
      <c r="AC34" s="349">
        <f t="shared" si="31"/>
        <v>2594.8503512342627</v>
      </c>
      <c r="AD34" s="349">
        <f t="shared" si="31"/>
        <v>2649.1330946684229</v>
      </c>
      <c r="AE34" s="349">
        <f t="shared" si="31"/>
        <v>2695.4593074654213</v>
      </c>
      <c r="AF34" s="350">
        <f t="shared" si="31"/>
        <v>2733.4744680741051</v>
      </c>
      <c r="AG34" s="408"/>
      <c r="AH34" s="7"/>
      <c r="AI34" s="7"/>
      <c r="AJ34" s="7"/>
      <c r="AK34" s="11"/>
      <c r="AL34" s="11"/>
      <c r="AM34" s="11"/>
      <c r="AN34" s="11"/>
    </row>
    <row r="35" spans="1:40" s="3" customFormat="1" ht="15">
      <c r="A35" s="1334"/>
      <c r="B35" s="221">
        <v>27</v>
      </c>
      <c r="C35" s="225" t="s">
        <v>455</v>
      </c>
      <c r="D35" s="289">
        <f>-1*(D29+D30)</f>
        <v>120.679</v>
      </c>
      <c r="E35" s="287">
        <f t="shared" ref="E35:AF35" si="32">-1*(E29+E30)</f>
        <v>209.31200000000001</v>
      </c>
      <c r="F35" s="291">
        <f t="shared" si="32"/>
        <v>333.9</v>
      </c>
      <c r="G35" s="299">
        <f>-1*(G29+G30)</f>
        <v>246.48627910733325</v>
      </c>
      <c r="H35" s="272">
        <f t="shared" si="32"/>
        <v>277.19663336654111</v>
      </c>
      <c r="I35" s="272">
        <f t="shared" si="32"/>
        <v>306.65071534999083</v>
      </c>
      <c r="J35" s="300">
        <f t="shared" si="32"/>
        <v>334.51685224272347</v>
      </c>
      <c r="K35" s="272">
        <f t="shared" si="32"/>
        <v>352.71177503627729</v>
      </c>
      <c r="L35" s="272">
        <f t="shared" si="32"/>
        <v>382.74231390330442</v>
      </c>
      <c r="M35" s="272">
        <f t="shared" si="32"/>
        <v>414.53784353272289</v>
      </c>
      <c r="N35" s="272">
        <f t="shared" si="32"/>
        <v>447.51445969561718</v>
      </c>
      <c r="O35" s="272">
        <f t="shared" si="32"/>
        <v>481.5292352419367</v>
      </c>
      <c r="P35" s="272">
        <f t="shared" si="32"/>
        <v>516.43715478829779</v>
      </c>
      <c r="Q35" s="272">
        <f t="shared" si="32"/>
        <v>552.07318930390704</v>
      </c>
      <c r="R35" s="272">
        <f t="shared" si="32"/>
        <v>588.24748436363086</v>
      </c>
      <c r="S35" s="272">
        <f t="shared" si="32"/>
        <v>624.7569073515989</v>
      </c>
      <c r="T35" s="272">
        <f t="shared" si="32"/>
        <v>661.38176168826647</v>
      </c>
      <c r="U35" s="272">
        <f t="shared" si="32"/>
        <v>697.88772179312639</v>
      </c>
      <c r="V35" s="272">
        <f t="shared" si="32"/>
        <v>734.03009935671321</v>
      </c>
      <c r="W35" s="272">
        <f t="shared" si="32"/>
        <v>769.55546572446758</v>
      </c>
      <c r="X35" s="272">
        <f t="shared" si="32"/>
        <v>804.20492789814966</v>
      </c>
      <c r="Y35" s="272">
        <f t="shared" si="32"/>
        <v>837.71777087732937</v>
      </c>
      <c r="Z35" s="272">
        <f t="shared" si="32"/>
        <v>869.83476495350737</v>
      </c>
      <c r="AA35" s="272">
        <f t="shared" si="32"/>
        <v>900.30193173822443</v>
      </c>
      <c r="AB35" s="272">
        <f t="shared" si="32"/>
        <v>928.87433776253852</v>
      </c>
      <c r="AC35" s="272">
        <f t="shared" si="32"/>
        <v>955.3197901296337</v>
      </c>
      <c r="AD35" s="272">
        <f t="shared" si="32"/>
        <v>979.42251068043322</v>
      </c>
      <c r="AE35" s="272">
        <f t="shared" si="32"/>
        <v>1000.9866207710395</v>
      </c>
      <c r="AF35" s="300">
        <f t="shared" si="32"/>
        <v>1019.8393646289026</v>
      </c>
      <c r="AG35" s="408"/>
      <c r="AH35" s="426"/>
      <c r="AI35" s="426"/>
      <c r="AJ35" s="426"/>
      <c r="AK35" s="424"/>
      <c r="AL35" s="424"/>
      <c r="AM35" s="424"/>
      <c r="AN35" s="424"/>
    </row>
    <row r="36" spans="1:40" s="7" customFormat="1" ht="15.75" thickBot="1">
      <c r="A36" s="1334"/>
      <c r="B36" s="222">
        <v>28</v>
      </c>
      <c r="C36" s="220" t="s">
        <v>456</v>
      </c>
      <c r="D36" s="339">
        <f>D34-D35</f>
        <v>-101.28</v>
      </c>
      <c r="E36" s="340">
        <f>E34-E35</f>
        <v>104.35000000000002</v>
      </c>
      <c r="F36" s="292">
        <f>F34-F35</f>
        <v>33.774999999999977</v>
      </c>
      <c r="G36" s="301">
        <f>G34-G35</f>
        <v>178.96343151370741</v>
      </c>
      <c r="H36" s="302">
        <f t="shared" ref="H36:AF36" si="33">H34-H35</f>
        <v>471.5036370514585</v>
      </c>
      <c r="I36" s="302">
        <f t="shared" si="33"/>
        <v>511.98438677957745</v>
      </c>
      <c r="J36" s="303">
        <f t="shared" si="33"/>
        <v>570.62474511124719</v>
      </c>
      <c r="K36" s="302">
        <f t="shared" si="33"/>
        <v>1536.1912001864359</v>
      </c>
      <c r="L36" s="302">
        <f t="shared" si="33"/>
        <v>674.18485266772859</v>
      </c>
      <c r="M36" s="302">
        <f t="shared" si="33"/>
        <v>735.9197366366684</v>
      </c>
      <c r="N36" s="302">
        <f t="shared" si="33"/>
        <v>796.37487984912718</v>
      </c>
      <c r="O36" s="302">
        <f t="shared" si="33"/>
        <v>858.92042487864887</v>
      </c>
      <c r="P36" s="302">
        <f t="shared" si="33"/>
        <v>923.12910916076351</v>
      </c>
      <c r="Q36" s="302">
        <f t="shared" si="33"/>
        <v>987.35902149848937</v>
      </c>
      <c r="R36" s="302">
        <f t="shared" si="33"/>
        <v>1052.0350859666851</v>
      </c>
      <c r="S36" s="302">
        <f t="shared" si="33"/>
        <v>1116.5386760188239</v>
      </c>
      <c r="T36" s="302">
        <f t="shared" si="33"/>
        <v>1180.1972422183658</v>
      </c>
      <c r="U36" s="302">
        <f t="shared" si="33"/>
        <v>1242.694339105698</v>
      </c>
      <c r="V36" s="302">
        <f t="shared" si="33"/>
        <v>1303.4649973801522</v>
      </c>
      <c r="W36" s="302">
        <f t="shared" si="33"/>
        <v>1361.9782902637789</v>
      </c>
      <c r="X36" s="302">
        <f t="shared" si="33"/>
        <v>1417.7680221935877</v>
      </c>
      <c r="Y36" s="302">
        <f t="shared" si="33"/>
        <v>1470.3310173170448</v>
      </c>
      <c r="Z36" s="302">
        <f t="shared" si="33"/>
        <v>1519.201201044644</v>
      </c>
      <c r="AA36" s="302">
        <f t="shared" si="33"/>
        <v>1563.9501633841401</v>
      </c>
      <c r="AB36" s="302">
        <f t="shared" si="33"/>
        <v>1604.1771675898415</v>
      </c>
      <c r="AC36" s="302">
        <f t="shared" si="33"/>
        <v>1639.530561104629</v>
      </c>
      <c r="AD36" s="302">
        <f t="shared" si="33"/>
        <v>1669.7105839879896</v>
      </c>
      <c r="AE36" s="302">
        <f t="shared" si="33"/>
        <v>1694.4726866943818</v>
      </c>
      <c r="AF36" s="303">
        <f t="shared" si="33"/>
        <v>1713.6351034452025</v>
      </c>
      <c r="AG36" s="408"/>
      <c r="AK36" s="11"/>
      <c r="AL36" s="11"/>
      <c r="AM36" s="11"/>
      <c r="AN36" s="11"/>
    </row>
    <row r="37" spans="1:40" ht="15.75" thickBot="1">
      <c r="A37" s="230"/>
      <c r="B37" s="228"/>
      <c r="C37" s="229"/>
      <c r="D37" s="354"/>
      <c r="E37" s="354"/>
      <c r="F37" s="354"/>
      <c r="G37" s="354"/>
      <c r="H37" s="354"/>
      <c r="I37" s="354"/>
      <c r="J37" s="354"/>
      <c r="K37" s="354"/>
      <c r="L37" s="354"/>
      <c r="M37" s="354"/>
      <c r="N37" s="354"/>
      <c r="O37" s="354"/>
      <c r="P37" s="354"/>
      <c r="Q37" s="354"/>
      <c r="R37" s="354"/>
      <c r="S37" s="354"/>
      <c r="T37" s="354"/>
      <c r="U37" s="354"/>
      <c r="V37" s="354"/>
      <c r="W37" s="354"/>
      <c r="X37" s="354"/>
      <c r="Y37" s="354"/>
      <c r="Z37" s="354"/>
      <c r="AA37" s="354"/>
      <c r="AB37" s="354"/>
      <c r="AC37" s="354"/>
      <c r="AD37" s="354"/>
      <c r="AE37" s="354"/>
      <c r="AF37" s="355"/>
      <c r="AG37" s="408"/>
      <c r="AH37" s="7"/>
      <c r="AI37" s="7"/>
      <c r="AJ37" s="7"/>
      <c r="AK37" s="11"/>
      <c r="AL37" s="11"/>
      <c r="AM37" s="11"/>
      <c r="AN37" s="11"/>
    </row>
    <row r="38" spans="1:40" ht="15">
      <c r="A38" s="1335" t="s">
        <v>457</v>
      </c>
      <c r="B38" s="223">
        <v>29</v>
      </c>
      <c r="C38" s="225" t="s">
        <v>458</v>
      </c>
      <c r="D38" s="290">
        <v>1673.491</v>
      </c>
      <c r="E38" s="288">
        <v>1086.7059999999999</v>
      </c>
      <c r="F38" s="290">
        <v>1096.473</v>
      </c>
      <c r="G38" s="294">
        <f>+F38+(-G10)</f>
        <v>1124.9812979999999</v>
      </c>
      <c r="H38" s="295">
        <f t="shared" ref="H38:AF38" si="34">+G38+(-H10)</f>
        <v>1154.230811748</v>
      </c>
      <c r="I38" s="295">
        <f t="shared" si="34"/>
        <v>1184.240812853448</v>
      </c>
      <c r="J38" s="296">
        <f t="shared" si="34"/>
        <v>1215.0310739876377</v>
      </c>
      <c r="K38" s="381">
        <f t="shared" si="34"/>
        <v>1246.6218819113162</v>
      </c>
      <c r="L38" s="295">
        <f t="shared" si="34"/>
        <v>1279.0340508410104</v>
      </c>
      <c r="M38" s="295">
        <f t="shared" si="34"/>
        <v>1312.2889361628768</v>
      </c>
      <c r="N38" s="295">
        <f t="shared" si="34"/>
        <v>1346.4084485031117</v>
      </c>
      <c r="O38" s="295">
        <f t="shared" si="34"/>
        <v>1381.4150681641927</v>
      </c>
      <c r="P38" s="295">
        <f t="shared" si="34"/>
        <v>1417.3318599364618</v>
      </c>
      <c r="Q38" s="295">
        <f t="shared" si="34"/>
        <v>1454.1824882948099</v>
      </c>
      <c r="R38" s="295">
        <f t="shared" si="34"/>
        <v>1491.9912329904751</v>
      </c>
      <c r="S38" s="295">
        <f t="shared" si="34"/>
        <v>1530.7830050482273</v>
      </c>
      <c r="T38" s="295">
        <f t="shared" si="34"/>
        <v>1570.5833631794812</v>
      </c>
      <c r="U38" s="295">
        <f t="shared" si="34"/>
        <v>1611.4185306221477</v>
      </c>
      <c r="V38" s="295">
        <f t="shared" si="34"/>
        <v>1653.3154124183236</v>
      </c>
      <c r="W38" s="295">
        <f t="shared" si="34"/>
        <v>1696.3016131412001</v>
      </c>
      <c r="X38" s="295">
        <f t="shared" si="34"/>
        <v>1740.4054550828712</v>
      </c>
      <c r="Y38" s="295">
        <f t="shared" si="34"/>
        <v>1785.6559969150258</v>
      </c>
      <c r="Z38" s="295">
        <f t="shared" si="34"/>
        <v>1832.0830528348165</v>
      </c>
      <c r="AA38" s="295">
        <f t="shared" si="34"/>
        <v>1879.7172122085217</v>
      </c>
      <c r="AB38" s="295">
        <f t="shared" si="34"/>
        <v>1928.5898597259431</v>
      </c>
      <c r="AC38" s="295">
        <f t="shared" si="34"/>
        <v>1978.7331960788176</v>
      </c>
      <c r="AD38" s="295">
        <f t="shared" si="34"/>
        <v>2030.1802591768669</v>
      </c>
      <c r="AE38" s="295">
        <f t="shared" si="34"/>
        <v>2082.9649459154653</v>
      </c>
      <c r="AF38" s="296">
        <f t="shared" si="34"/>
        <v>2137.1220345092675</v>
      </c>
      <c r="AG38" s="409">
        <f>SUM(G38:AF38)</f>
        <v>41065.611900250304</v>
      </c>
      <c r="AH38" s="7"/>
      <c r="AI38" s="7"/>
      <c r="AJ38" s="7"/>
      <c r="AK38" s="11"/>
      <c r="AL38" s="11"/>
      <c r="AM38" s="11"/>
      <c r="AN38" s="11"/>
    </row>
    <row r="39" spans="1:40" ht="15">
      <c r="A39" s="1334"/>
      <c r="B39" s="223">
        <v>30</v>
      </c>
      <c r="C39" s="225" t="s">
        <v>459</v>
      </c>
      <c r="D39" s="291">
        <v>142</v>
      </c>
      <c r="E39" s="287">
        <v>167.53800000000001</v>
      </c>
      <c r="F39" s="291">
        <v>185.68199999999999</v>
      </c>
      <c r="G39" s="297">
        <f>F39-G10</f>
        <v>214.19029799999998</v>
      </c>
      <c r="H39" s="293">
        <f t="shared" ref="H39:AF39" si="35">G39-H10</f>
        <v>243.43981174799998</v>
      </c>
      <c r="I39" s="293">
        <f t="shared" si="35"/>
        <v>273.44981285344795</v>
      </c>
      <c r="J39" s="298">
        <f t="shared" si="35"/>
        <v>304.24007398763757</v>
      </c>
      <c r="K39" s="382">
        <f t="shared" si="35"/>
        <v>335.83088191131617</v>
      </c>
      <c r="L39" s="293">
        <f t="shared" si="35"/>
        <v>368.24305084101036</v>
      </c>
      <c r="M39" s="293">
        <f t="shared" si="35"/>
        <v>401.49793616287661</v>
      </c>
      <c r="N39" s="293">
        <f t="shared" si="35"/>
        <v>435.6174485031114</v>
      </c>
      <c r="O39" s="293">
        <f t="shared" si="35"/>
        <v>470.62406816419229</v>
      </c>
      <c r="P39" s="293">
        <f t="shared" si="35"/>
        <v>506.54085993646129</v>
      </c>
      <c r="Q39" s="293">
        <f t="shared" si="35"/>
        <v>543.39148829480928</v>
      </c>
      <c r="R39" s="293">
        <f t="shared" si="35"/>
        <v>581.20023299047432</v>
      </c>
      <c r="S39" s="293">
        <f t="shared" si="35"/>
        <v>619.9920050482267</v>
      </c>
      <c r="T39" s="293">
        <f t="shared" si="35"/>
        <v>659.79236317948062</v>
      </c>
      <c r="U39" s="293">
        <f t="shared" si="35"/>
        <v>700.62753062214711</v>
      </c>
      <c r="V39" s="293">
        <f t="shared" si="35"/>
        <v>742.52441241832298</v>
      </c>
      <c r="W39" s="293">
        <f t="shared" si="35"/>
        <v>785.51061314119943</v>
      </c>
      <c r="X39" s="293">
        <f t="shared" si="35"/>
        <v>829.61445508287068</v>
      </c>
      <c r="Y39" s="293">
        <f t="shared" si="35"/>
        <v>874.86499691502536</v>
      </c>
      <c r="Z39" s="293">
        <f t="shared" si="35"/>
        <v>921.29205283481599</v>
      </c>
      <c r="AA39" s="293">
        <f t="shared" si="35"/>
        <v>968.92621220852118</v>
      </c>
      <c r="AB39" s="293">
        <f t="shared" si="35"/>
        <v>1017.7988597259427</v>
      </c>
      <c r="AC39" s="293">
        <f t="shared" si="35"/>
        <v>1067.9421960788172</v>
      </c>
      <c r="AD39" s="293">
        <f t="shared" si="35"/>
        <v>1119.3892591768665</v>
      </c>
      <c r="AE39" s="293">
        <f t="shared" si="35"/>
        <v>1172.1739459154651</v>
      </c>
      <c r="AF39" s="298">
        <f t="shared" si="35"/>
        <v>1226.3310345092673</v>
      </c>
      <c r="AG39" s="409">
        <f>SUM(G39:AF39)</f>
        <v>17385.045900250308</v>
      </c>
      <c r="AH39" s="7"/>
      <c r="AI39" s="7"/>
      <c r="AJ39" s="7"/>
      <c r="AK39" s="11"/>
      <c r="AL39" s="11"/>
      <c r="AM39" s="11"/>
      <c r="AN39" s="11"/>
    </row>
    <row r="40" spans="1:40" ht="15">
      <c r="A40" s="1334"/>
      <c r="B40" s="223">
        <v>31</v>
      </c>
      <c r="C40" s="225" t="s">
        <v>460</v>
      </c>
      <c r="D40" s="291">
        <v>1626.874</v>
      </c>
      <c r="E40" s="287">
        <v>2000.2719999999999</v>
      </c>
      <c r="F40" s="291">
        <v>2217.91</v>
      </c>
      <c r="G40" s="297">
        <f>F40+(-G23)</f>
        <v>2458.1380999999997</v>
      </c>
      <c r="H40" s="293">
        <f t="shared" ref="H40:AE40" si="36">G40+(-H23)</f>
        <v>2730.7969934999996</v>
      </c>
      <c r="I40" s="293">
        <f t="shared" si="36"/>
        <v>3036.1749542199996</v>
      </c>
      <c r="J40" s="298">
        <f t="shared" si="36"/>
        <v>3373.6176008155994</v>
      </c>
      <c r="K40" s="382">
        <f t="shared" si="36"/>
        <v>3846.5193669731475</v>
      </c>
      <c r="L40" s="293">
        <f t="shared" si="36"/>
        <v>4360.3271359033233</v>
      </c>
      <c r="M40" s="293">
        <f t="shared" si="36"/>
        <v>4916.7809496547034</v>
      </c>
      <c r="N40" s="293">
        <f t="shared" si="36"/>
        <v>5517.4728415993186</v>
      </c>
      <c r="O40" s="293">
        <f t="shared" si="36"/>
        <v>6163.8173173317246</v>
      </c>
      <c r="P40" s="293">
        <f t="shared" si="36"/>
        <v>6857.0217675547301</v>
      </c>
      <c r="Q40" s="293">
        <f t="shared" si="36"/>
        <v>7598.0573248431228</v>
      </c>
      <c r="R40" s="293">
        <f t="shared" si="36"/>
        <v>8387.6307111339047</v>
      </c>
      <c r="S40" s="293">
        <f t="shared" si="36"/>
        <v>9226.1576473747155</v>
      </c>
      <c r="T40" s="293">
        <f t="shared" si="36"/>
        <v>10113.738409385614</v>
      </c>
      <c r="U40" s="293">
        <f t="shared" si="36"/>
        <v>11050.136113307111</v>
      </c>
      <c r="V40" s="293">
        <f t="shared" si="36"/>
        <v>12034.758298980565</v>
      </c>
      <c r="W40" s="293">
        <f t="shared" si="36"/>
        <v>13066.642349566346</v>
      </c>
      <c r="X40" s="293">
        <f t="shared" si="36"/>
        <v>14144.445240403193</v>
      </c>
      <c r="Y40" s="293">
        <f t="shared" si="36"/>
        <v>15266.438049764351</v>
      </c>
      <c r="Z40" s="293">
        <f t="shared" si="36"/>
        <v>16430.505589476554</v>
      </c>
      <c r="AA40" s="293">
        <f t="shared" si="36"/>
        <v>17634.15142553897</v>
      </c>
      <c r="AB40" s="293">
        <f t="shared" si="36"/>
        <v>18874.508459601289</v>
      </c>
      <c r="AC40" s="293">
        <f t="shared" si="36"/>
        <v>20148.355133583293</v>
      </c>
      <c r="AD40" s="293">
        <f t="shared" si="36"/>
        <v>21452.137204403873</v>
      </c>
      <c r="AE40" s="293">
        <f t="shared" si="36"/>
        <v>22781.994916640862</v>
      </c>
      <c r="AF40" s="298">
        <f>AE40+(-AF23)</f>
        <v>24133.795281129765</v>
      </c>
      <c r="AG40" s="409">
        <f>SUM(G40:AF40)</f>
        <v>285604.11918268609</v>
      </c>
      <c r="AH40" s="7"/>
      <c r="AI40" s="7"/>
      <c r="AJ40" s="7"/>
      <c r="AK40" s="11"/>
      <c r="AL40" s="11"/>
      <c r="AM40" s="11"/>
      <c r="AN40" s="11"/>
    </row>
    <row r="41" spans="1:40" ht="15.75" thickBot="1">
      <c r="A41" s="1334"/>
      <c r="B41" s="224">
        <v>32</v>
      </c>
      <c r="C41" s="220" t="s">
        <v>461</v>
      </c>
      <c r="D41" s="493">
        <v>713.55200000000002</v>
      </c>
      <c r="E41" s="492">
        <v>925.78200000000004</v>
      </c>
      <c r="F41" s="493">
        <v>1135.43</v>
      </c>
      <c r="G41" s="494">
        <f>F41-G9</f>
        <v>1440.5411000000001</v>
      </c>
      <c r="H41" s="495">
        <f>G41-H9</f>
        <v>1786.8421985000002</v>
      </c>
      <c r="I41" s="495">
        <f t="shared" ref="I41:AE41" si="37">H41-I9</f>
        <v>2174.6994288200003</v>
      </c>
      <c r="J41" s="496">
        <f t="shared" si="37"/>
        <v>2603.2816683236006</v>
      </c>
      <c r="K41" s="497">
        <f t="shared" si="37"/>
        <v>3070.4363093825245</v>
      </c>
      <c r="L41" s="495">
        <f t="shared" si="37"/>
        <v>3577.9998268930458</v>
      </c>
      <c r="M41" s="495">
        <f t="shared" si="37"/>
        <v>4127.6911163569403</v>
      </c>
      <c r="N41" s="495">
        <f t="shared" si="37"/>
        <v>4721.0828633332139</v>
      </c>
      <c r="O41" s="495">
        <f t="shared" si="37"/>
        <v>5359.5723830796842</v>
      </c>
      <c r="P41" s="495">
        <f t="shared" si="37"/>
        <v>6044.3523930077736</v>
      </c>
      <c r="Q41" s="495">
        <f t="shared" si="37"/>
        <v>6776.3822236209016</v>
      </c>
      <c r="R41" s="495">
        <f t="shared" si="37"/>
        <v>7556.3600081391896</v>
      </c>
      <c r="S41" s="495">
        <f t="shared" si="37"/>
        <v>8384.6964152976107</v>
      </c>
      <c r="T41" s="495">
        <f t="shared" si="37"/>
        <v>9261.4905022747989</v>
      </c>
      <c r="U41" s="495">
        <f t="shared" si="37"/>
        <v>10186.508264035734</v>
      </c>
      <c r="V41" s="495">
        <f t="shared" si="37"/>
        <v>11159.164440527356</v>
      </c>
      <c r="W41" s="495">
        <f t="shared" si="37"/>
        <v>12178.508113490578</v>
      </c>
      <c r="X41" s="495">
        <f t="shared" si="37"/>
        <v>13243.212579900661</v>
      </c>
      <c r="Y41" s="495">
        <f t="shared" si="37"/>
        <v>14351.569929433557</v>
      </c>
      <c r="Z41" s="495">
        <f t="shared" si="37"/>
        <v>15501.490679573937</v>
      </c>
      <c r="AA41" s="495">
        <f t="shared" si="37"/>
        <v>16690.508735219089</v>
      </c>
      <c r="AB41" s="495">
        <f t="shared" si="37"/>
        <v>17915.791841561419</v>
      </c>
      <c r="AC41" s="495">
        <f t="shared" si="37"/>
        <v>19174.157591774994</v>
      </c>
      <c r="AD41" s="495">
        <f t="shared" si="37"/>
        <v>20462.094937118585</v>
      </c>
      <c r="AE41" s="495">
        <f t="shared" si="37"/>
        <v>21775.791029369051</v>
      </c>
      <c r="AF41" s="496">
        <f>AE41-AF9</f>
        <v>23111.163107141649</v>
      </c>
      <c r="AG41" s="409">
        <f>SUM(G41:AF41)</f>
        <v>262635.38968617591</v>
      </c>
      <c r="AH41" s="7"/>
      <c r="AI41" s="7"/>
      <c r="AJ41" s="7"/>
      <c r="AK41" s="11"/>
      <c r="AL41" s="11"/>
      <c r="AM41" s="11"/>
      <c r="AN41" s="11"/>
    </row>
    <row r="42" spans="1:40" s="7" customFormat="1" ht="15.75" thickBot="1">
      <c r="A42" s="1328"/>
      <c r="B42" s="1329"/>
      <c r="C42" s="1329"/>
      <c r="D42" s="1329"/>
      <c r="E42" s="1329"/>
      <c r="F42" s="1329"/>
      <c r="G42" s="1329"/>
      <c r="H42" s="1329"/>
      <c r="I42" s="1329"/>
      <c r="J42" s="1329"/>
      <c r="K42" s="1329"/>
      <c r="L42" s="1329"/>
      <c r="M42" s="1329"/>
      <c r="N42" s="1329"/>
      <c r="O42" s="1329"/>
      <c r="P42" s="1329"/>
      <c r="Q42" s="1329"/>
      <c r="R42" s="1329"/>
      <c r="S42" s="1329"/>
      <c r="T42" s="1329"/>
      <c r="U42" s="1329"/>
      <c r="V42" s="1329"/>
      <c r="W42" s="1329"/>
      <c r="X42" s="1329"/>
      <c r="Y42" s="1329"/>
      <c r="Z42" s="1329"/>
      <c r="AA42" s="1329"/>
      <c r="AB42" s="1329"/>
      <c r="AC42" s="1329"/>
      <c r="AD42" s="1329"/>
      <c r="AE42" s="1329"/>
      <c r="AF42" s="1330"/>
      <c r="AG42" s="408"/>
      <c r="AK42" s="11"/>
      <c r="AL42" s="11"/>
      <c r="AM42" s="11"/>
      <c r="AN42" s="11"/>
    </row>
    <row r="43" spans="1:40" ht="15" customHeight="1">
      <c r="A43" s="1322" t="s">
        <v>462</v>
      </c>
      <c r="B43" s="221">
        <v>33</v>
      </c>
      <c r="C43" s="225" t="s">
        <v>463</v>
      </c>
      <c r="D43" s="484">
        <f>'Fin. Data'!D39</f>
        <v>932.7</v>
      </c>
      <c r="E43" s="800">
        <f>E36+D43</f>
        <v>1037.0500000000002</v>
      </c>
      <c r="F43" s="801">
        <f>F36+E43</f>
        <v>1070.8250000000003</v>
      </c>
      <c r="G43" s="498">
        <f>G36+F43</f>
        <v>1249.7884315137076</v>
      </c>
      <c r="H43" s="499">
        <f t="shared" ref="H43:AE43" si="38">H36+G43</f>
        <v>1721.2920685651661</v>
      </c>
      <c r="I43" s="499">
        <f t="shared" si="38"/>
        <v>2233.2764553447437</v>
      </c>
      <c r="J43" s="500">
        <f t="shared" si="38"/>
        <v>2803.9012004559909</v>
      </c>
      <c r="K43" s="619">
        <f t="shared" si="38"/>
        <v>4340.0924006424266</v>
      </c>
      <c r="L43" s="620">
        <f t="shared" si="38"/>
        <v>5014.2772533101552</v>
      </c>
      <c r="M43" s="620">
        <f t="shared" si="38"/>
        <v>5750.196989946824</v>
      </c>
      <c r="N43" s="620">
        <f t="shared" si="38"/>
        <v>6546.571869795951</v>
      </c>
      <c r="O43" s="620">
        <f t="shared" si="38"/>
        <v>7405.4922946746001</v>
      </c>
      <c r="P43" s="620">
        <f t="shared" si="38"/>
        <v>8328.6214038353628</v>
      </c>
      <c r="Q43" s="620">
        <f t="shared" si="38"/>
        <v>9315.9804253338516</v>
      </c>
      <c r="R43" s="620">
        <f t="shared" si="38"/>
        <v>10368.015511300537</v>
      </c>
      <c r="S43" s="620">
        <f t="shared" si="38"/>
        <v>11484.554187319362</v>
      </c>
      <c r="T43" s="620">
        <f t="shared" si="38"/>
        <v>12664.751429537728</v>
      </c>
      <c r="U43" s="620">
        <f t="shared" si="38"/>
        <v>13907.445768643425</v>
      </c>
      <c r="V43" s="620">
        <f t="shared" si="38"/>
        <v>15210.910766023577</v>
      </c>
      <c r="W43" s="620">
        <f t="shared" si="38"/>
        <v>16572.889056287357</v>
      </c>
      <c r="X43" s="620">
        <f t="shared" si="38"/>
        <v>17990.657078480945</v>
      </c>
      <c r="Y43" s="620">
        <f t="shared" si="38"/>
        <v>19460.988095797991</v>
      </c>
      <c r="Z43" s="620">
        <f t="shared" si="38"/>
        <v>20980.189296842636</v>
      </c>
      <c r="AA43" s="620">
        <f t="shared" si="38"/>
        <v>22544.139460226776</v>
      </c>
      <c r="AB43" s="620">
        <f t="shared" si="38"/>
        <v>24148.316627816617</v>
      </c>
      <c r="AC43" s="620">
        <f t="shared" si="38"/>
        <v>25787.847188921245</v>
      </c>
      <c r="AD43" s="620">
        <f t="shared" si="38"/>
        <v>27457.557772909233</v>
      </c>
      <c r="AE43" s="620">
        <f t="shared" si="38"/>
        <v>29152.030459603615</v>
      </c>
      <c r="AF43" s="621">
        <f>AF36+AE43</f>
        <v>30865.665563048817</v>
      </c>
      <c r="AG43" s="408"/>
      <c r="AH43" s="7"/>
      <c r="AI43" s="7"/>
      <c r="AJ43" s="7"/>
      <c r="AK43" s="11"/>
      <c r="AL43" s="11"/>
      <c r="AM43" s="11"/>
      <c r="AN43" s="11"/>
    </row>
    <row r="44" spans="1:40" ht="15">
      <c r="A44" s="1322"/>
      <c r="B44" s="221">
        <v>34</v>
      </c>
      <c r="C44" s="225" t="s">
        <v>292</v>
      </c>
      <c r="D44" s="484">
        <f>'Fin. Data'!D58</f>
        <v>913.94</v>
      </c>
      <c r="E44" s="278">
        <f>'Fin. Data'!C58</f>
        <v>912.779</v>
      </c>
      <c r="F44" s="485">
        <f>'Fin. Data'!B58</f>
        <v>848.59100000000001</v>
      </c>
      <c r="G44" s="1033">
        <f>G12*$D$64</f>
        <v>681.5841989999999</v>
      </c>
      <c r="H44" s="617">
        <f>H12*$D$64</f>
        <v>762.30654599899992</v>
      </c>
      <c r="I44" s="617">
        <f>I12*$D$64</f>
        <v>841.50224863272399</v>
      </c>
      <c r="J44" s="618">
        <f>J12*$D$64</f>
        <v>916.62306660279478</v>
      </c>
      <c r="K44" s="616">
        <f t="shared" ref="K44:AF44" si="39">K12*$E$64</f>
        <v>1991.0132444130875</v>
      </c>
      <c r="L44" s="617">
        <f t="shared" si="39"/>
        <v>2155.6156709651013</v>
      </c>
      <c r="M44" s="617">
        <f t="shared" si="39"/>
        <v>2326.5014578734194</v>
      </c>
      <c r="N44" s="617">
        <f t="shared" si="39"/>
        <v>2503.0048330546956</v>
      </c>
      <c r="O44" s="617">
        <f t="shared" si="39"/>
        <v>2684.3456194639252</v>
      </c>
      <c r="P44" s="617">
        <f t="shared" si="39"/>
        <v>2869.6305973916751</v>
      </c>
      <c r="Q44" s="617">
        <f t="shared" si="39"/>
        <v>3057.856958151177</v>
      </c>
      <c r="R44" s="617">
        <f t="shared" si="39"/>
        <v>3247.9179514644711</v>
      </c>
      <c r="S44" s="617">
        <f t="shared" si="39"/>
        <v>3438.6107836879933</v>
      </c>
      <c r="T44" s="617">
        <f t="shared" si="39"/>
        <v>3628.6467734750759</v>
      </c>
      <c r="U44" s="617">
        <f t="shared" si="39"/>
        <v>3816.6637166979381</v>
      </c>
      <c r="V44" s="617">
        <f t="shared" si="39"/>
        <v>4001.2403548306102</v>
      </c>
      <c r="W44" s="617">
        <f t="shared" si="39"/>
        <v>4180.9127821231223</v>
      </c>
      <c r="X44" s="617">
        <f t="shared" si="39"/>
        <v>4354.1925685382621</v>
      </c>
      <c r="Y44" s="617">
        <f t="shared" si="39"/>
        <v>4519.5863194485264</v>
      </c>
      <c r="Z44" s="617">
        <f t="shared" si="39"/>
        <v>4675.6163414221955</v>
      </c>
      <c r="AA44" s="617">
        <f t="shared" si="39"/>
        <v>4820.8420379602767</v>
      </c>
      <c r="AB44" s="617">
        <f t="shared" si="39"/>
        <v>4953.8816215779689</v>
      </c>
      <c r="AC44" s="617">
        <f t="shared" si="39"/>
        <v>5073.4337007799231</v>
      </c>
      <c r="AD44" s="617">
        <f t="shared" si="39"/>
        <v>5178.2982836355695</v>
      </c>
      <c r="AE44" s="617">
        <f t="shared" si="39"/>
        <v>5267.396734884237</v>
      </c>
      <c r="AF44" s="618">
        <f t="shared" si="39"/>
        <v>5339.7902314839648</v>
      </c>
      <c r="AG44" s="423"/>
      <c r="AH44" s="11"/>
      <c r="AI44" s="11"/>
      <c r="AJ44" s="11"/>
      <c r="AK44" s="11"/>
      <c r="AL44" s="11"/>
      <c r="AM44" s="11"/>
      <c r="AN44" s="11"/>
    </row>
    <row r="45" spans="1:40" ht="15">
      <c r="A45" s="1322"/>
      <c r="B45" s="221">
        <v>35</v>
      </c>
      <c r="C45" s="225" t="s">
        <v>464</v>
      </c>
      <c r="D45" s="486"/>
      <c r="E45" s="348"/>
      <c r="F45" s="487">
        <f>1/((1+$F$50)^G50)</f>
        <v>1</v>
      </c>
      <c r="G45" s="304">
        <f t="shared" ref="G45:AF45" si="40">1/((1+$F$50)^G49)</f>
        <v>0.9174311926605504</v>
      </c>
      <c r="H45" s="273">
        <f t="shared" si="40"/>
        <v>0.84167999326655996</v>
      </c>
      <c r="I45" s="273">
        <f t="shared" si="40"/>
        <v>0.77218348006106419</v>
      </c>
      <c r="J45" s="305">
        <f t="shared" si="40"/>
        <v>0.7084252110651964</v>
      </c>
      <c r="K45" s="304">
        <f t="shared" si="40"/>
        <v>0.64993138629834524</v>
      </c>
      <c r="L45" s="273">
        <f t="shared" si="40"/>
        <v>0.5962673268792158</v>
      </c>
      <c r="M45" s="273">
        <f t="shared" si="40"/>
        <v>0.54703424484331731</v>
      </c>
      <c r="N45" s="273">
        <f t="shared" si="40"/>
        <v>0.50186627967276809</v>
      </c>
      <c r="O45" s="273">
        <f t="shared" si="40"/>
        <v>0.46042777951630098</v>
      </c>
      <c r="P45" s="273">
        <f t="shared" si="40"/>
        <v>0.42241080689568894</v>
      </c>
      <c r="Q45" s="273">
        <f t="shared" si="40"/>
        <v>0.38753285036301738</v>
      </c>
      <c r="R45" s="273">
        <f t="shared" si="40"/>
        <v>0.35553472510368567</v>
      </c>
      <c r="S45" s="273">
        <f t="shared" si="40"/>
        <v>0.32617864688411524</v>
      </c>
      <c r="T45" s="273">
        <f t="shared" si="40"/>
        <v>0.29924646503129837</v>
      </c>
      <c r="U45" s="273">
        <f t="shared" si="40"/>
        <v>0.27453804131311776</v>
      </c>
      <c r="V45" s="273">
        <f t="shared" si="40"/>
        <v>0.2518697626725851</v>
      </c>
      <c r="W45" s="273">
        <f t="shared" si="40"/>
        <v>0.23107317676383954</v>
      </c>
      <c r="X45" s="273">
        <f t="shared" si="40"/>
        <v>0.21199374015031147</v>
      </c>
      <c r="Y45" s="273">
        <f t="shared" si="40"/>
        <v>0.19448966986267105</v>
      </c>
      <c r="Z45" s="273">
        <f t="shared" si="40"/>
        <v>0.17843088978226704</v>
      </c>
      <c r="AA45" s="273">
        <f t="shared" si="40"/>
        <v>0.16369806402042844</v>
      </c>
      <c r="AB45" s="273">
        <f t="shared" si="40"/>
        <v>0.15018171011048481</v>
      </c>
      <c r="AC45" s="273">
        <f t="shared" si="40"/>
        <v>0.13778138542246313</v>
      </c>
      <c r="AD45" s="273">
        <f t="shared" si="40"/>
        <v>0.12640494075455333</v>
      </c>
      <c r="AE45" s="273">
        <f t="shared" si="40"/>
        <v>0.11596783555463605</v>
      </c>
      <c r="AF45" s="615">
        <f t="shared" si="40"/>
        <v>0.10639250968315234</v>
      </c>
      <c r="AG45" s="423"/>
      <c r="AH45" s="11"/>
      <c r="AI45" s="11"/>
      <c r="AJ45" s="11"/>
      <c r="AK45" s="11"/>
      <c r="AL45" s="11"/>
      <c r="AM45" s="11"/>
      <c r="AN45" s="11"/>
    </row>
    <row r="46" spans="1:40" ht="15">
      <c r="A46" s="1322"/>
      <c r="B46" s="221">
        <v>36</v>
      </c>
      <c r="C46" s="225" t="s">
        <v>465</v>
      </c>
      <c r="D46" s="488"/>
      <c r="E46" s="489" t="s">
        <v>466</v>
      </c>
      <c r="F46" s="305">
        <f>1/((1+$F$50+0.001)^G50)</f>
        <v>1</v>
      </c>
      <c r="G46" s="304">
        <f>1/((1+$F$50+0.001)^G49)</f>
        <v>0.91659028414298815</v>
      </c>
      <c r="H46" s="273">
        <f t="shared" ref="H46:AF46" si="41">1/((1+$F$50+0.001)^H49)</f>
        <v>0.84013774898532367</v>
      </c>
      <c r="I46" s="273">
        <f t="shared" si="41"/>
        <v>0.77006209806170833</v>
      </c>
      <c r="J46" s="305">
        <f t="shared" si="41"/>
        <v>0.70583143727012676</v>
      </c>
      <c r="K46" s="304">
        <f t="shared" si="41"/>
        <v>0.64695823764447913</v>
      </c>
      <c r="L46" s="273">
        <f t="shared" si="41"/>
        <v>0.59299563487119988</v>
      </c>
      <c r="M46" s="273">
        <f t="shared" si="41"/>
        <v>0.54353403746214479</v>
      </c>
      <c r="N46" s="273">
        <f t="shared" si="41"/>
        <v>0.49819801783881279</v>
      </c>
      <c r="O46" s="273">
        <f t="shared" si="41"/>
        <v>0.45664346273035089</v>
      </c>
      <c r="P46" s="273">
        <f t="shared" si="41"/>
        <v>0.4185549612560503</v>
      </c>
      <c r="Q46" s="273">
        <f t="shared" si="41"/>
        <v>0.38364341086714054</v>
      </c>
      <c r="R46" s="273">
        <f t="shared" si="41"/>
        <v>0.35164382297629748</v>
      </c>
      <c r="S46" s="273">
        <f t="shared" si="41"/>
        <v>0.32231331161897109</v>
      </c>
      <c r="T46" s="273">
        <f t="shared" si="41"/>
        <v>0.29542924987990016</v>
      </c>
      <c r="U46" s="273">
        <f t="shared" si="41"/>
        <v>0.27078758009156756</v>
      </c>
      <c r="V46" s="273">
        <f t="shared" si="41"/>
        <v>0.24820126497852205</v>
      </c>
      <c r="W46" s="273">
        <f t="shared" si="41"/>
        <v>0.22749886799131264</v>
      </c>
      <c r="X46" s="273">
        <f t="shared" si="41"/>
        <v>0.20852325205436539</v>
      </c>
      <c r="Y46" s="273">
        <f t="shared" si="41"/>
        <v>0.1911303868509307</v>
      </c>
      <c r="Z46" s="273">
        <f t="shared" si="41"/>
        <v>0.17518825559205378</v>
      </c>
      <c r="AA46" s="273">
        <f t="shared" si="41"/>
        <v>0.16057585297163501</v>
      </c>
      <c r="AB46" s="273">
        <f t="shared" si="41"/>
        <v>0.14718226670177359</v>
      </c>
      <c r="AC46" s="273">
        <f t="shared" si="41"/>
        <v>0.13490583565698774</v>
      </c>
      <c r="AD46" s="273">
        <f t="shared" si="41"/>
        <v>0.12365337823738563</v>
      </c>
      <c r="AE46" s="273">
        <f t="shared" si="41"/>
        <v>0.11333948509384568</v>
      </c>
      <c r="AF46" s="305">
        <f t="shared" si="41"/>
        <v>0.10388587084678798</v>
      </c>
      <c r="AG46" s="423"/>
      <c r="AH46" s="11"/>
      <c r="AI46" s="11"/>
      <c r="AJ46" s="11"/>
      <c r="AK46" s="11"/>
      <c r="AL46" s="11"/>
      <c r="AM46" s="11"/>
      <c r="AN46" s="11"/>
    </row>
    <row r="47" spans="1:40" ht="15.75" thickBot="1">
      <c r="A47" s="1322"/>
      <c r="B47" s="222">
        <v>37</v>
      </c>
      <c r="C47" s="220" t="s">
        <v>467</v>
      </c>
      <c r="D47" s="488"/>
      <c r="E47" s="489" t="s">
        <v>468</v>
      </c>
      <c r="F47" s="501">
        <f>1/((1+$F$50+0.005)^G50)</f>
        <v>1</v>
      </c>
      <c r="G47" s="502">
        <f t="shared" ref="G47:AF47" si="42">1/((1+$F$50+0.005)^G49)</f>
        <v>0.91324200913242015</v>
      </c>
      <c r="H47" s="503">
        <f t="shared" si="42"/>
        <v>0.8340109672442193</v>
      </c>
      <c r="I47" s="503">
        <f t="shared" si="42"/>
        <v>0.76165385136458386</v>
      </c>
      <c r="J47" s="501">
        <f t="shared" si="42"/>
        <v>0.6955742934836382</v>
      </c>
      <c r="K47" s="622">
        <f t="shared" si="42"/>
        <v>0.63522766528186136</v>
      </c>
      <c r="L47" s="623">
        <f t="shared" si="42"/>
        <v>0.58011658929850352</v>
      </c>
      <c r="M47" s="623">
        <f t="shared" si="42"/>
        <v>0.52978683954201233</v>
      </c>
      <c r="N47" s="623">
        <f t="shared" si="42"/>
        <v>0.4838235977552624</v>
      </c>
      <c r="O47" s="623">
        <f t="shared" si="42"/>
        <v>0.44184803447969173</v>
      </c>
      <c r="P47" s="623">
        <f t="shared" si="42"/>
        <v>0.40351418673944445</v>
      </c>
      <c r="Q47" s="623">
        <f t="shared" si="42"/>
        <v>0.36850610661136479</v>
      </c>
      <c r="R47" s="623">
        <f t="shared" si="42"/>
        <v>0.33653525717932858</v>
      </c>
      <c r="S47" s="623">
        <f t="shared" si="42"/>
        <v>0.30733813441034574</v>
      </c>
      <c r="T47" s="623">
        <f t="shared" si="42"/>
        <v>0.2806740953519139</v>
      </c>
      <c r="U47" s="623">
        <f t="shared" si="42"/>
        <v>0.25632337475060635</v>
      </c>
      <c r="V47" s="623">
        <f t="shared" si="42"/>
        <v>0.23408527374484595</v>
      </c>
      <c r="W47" s="623">
        <f t="shared" si="42"/>
        <v>0.21377650570305565</v>
      </c>
      <c r="X47" s="623">
        <f t="shared" si="42"/>
        <v>0.19522968557356679</v>
      </c>
      <c r="Y47" s="623">
        <f t="shared" si="42"/>
        <v>0.1782919502954948</v>
      </c>
      <c r="Z47" s="623">
        <f t="shared" si="42"/>
        <v>0.16282369889999526</v>
      </c>
      <c r="AA47" s="623">
        <f t="shared" si="42"/>
        <v>0.14869744191780387</v>
      </c>
      <c r="AB47" s="623">
        <f t="shared" si="42"/>
        <v>0.13579675060986654</v>
      </c>
      <c r="AC47" s="623">
        <f t="shared" si="42"/>
        <v>0.12401529736060873</v>
      </c>
      <c r="AD47" s="623">
        <f t="shared" si="42"/>
        <v>0.11325597932475681</v>
      </c>
      <c r="AE47" s="623">
        <f t="shared" si="42"/>
        <v>0.10343011810480077</v>
      </c>
      <c r="AF47" s="624">
        <f t="shared" si="42"/>
        <v>9.4456728862831726E-2</v>
      </c>
      <c r="AG47" s="423"/>
      <c r="AH47" s="11"/>
      <c r="AI47" s="11"/>
      <c r="AJ47" s="11"/>
      <c r="AK47" s="11"/>
      <c r="AL47" s="11"/>
      <c r="AM47" s="11"/>
      <c r="AN47" s="11"/>
    </row>
    <row r="48" spans="1:40" ht="15.75" thickBot="1">
      <c r="A48" s="1331" t="s">
        <v>437</v>
      </c>
      <c r="B48" s="1332"/>
      <c r="C48" s="1332"/>
      <c r="D48" s="1332"/>
      <c r="E48" s="1332"/>
      <c r="F48" s="1332"/>
      <c r="G48" s="1332"/>
      <c r="H48" s="1332"/>
      <c r="I48" s="1332"/>
      <c r="J48" s="1332"/>
      <c r="K48" s="1332"/>
      <c r="L48" s="1332"/>
      <c r="M48" s="1332"/>
      <c r="N48" s="1332"/>
      <c r="O48" s="1332"/>
      <c r="P48" s="1332"/>
      <c r="Q48" s="1332"/>
      <c r="R48" s="1332"/>
      <c r="S48" s="1332"/>
      <c r="T48" s="1332"/>
      <c r="U48" s="1332"/>
      <c r="V48" s="1332"/>
      <c r="W48" s="1332"/>
      <c r="X48" s="1332"/>
      <c r="Y48" s="1332"/>
      <c r="Z48" s="1332"/>
      <c r="AA48" s="1332"/>
      <c r="AB48" s="1332"/>
      <c r="AC48" s="1332"/>
      <c r="AD48" s="1332"/>
      <c r="AE48" s="1332"/>
      <c r="AF48" s="1333"/>
      <c r="AG48" s="423"/>
      <c r="AH48" s="11"/>
      <c r="AI48" s="11"/>
      <c r="AJ48" s="425"/>
      <c r="AK48" s="11"/>
      <c r="AL48" s="11"/>
      <c r="AM48" s="11"/>
      <c r="AN48" s="11"/>
    </row>
    <row r="49" spans="1:40" ht="15">
      <c r="A49" s="1336" t="s">
        <v>469</v>
      </c>
      <c r="C49" s="236" t="s">
        <v>470</v>
      </c>
      <c r="D49" s="226" t="s">
        <v>471</v>
      </c>
      <c r="E49" s="227" t="s">
        <v>472</v>
      </c>
      <c r="F49" s="237" t="s">
        <v>473</v>
      </c>
      <c r="G49" s="274">
        <v>1</v>
      </c>
      <c r="H49" s="275">
        <v>2</v>
      </c>
      <c r="I49" s="275">
        <v>3</v>
      </c>
      <c r="J49" s="274">
        <v>4</v>
      </c>
      <c r="K49" s="275">
        <v>5</v>
      </c>
      <c r="L49" s="275">
        <v>6</v>
      </c>
      <c r="M49" s="274">
        <v>7</v>
      </c>
      <c r="N49" s="275">
        <v>8</v>
      </c>
      <c r="O49" s="275">
        <v>9</v>
      </c>
      <c r="P49" s="274">
        <v>10</v>
      </c>
      <c r="Q49" s="275">
        <v>11</v>
      </c>
      <c r="R49" s="275">
        <v>12</v>
      </c>
      <c r="S49" s="274">
        <v>13</v>
      </c>
      <c r="T49" s="275">
        <v>14</v>
      </c>
      <c r="U49" s="275">
        <v>15</v>
      </c>
      <c r="V49" s="274">
        <v>16</v>
      </c>
      <c r="W49" s="275">
        <v>17</v>
      </c>
      <c r="X49" s="275">
        <v>18</v>
      </c>
      <c r="Y49" s="274">
        <v>19</v>
      </c>
      <c r="Z49" s="275">
        <v>20</v>
      </c>
      <c r="AA49" s="275">
        <v>21</v>
      </c>
      <c r="AB49" s="274">
        <v>22</v>
      </c>
      <c r="AC49" s="275">
        <v>23</v>
      </c>
      <c r="AD49" s="275">
        <v>24</v>
      </c>
      <c r="AE49" s="274">
        <v>25</v>
      </c>
      <c r="AF49" s="275">
        <v>26</v>
      </c>
      <c r="AG49" s="423"/>
      <c r="AH49" s="11"/>
      <c r="AI49" s="11"/>
      <c r="AJ49" s="11"/>
      <c r="AK49" s="11"/>
      <c r="AL49" s="11"/>
      <c r="AM49" s="11"/>
      <c r="AN49" s="11"/>
    </row>
    <row r="50" spans="1:40" ht="15.75" thickBot="1">
      <c r="A50" s="1337"/>
      <c r="C50" s="232">
        <v>0.04</v>
      </c>
      <c r="D50" s="233">
        <v>4.4999999999999998E-2</v>
      </c>
      <c r="E50" s="234">
        <v>5.0000000000000001E-3</v>
      </c>
      <c r="F50" s="235">
        <f>E50+D50+C50</f>
        <v>0.09</v>
      </c>
      <c r="G50" s="274">
        <v>0</v>
      </c>
      <c r="S50" s="219"/>
      <c r="T50" s="219"/>
      <c r="U50" s="219"/>
      <c r="V50" s="219"/>
      <c r="W50" s="219"/>
      <c r="X50" s="219"/>
      <c r="Y50" s="219"/>
      <c r="Z50" s="219"/>
      <c r="AA50" s="219"/>
      <c r="AB50" s="219"/>
      <c r="AC50" s="219"/>
      <c r="AD50" s="219"/>
      <c r="AE50" s="219"/>
      <c r="AF50" s="219"/>
      <c r="AG50" s="422"/>
      <c r="AH50" s="11"/>
      <c r="AI50" s="11"/>
      <c r="AJ50" s="11"/>
      <c r="AK50" s="11"/>
      <c r="AL50" s="11"/>
      <c r="AM50" s="11"/>
      <c r="AN50" s="11"/>
    </row>
    <row r="51" spans="1:40" ht="15">
      <c r="A51" s="219"/>
      <c r="C51" s="219"/>
      <c r="D51" s="219"/>
      <c r="G51"/>
      <c r="H51" s="219"/>
      <c r="I51" s="219"/>
      <c r="J51" s="219"/>
      <c r="K51" s="219"/>
      <c r="S51" s="219"/>
      <c r="T51" s="219"/>
      <c r="U51" s="219"/>
      <c r="V51" s="219"/>
      <c r="W51" s="219"/>
      <c r="X51" s="219"/>
      <c r="Y51" s="219"/>
      <c r="Z51" s="219"/>
      <c r="AA51" s="219"/>
      <c r="AB51" s="219"/>
      <c r="AC51" s="219"/>
      <c r="AD51" s="219"/>
      <c r="AE51" s="219"/>
      <c r="AF51" s="219"/>
      <c r="AG51" s="422"/>
      <c r="AH51" s="11"/>
      <c r="AI51" s="11"/>
      <c r="AJ51" s="11"/>
      <c r="AK51" s="11"/>
      <c r="AL51" s="11"/>
      <c r="AM51" s="11"/>
      <c r="AN51" s="11"/>
    </row>
    <row r="52" spans="1:40" ht="15" customHeight="1">
      <c r="A52" s="1338" t="s">
        <v>474</v>
      </c>
      <c r="C52" s="362" t="s">
        <v>437</v>
      </c>
      <c r="D52" s="363" t="s">
        <v>413</v>
      </c>
      <c r="E52" s="364" t="s">
        <v>414</v>
      </c>
      <c r="F52" s="363" t="s">
        <v>475</v>
      </c>
      <c r="G52" s="219"/>
      <c r="I52" s="395"/>
      <c r="J52" s="395"/>
      <c r="K52" s="219"/>
      <c r="S52" s="219"/>
      <c r="T52" s="219"/>
      <c r="U52" s="219"/>
      <c r="V52" s="219"/>
      <c r="W52" s="219"/>
      <c r="X52" s="219"/>
      <c r="Y52" s="219"/>
      <c r="Z52" s="219"/>
      <c r="AA52" s="219"/>
      <c r="AB52" s="219"/>
      <c r="AC52" s="219"/>
      <c r="AD52" s="219"/>
      <c r="AE52" s="219"/>
      <c r="AF52" s="219"/>
      <c r="AG52" s="422"/>
      <c r="AH52" s="11"/>
      <c r="AI52" s="11"/>
      <c r="AJ52" s="11"/>
      <c r="AK52" s="11"/>
      <c r="AL52" s="11"/>
      <c r="AM52" s="11"/>
      <c r="AN52" s="11"/>
    </row>
    <row r="53" spans="1:40" ht="15" customHeight="1">
      <c r="A53" s="1338"/>
      <c r="C53" s="365" t="s">
        <v>476</v>
      </c>
      <c r="D53" s="337"/>
      <c r="E53" s="337"/>
      <c r="F53" s="366" t="str">
        <f>Assumptions!N17</f>
        <v>% PPE</v>
      </c>
      <c r="G53" s="402"/>
      <c r="I53" s="219"/>
      <c r="J53" s="219"/>
      <c r="K53" s="219"/>
      <c r="S53" s="219"/>
      <c r="T53" s="219"/>
      <c r="U53" s="219"/>
      <c r="V53" s="219"/>
      <c r="W53" s="219"/>
      <c r="X53" s="219"/>
      <c r="Y53" s="219"/>
      <c r="Z53" s="219"/>
      <c r="AA53" s="219"/>
      <c r="AB53" s="219"/>
      <c r="AC53" s="219"/>
      <c r="AD53" s="219"/>
      <c r="AE53" s="219"/>
      <c r="AF53" s="219"/>
      <c r="AG53" s="422"/>
      <c r="AH53" s="11"/>
      <c r="AI53" s="11"/>
      <c r="AJ53" s="11"/>
      <c r="AK53" s="11"/>
      <c r="AL53" s="11"/>
      <c r="AM53" s="11"/>
      <c r="AN53" s="11"/>
    </row>
    <row r="54" spans="1:40" ht="15" customHeight="1">
      <c r="A54" s="1338"/>
      <c r="C54" s="367" t="s">
        <v>477</v>
      </c>
      <c r="D54" s="337">
        <f>-Assumptions!K18</f>
        <v>-2.5999999999999999E-2</v>
      </c>
      <c r="E54" s="338">
        <f>-Assumptions!L18</f>
        <v>-2.5999999999999999E-2</v>
      </c>
      <c r="F54" s="366" t="str">
        <f>Assumptions!N18</f>
        <v>% IA</v>
      </c>
      <c r="G54" s="219"/>
      <c r="I54" s="219"/>
      <c r="J54" s="219"/>
      <c r="K54" s="219"/>
      <c r="S54" s="219"/>
      <c r="T54" s="219"/>
      <c r="U54" s="219"/>
      <c r="V54" s="219"/>
      <c r="W54" s="219"/>
      <c r="X54" s="219"/>
      <c r="Y54" s="219"/>
      <c r="Z54" s="219"/>
      <c r="AA54" s="219"/>
      <c r="AB54" s="219"/>
      <c r="AC54" s="219"/>
      <c r="AD54" s="219"/>
      <c r="AE54" s="219"/>
      <c r="AF54" s="219"/>
      <c r="AG54" s="422"/>
      <c r="AH54" s="11"/>
      <c r="AI54" s="11"/>
      <c r="AJ54" s="11"/>
      <c r="AK54" s="11"/>
      <c r="AL54" s="11"/>
      <c r="AM54" s="11"/>
      <c r="AN54" s="11"/>
    </row>
    <row r="55" spans="1:40" ht="15" customHeight="1">
      <c r="A55" s="1338"/>
      <c r="C55" s="347" t="s">
        <v>478</v>
      </c>
      <c r="D55" s="337">
        <f>-Assumptions!K19</f>
        <v>-1.4E-2</v>
      </c>
      <c r="E55" s="338">
        <f>-Assumptions!L19</f>
        <v>-1.4E-2</v>
      </c>
      <c r="F55" s="366" t="str">
        <f>Assumptions!N19</f>
        <v>% Revenue</v>
      </c>
      <c r="G55" s="219"/>
      <c r="I55" s="219"/>
      <c r="J55" s="219"/>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422"/>
      <c r="AH55" s="11"/>
      <c r="AI55" s="11"/>
      <c r="AJ55" s="11"/>
      <c r="AK55" s="11"/>
      <c r="AL55" s="11"/>
      <c r="AM55" s="11"/>
      <c r="AN55" s="11"/>
    </row>
    <row r="56" spans="1:40" ht="15" customHeight="1">
      <c r="A56" s="1338"/>
      <c r="B56" t="s">
        <v>423</v>
      </c>
      <c r="C56" s="367" t="s">
        <v>479</v>
      </c>
      <c r="D56" s="337">
        <v>0.27</v>
      </c>
      <c r="E56" s="338">
        <v>0.27</v>
      </c>
      <c r="F56" s="366" t="str">
        <f>Assumptions!N20</f>
        <v>% EBT</v>
      </c>
      <c r="G56" s="219"/>
      <c r="I56" s="219"/>
      <c r="J56" s="219"/>
      <c r="K56" s="219"/>
      <c r="L56" s="219"/>
      <c r="M56" s="219"/>
      <c r="N56" s="219"/>
      <c r="O56" s="219"/>
      <c r="P56" s="219"/>
      <c r="Q56" s="219"/>
      <c r="R56" s="219"/>
      <c r="S56" s="219"/>
      <c r="T56" s="219"/>
      <c r="U56" s="219"/>
      <c r="V56" s="219"/>
      <c r="W56" s="219"/>
      <c r="X56" s="219"/>
      <c r="Y56" s="219"/>
      <c r="Z56" s="219"/>
      <c r="AA56" s="219"/>
      <c r="AB56" s="219"/>
      <c r="AC56" s="219"/>
      <c r="AD56" s="219"/>
      <c r="AE56" s="219"/>
      <c r="AF56" s="219"/>
      <c r="AG56" s="422"/>
      <c r="AH56" s="11"/>
      <c r="AI56" s="11"/>
      <c r="AJ56" s="11"/>
      <c r="AK56" s="11"/>
      <c r="AL56" s="11"/>
      <c r="AM56" s="11"/>
      <c r="AN56" s="11"/>
    </row>
    <row r="57" spans="1:40" ht="15" customHeight="1">
      <c r="A57" s="1338"/>
      <c r="C57" s="347" t="s">
        <v>480</v>
      </c>
      <c r="D57" s="337">
        <f>Assumptions!K21</f>
        <v>0.03</v>
      </c>
      <c r="E57" s="338">
        <f>Assumptions!L21</f>
        <v>0.04</v>
      </c>
      <c r="F57" s="366" t="str">
        <f>Assumptions!N21</f>
        <v>% Debt</v>
      </c>
      <c r="G57" s="219"/>
      <c r="I57" s="219"/>
      <c r="J57" s="219"/>
      <c r="K57" s="219"/>
      <c r="L57" s="219"/>
      <c r="M57" s="219"/>
      <c r="N57" s="219"/>
      <c r="O57" s="219"/>
      <c r="P57" s="219"/>
      <c r="Q57" s="219"/>
      <c r="R57" s="219"/>
      <c r="S57" s="219"/>
      <c r="T57" s="219"/>
      <c r="U57" s="219"/>
      <c r="V57" s="219"/>
      <c r="W57" s="219"/>
      <c r="X57" s="219"/>
      <c r="Y57" s="219"/>
      <c r="Z57" s="219"/>
      <c r="AA57" s="219"/>
      <c r="AB57" s="219"/>
      <c r="AC57" s="219"/>
      <c r="AD57" s="219"/>
      <c r="AE57" s="219"/>
      <c r="AF57" s="219"/>
      <c r="AG57" s="422"/>
      <c r="AH57" s="11"/>
      <c r="AI57" s="11"/>
      <c r="AJ57" s="11"/>
      <c r="AK57" s="11"/>
      <c r="AL57" s="11"/>
      <c r="AM57" s="11"/>
      <c r="AN57" s="11"/>
    </row>
    <row r="58" spans="1:40" ht="15" customHeight="1">
      <c r="A58" s="1338"/>
      <c r="C58" s="367" t="s">
        <v>481</v>
      </c>
      <c r="D58" s="337">
        <f>Assumptions!K22</f>
        <v>0.02</v>
      </c>
      <c r="E58" s="338">
        <f>Assumptions!L22</f>
        <v>0.02</v>
      </c>
      <c r="F58" s="366" t="str">
        <f>Assumptions!N22</f>
        <v xml:space="preserve">% Cash </v>
      </c>
      <c r="G58" s="219"/>
      <c r="H58" s="219"/>
      <c r="I58" s="220"/>
      <c r="J58" s="239"/>
      <c r="K58" s="239"/>
      <c r="L58" s="239"/>
      <c r="M58" s="239"/>
      <c r="N58" s="239"/>
      <c r="O58" s="219"/>
      <c r="P58" s="219"/>
      <c r="Q58" s="219"/>
      <c r="R58" s="219"/>
      <c r="S58" s="219"/>
      <c r="T58" s="219"/>
      <c r="U58" s="219"/>
      <c r="V58" s="219"/>
      <c r="W58" s="219"/>
      <c r="X58" s="219"/>
      <c r="Y58" s="219"/>
      <c r="Z58" s="219"/>
      <c r="AA58" s="219"/>
      <c r="AB58" s="219"/>
      <c r="AC58" s="219"/>
      <c r="AD58" s="219"/>
      <c r="AE58" s="219"/>
      <c r="AF58" s="219"/>
      <c r="AG58" s="422"/>
      <c r="AH58" s="11"/>
      <c r="AI58" s="11"/>
      <c r="AJ58" s="11"/>
      <c r="AK58" s="11"/>
      <c r="AL58" s="11"/>
      <c r="AM58" s="11"/>
      <c r="AN58" s="11"/>
    </row>
    <row r="59" spans="1:40" ht="15" customHeight="1">
      <c r="A59" s="1338"/>
      <c r="C59" s="362" t="s">
        <v>482</v>
      </c>
      <c r="D59" s="337">
        <f>Assumptions!K23</f>
        <v>-1.726752931131929E-2</v>
      </c>
      <c r="E59" s="338">
        <f>Assumptions!L23</f>
        <v>4.9375025492662313E-3</v>
      </c>
      <c r="F59" s="366" t="str">
        <f>Assumptions!N23</f>
        <v xml:space="preserve">% Change in Revenues </v>
      </c>
      <c r="G59" s="219"/>
      <c r="H59" s="219"/>
      <c r="I59" s="219"/>
      <c r="J59" s="239"/>
      <c r="K59" s="239"/>
      <c r="L59" s="239"/>
      <c r="M59" s="239"/>
      <c r="N59" s="239"/>
      <c r="O59" s="219"/>
      <c r="P59" s="219"/>
      <c r="Q59" s="219"/>
      <c r="R59" s="219"/>
      <c r="S59" s="219"/>
      <c r="T59" s="219"/>
      <c r="U59" s="219"/>
      <c r="V59" s="219"/>
      <c r="W59" s="219"/>
      <c r="X59" s="219"/>
      <c r="Y59" s="219"/>
      <c r="Z59" s="219"/>
      <c r="AA59" s="219"/>
      <c r="AB59" s="219"/>
      <c r="AC59" s="219"/>
      <c r="AD59" s="219"/>
      <c r="AE59" s="219"/>
      <c r="AF59" s="219"/>
      <c r="AG59" s="422"/>
      <c r="AH59" s="11"/>
      <c r="AI59" s="11"/>
      <c r="AJ59" s="11"/>
      <c r="AK59" s="11"/>
      <c r="AL59" s="11"/>
      <c r="AM59" s="11"/>
      <c r="AN59" s="11"/>
    </row>
    <row r="60" spans="1:40" ht="15" customHeight="1">
      <c r="A60" s="1338"/>
      <c r="C60" s="369" t="s">
        <v>483</v>
      </c>
      <c r="D60" s="337">
        <f>Assumptions!K24</f>
        <v>-7.0000000000000007E-2</v>
      </c>
      <c r="E60" s="338">
        <f>Assumptions!L24</f>
        <v>-0.09</v>
      </c>
      <c r="F60" s="366" t="str">
        <f>Assumptions!N24</f>
        <v>% Revenue</v>
      </c>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422"/>
      <c r="AH60" s="11"/>
      <c r="AI60" s="11"/>
      <c r="AJ60" s="11"/>
      <c r="AK60" s="11"/>
      <c r="AL60" s="11"/>
      <c r="AM60" s="11"/>
      <c r="AN60" s="11"/>
    </row>
    <row r="61" spans="1:40" ht="15" customHeight="1">
      <c r="A61" s="1338"/>
      <c r="C61" s="369" t="s">
        <v>484</v>
      </c>
      <c r="D61" s="337">
        <f>Assumptions!K25</f>
        <v>0</v>
      </c>
      <c r="E61" s="338">
        <f>Assumptions!L25</f>
        <v>0</v>
      </c>
      <c r="F61" s="366" t="str">
        <f>Assumptions!N25</f>
        <v>% Revenue</v>
      </c>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422"/>
      <c r="AH61" s="11"/>
      <c r="AI61" s="11"/>
      <c r="AJ61" s="11"/>
      <c r="AK61" s="11"/>
      <c r="AL61" s="11"/>
      <c r="AM61" s="11"/>
      <c r="AN61" s="11"/>
    </row>
    <row r="62" spans="1:40" ht="15" customHeight="1">
      <c r="A62" s="1338"/>
      <c r="C62" s="369" t="s">
        <v>137</v>
      </c>
      <c r="D62" s="337">
        <f>Assumptions!K26</f>
        <v>-0.3</v>
      </c>
      <c r="E62" s="338">
        <f>Assumptions!L26</f>
        <v>-0.4</v>
      </c>
      <c r="F62" s="366" t="str">
        <f>Assumptions!N26</f>
        <v>% Net Income</v>
      </c>
      <c r="G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row>
    <row r="63" spans="1:40" ht="15" customHeight="1">
      <c r="A63" s="1338"/>
      <c r="C63" s="369" t="s">
        <v>485</v>
      </c>
      <c r="D63" s="337">
        <f>Assumptions!K27</f>
        <v>0.04</v>
      </c>
      <c r="E63" s="338">
        <f>Assumptions!L27</f>
        <v>0.03</v>
      </c>
      <c r="F63" s="366" t="str">
        <f>Assumptions!N27</f>
        <v>% Net Income</v>
      </c>
      <c r="G63" s="219"/>
      <c r="I63" s="219"/>
      <c r="J63" s="219"/>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row>
    <row r="64" spans="1:40" ht="15.75" customHeight="1">
      <c r="A64" s="1338"/>
      <c r="C64" s="362" t="s">
        <v>292</v>
      </c>
      <c r="D64" s="1025">
        <f>Assumptions!K29</f>
        <v>0.5</v>
      </c>
      <c r="E64" s="1025">
        <f>Assumptions!L29</f>
        <v>1</v>
      </c>
      <c r="F64" s="1020" t="str">
        <f>Assumptions!N29</f>
        <v>% EBITDA</v>
      </c>
      <c r="G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row>
    <row r="65" spans="1:33" ht="15">
      <c r="A65" s="219"/>
      <c r="C65" s="369" t="s">
        <v>486</v>
      </c>
      <c r="D65" s="1023">
        <f>Assumptions!K28</f>
        <v>3.5000000000000003E-2</v>
      </c>
      <c r="E65" s="1023">
        <f>Assumptions!L28</f>
        <v>0.04</v>
      </c>
      <c r="F65" s="1024" t="s">
        <v>487</v>
      </c>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row>
    <row r="66" spans="1:33" ht="15">
      <c r="A66" s="219"/>
      <c r="C66" s="219"/>
      <c r="D66" s="1021"/>
      <c r="E66" s="219"/>
      <c r="F66" s="1022"/>
      <c r="G66" s="219"/>
      <c r="H66" s="219"/>
      <c r="I66" s="219"/>
      <c r="J66" s="219"/>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row>
    <row r="67" spans="1:33" ht="15">
      <c r="A67" s="1318" t="s">
        <v>114</v>
      </c>
      <c r="C67" s="276"/>
      <c r="D67" s="341" t="s">
        <v>488</v>
      </c>
      <c r="E67" s="2"/>
      <c r="G67" s="219"/>
      <c r="H67" s="219"/>
      <c r="I67" s="219"/>
      <c r="J67" s="219"/>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row>
    <row r="68" spans="1:33" ht="15">
      <c r="A68" s="1319"/>
      <c r="C68" s="276" t="s">
        <v>489</v>
      </c>
      <c r="D68" s="342">
        <f>SUMPRODUCT(G35:AF35,G45:AF45)+((AF43-AF44)*AF45)</f>
        <v>7632.2491489036729</v>
      </c>
      <c r="E68" s="306">
        <f>D68/D70</f>
        <v>0.65857700909744288</v>
      </c>
      <c r="G68" s="219"/>
      <c r="H68" s="219"/>
      <c r="I68" s="219"/>
      <c r="J68" s="219"/>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row>
    <row r="69" spans="1:33" ht="15">
      <c r="A69" s="1319"/>
      <c r="C69" s="276" t="s">
        <v>490</v>
      </c>
      <c r="D69" s="342">
        <f>(AF34/(F50-AF5))*AF45</f>
        <v>3956.7511403159692</v>
      </c>
      <c r="E69" s="306">
        <f>D69/D70</f>
        <v>0.34142299090255707</v>
      </c>
      <c r="G69" s="219"/>
      <c r="H69" s="219"/>
      <c r="I69" s="219"/>
      <c r="J69" s="219"/>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row>
    <row r="70" spans="1:33" ht="15">
      <c r="A70" s="1319"/>
      <c r="C70" s="276" t="s">
        <v>491</v>
      </c>
      <c r="D70" s="342">
        <f>D68+D69</f>
        <v>11589.000289219643</v>
      </c>
      <c r="E70" s="2"/>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row>
    <row r="71" spans="1:33" ht="15">
      <c r="A71" s="1319"/>
      <c r="C71" s="612" t="s">
        <v>492</v>
      </c>
      <c r="D71" s="613">
        <f ca="1">OP!C19</f>
        <v>48.03</v>
      </c>
      <c r="E71" s="277"/>
      <c r="G71" s="219"/>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row>
    <row r="72" spans="1:33" ht="15">
      <c r="A72" s="1319"/>
      <c r="C72" s="612" t="s">
        <v>493</v>
      </c>
      <c r="D72" s="343">
        <f ca="1">D73/D71-1</f>
        <v>-0.12197408484766437</v>
      </c>
      <c r="H72" s="219"/>
      <c r="I72" s="219"/>
      <c r="J72" s="219"/>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row>
    <row r="73" spans="1:33" ht="15">
      <c r="A73" s="1320"/>
      <c r="C73" s="344" t="s">
        <v>494</v>
      </c>
      <c r="D73" s="345">
        <f ca="1">D70*1000000/OP!C20</f>
        <v>42.17158470476668</v>
      </c>
    </row>
    <row r="74" spans="1:33" ht="15">
      <c r="A74" s="325"/>
      <c r="C74" s="277"/>
      <c r="D74" s="614"/>
    </row>
    <row r="75" spans="1:33" ht="15">
      <c r="A75" s="1314" t="s">
        <v>495</v>
      </c>
      <c r="C75" s="361" t="s">
        <v>496</v>
      </c>
      <c r="D75" s="613">
        <f ca="1">(SUMPRODUCT(G35:AF35,G45:AF45)+((AF43-AF44)*AF45)+(AF34/(F50+0.001-AF5))*AF45)*1000000/OP!C20</f>
        <v>41.978318280860613</v>
      </c>
      <c r="E75" s="346">
        <f ca="1">D75/D73-1</f>
        <v>-4.5828589382893581E-3</v>
      </c>
    </row>
    <row r="76" spans="1:33" ht="15">
      <c r="A76" s="1315"/>
      <c r="C76" s="361" t="s">
        <v>497</v>
      </c>
      <c r="D76" s="613">
        <f ca="1">(SUMPRODUCT(G35:AF35,G45:AF45)+((AF43-AF44)*AF45)+(AF34/(F50+0.005-AF5))*AF45)*1000000/OP!C20</f>
        <v>41.254492438460822</v>
      </c>
      <c r="E76" s="346">
        <f ca="1">D76/D73-1</f>
        <v>-2.1746687318634161E-2</v>
      </c>
    </row>
    <row r="77" spans="1:33" ht="15">
      <c r="A77" s="359"/>
      <c r="C77" s="360"/>
      <c r="D77" s="614"/>
      <c r="E77" s="346"/>
    </row>
    <row r="78" spans="1:33" ht="15">
      <c r="A78" s="370" t="s">
        <v>498</v>
      </c>
      <c r="C78" s="627" t="s">
        <v>499</v>
      </c>
      <c r="D78" s="628">
        <f ca="1">D73/1.15</f>
        <v>36.670943221536248</v>
      </c>
      <c r="J78" s="5"/>
    </row>
    <row r="79" spans="1:33">
      <c r="G79" s="1"/>
      <c r="H79" s="1"/>
      <c r="I79" s="1"/>
      <c r="J79" s="4"/>
    </row>
    <row r="80" spans="1:33">
      <c r="G80" s="1"/>
      <c r="H80" s="1"/>
      <c r="I80" s="1"/>
      <c r="J80" s="4"/>
    </row>
    <row r="81" spans="7:12">
      <c r="G81" s="1"/>
      <c r="H81" s="1"/>
      <c r="I81" s="1"/>
      <c r="K81" s="4"/>
    </row>
    <row r="82" spans="7:12">
      <c r="L82" s="5"/>
    </row>
    <row r="83" spans="7:12">
      <c r="G83" s="1"/>
      <c r="H83" s="1"/>
      <c r="I83" s="1"/>
    </row>
    <row r="84" spans="7:12">
      <c r="G84" s="1"/>
      <c r="H84" s="1"/>
      <c r="I84" s="1"/>
    </row>
    <row r="85" spans="7:12">
      <c r="G85" s="1"/>
      <c r="H85" s="1"/>
      <c r="I85" s="1"/>
    </row>
  </sheetData>
  <mergeCells count="15">
    <mergeCell ref="A33:AF33"/>
    <mergeCell ref="A75:A76"/>
    <mergeCell ref="A1:AF2"/>
    <mergeCell ref="A67:A73"/>
    <mergeCell ref="A5:A17"/>
    <mergeCell ref="A19:A32"/>
    <mergeCell ref="A43:A47"/>
    <mergeCell ref="G3:J3"/>
    <mergeCell ref="K3:AF3"/>
    <mergeCell ref="A42:AF42"/>
    <mergeCell ref="A48:AF48"/>
    <mergeCell ref="A34:A36"/>
    <mergeCell ref="A38:A41"/>
    <mergeCell ref="A49:A50"/>
    <mergeCell ref="A52:A64"/>
  </mergeCells>
  <phoneticPr fontId="0" type="noConversion"/>
  <conditionalFormatting sqref="D72">
    <cfRule type="cellIs" dxfId="3" priority="1" operator="lessThan">
      <formula>0</formula>
    </cfRule>
    <cfRule type="cellIs" dxfId="2"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770C1-F90F-431C-828B-3BCCB14904B2}">
  <dimension ref="A1:AN712"/>
  <sheetViews>
    <sheetView topLeftCell="AI9" workbookViewId="0">
      <selection activeCell="AN8" sqref="AN8"/>
    </sheetView>
  </sheetViews>
  <sheetFormatPr defaultRowHeight="12.75"/>
  <cols>
    <col min="3" max="3" width="57.5703125" customWidth="1"/>
    <col min="4" max="23" width="12.7109375" customWidth="1"/>
    <col min="25" max="25" width="11" bestFit="1" customWidth="1"/>
    <col min="31" max="40" width="12.7109375" customWidth="1"/>
  </cols>
  <sheetData>
    <row r="1" spans="1:40" ht="18.75" customHeight="1">
      <c r="A1" s="583"/>
      <c r="B1" s="588"/>
      <c r="C1" s="315"/>
      <c r="D1" s="315"/>
      <c r="E1" s="315"/>
      <c r="F1" s="1356" t="s">
        <v>500</v>
      </c>
      <c r="G1" s="1357"/>
      <c r="H1" s="1357"/>
      <c r="I1" s="1357"/>
      <c r="J1" s="1358"/>
      <c r="K1" s="1359" t="s">
        <v>501</v>
      </c>
      <c r="L1" s="1360"/>
      <c r="M1" s="1360"/>
      <c r="N1" s="1360"/>
      <c r="O1" s="1361"/>
      <c r="P1" s="1356" t="s">
        <v>502</v>
      </c>
      <c r="Q1" s="1357"/>
      <c r="R1" s="1357"/>
      <c r="S1" s="1357"/>
      <c r="T1" s="1358"/>
      <c r="U1" s="1362" t="s">
        <v>503</v>
      </c>
      <c r="V1" s="1363"/>
      <c r="W1" s="1363"/>
      <c r="X1" s="589"/>
      <c r="Y1" s="1363" t="s">
        <v>504</v>
      </c>
      <c r="Z1" s="1363"/>
      <c r="AA1" s="1363"/>
      <c r="AB1" s="1363"/>
      <c r="AC1" s="583"/>
      <c r="AD1" s="1344" t="str">
        <f>B3</f>
        <v>MONC.MI</v>
      </c>
      <c r="AE1" s="1344" t="s">
        <v>505</v>
      </c>
      <c r="AF1" s="1344"/>
      <c r="AG1" s="1344"/>
      <c r="AH1" s="1344"/>
      <c r="AI1" s="1344"/>
      <c r="AJ1" s="1345" t="s">
        <v>506</v>
      </c>
      <c r="AK1" s="1345"/>
      <c r="AL1" s="1345"/>
      <c r="AM1" s="1345" t="s">
        <v>507</v>
      </c>
      <c r="AN1" s="1345"/>
    </row>
    <row r="2" spans="1:40" ht="75">
      <c r="A2" s="583"/>
      <c r="B2" s="576" t="s">
        <v>508</v>
      </c>
      <c r="C2" s="576" t="s">
        <v>509</v>
      </c>
      <c r="D2" s="576" t="s">
        <v>510</v>
      </c>
      <c r="E2" s="576" t="s">
        <v>511</v>
      </c>
      <c r="F2" s="577" t="s">
        <v>512</v>
      </c>
      <c r="G2" s="578" t="s">
        <v>513</v>
      </c>
      <c r="H2" s="579" t="s">
        <v>235</v>
      </c>
      <c r="I2" s="577" t="s">
        <v>514</v>
      </c>
      <c r="J2" s="577" t="s">
        <v>515</v>
      </c>
      <c r="K2" s="602" t="s">
        <v>512</v>
      </c>
      <c r="L2" s="603" t="s">
        <v>513</v>
      </c>
      <c r="M2" s="602" t="s">
        <v>235</v>
      </c>
      <c r="N2" s="602" t="s">
        <v>516</v>
      </c>
      <c r="O2" s="602" t="s">
        <v>515</v>
      </c>
      <c r="P2" s="577" t="s">
        <v>512</v>
      </c>
      <c r="Q2" s="578" t="s">
        <v>513</v>
      </c>
      <c r="R2" s="577" t="s">
        <v>235</v>
      </c>
      <c r="S2" s="577" t="s">
        <v>516</v>
      </c>
      <c r="T2" s="577" t="s">
        <v>515</v>
      </c>
      <c r="U2" s="580" t="s">
        <v>517</v>
      </c>
      <c r="V2" s="602" t="s">
        <v>518</v>
      </c>
      <c r="W2" s="580" t="s">
        <v>519</v>
      </c>
      <c r="X2" s="582"/>
      <c r="Y2" s="581" t="s">
        <v>520</v>
      </c>
      <c r="Z2" s="580" t="s">
        <v>521</v>
      </c>
      <c r="AA2" s="580" t="s">
        <v>522</v>
      </c>
      <c r="AB2" s="580" t="s">
        <v>523</v>
      </c>
      <c r="AC2" s="583"/>
      <c r="AD2" s="1344"/>
      <c r="AE2" s="604" t="s">
        <v>519</v>
      </c>
      <c r="AF2" s="587" t="s">
        <v>517</v>
      </c>
      <c r="AG2" s="587" t="s">
        <v>508</v>
      </c>
      <c r="AH2" s="587" t="s">
        <v>509</v>
      </c>
      <c r="AI2" s="587" t="s">
        <v>511</v>
      </c>
      <c r="AJ2" s="587" t="s">
        <v>524</v>
      </c>
      <c r="AK2" s="587" t="s">
        <v>525</v>
      </c>
      <c r="AL2" s="587" t="s">
        <v>526</v>
      </c>
      <c r="AM2" s="587" t="s">
        <v>527</v>
      </c>
      <c r="AN2" s="587" t="s">
        <v>528</v>
      </c>
    </row>
    <row r="3" spans="1:40" ht="15" customHeight="1">
      <c r="A3" s="590" t="s">
        <v>529</v>
      </c>
      <c r="B3" s="1043" t="s">
        <v>530</v>
      </c>
      <c r="C3" s="845" t="s">
        <v>531</v>
      </c>
      <c r="D3" s="1031"/>
      <c r="E3" s="845" t="s">
        <v>532</v>
      </c>
      <c r="F3" s="4">
        <v>0.2</v>
      </c>
      <c r="G3" s="844">
        <v>2.446705824284598</v>
      </c>
      <c r="H3" s="1069">
        <v>19276615433</v>
      </c>
      <c r="I3" s="1027" t="s">
        <v>533</v>
      </c>
      <c r="J3" s="1029">
        <v>0.29952211920087901</v>
      </c>
      <c r="K3" s="591">
        <f>IFERROR(_xlfn.RANK.EQ(F3,F$3:F$706),"N/A")</f>
        <v>109</v>
      </c>
      <c r="L3" s="591">
        <f>IFERROR(_xlfn.RANK.EQ(G3,G$3:G$706),"N/A")</f>
        <v>210</v>
      </c>
      <c r="M3" s="591">
        <f>IFERROR(_xlfn.RANK.EQ(H3,H$3:H$706),"N/A")</f>
        <v>9</v>
      </c>
      <c r="N3" s="591">
        <f>IFERROR(_xlfn.RANK.EQ(I3,I$3:I$706),"N/A")</f>
        <v>103</v>
      </c>
      <c r="O3" s="591">
        <f>IFERROR(_xlfn.RANK.EQ(J3,J$3:J$706),"N/A")</f>
        <v>16</v>
      </c>
      <c r="P3" s="1075" t="s">
        <v>74</v>
      </c>
      <c r="Q3" s="591" t="s">
        <v>74</v>
      </c>
      <c r="R3" s="591" t="s">
        <v>74</v>
      </c>
      <c r="S3" s="591" t="s">
        <v>74</v>
      </c>
      <c r="T3" s="591" t="s">
        <v>74</v>
      </c>
      <c r="U3" s="591" t="s">
        <v>74</v>
      </c>
      <c r="V3" s="591" t="s">
        <v>74</v>
      </c>
      <c r="W3" s="591" t="s">
        <v>74</v>
      </c>
      <c r="X3" s="315"/>
      <c r="Y3" s="592" t="str">
        <f t="shared" ref="Y3:Y34" si="0">IF(OR(Z3="Y",AA3="Y"),"Not suitable","")</f>
        <v/>
      </c>
      <c r="Z3" s="592" t="str">
        <f t="shared" ref="Z3:Z34" si="1">IF(N3="N/A","Y","")</f>
        <v/>
      </c>
      <c r="AA3" s="575"/>
      <c r="AB3" s="591"/>
      <c r="AC3" s="583"/>
      <c r="AD3" s="1344"/>
      <c r="AE3" s="584">
        <v>1</v>
      </c>
      <c r="AF3" s="586">
        <f t="shared" ref="AF3:AF8" si="2">_xlfn.XLOOKUP($AE3,$W:$W,U:U,,0)</f>
        <v>8</v>
      </c>
      <c r="AG3" s="586" t="str">
        <f t="shared" ref="AG3:AH8" si="3">_xlfn.XLOOKUP($AE3,$W:$W,B:B,,0)</f>
        <v>MONC.MI</v>
      </c>
      <c r="AH3" s="586" t="str">
        <f t="shared" si="3"/>
        <v>Moncler SpA</v>
      </c>
      <c r="AI3" s="586" t="str">
        <f t="shared" ref="AI3:AI8" si="4">_xlfn.XLOOKUP($AE3,$W:$W,E:E,,0)</f>
        <v>Italy</v>
      </c>
      <c r="AJ3" s="585"/>
      <c r="AK3" s="585"/>
      <c r="AL3" s="585"/>
      <c r="AM3" s="585"/>
      <c r="AN3" s="585"/>
    </row>
    <row r="4" spans="1:40" ht="15" customHeight="1">
      <c r="A4" s="593" t="s">
        <v>534</v>
      </c>
      <c r="B4" s="1044" t="s">
        <v>535</v>
      </c>
      <c r="C4" s="1044" t="s">
        <v>536</v>
      </c>
      <c r="E4" s="1044" t="s">
        <v>532</v>
      </c>
      <c r="F4" s="1032">
        <f>VALUE(Data.Sard!G2)</f>
        <v>-3.1796801467265705E-2</v>
      </c>
      <c r="G4" s="844">
        <f>Data.Sard!J2</f>
        <v>6.7506166085523782</v>
      </c>
      <c r="H4" s="1045">
        <v>56820724</v>
      </c>
      <c r="I4" s="264">
        <f>VALUE(Data.Sard!L2)</f>
        <v>-0.10100000000000001</v>
      </c>
      <c r="J4" s="904">
        <f>Data.Sard!N2</f>
        <v>-1.952951139996564E-2</v>
      </c>
      <c r="K4" s="591">
        <f t="shared" ref="K4:K29" si="5">IFERROR(_xlfn.RANK.EQ(F4,F$3:F$706),"N/A")</f>
        <v>474</v>
      </c>
      <c r="L4" s="591">
        <f>IFERROR(_xlfn.RANK.EQ(G4,G$3:G$706),"N/A")</f>
        <v>92</v>
      </c>
      <c r="M4" s="591">
        <f>IFERROR(_xlfn.RANK.EQ(H4,H$3:H$706),"N/A")</f>
        <v>283</v>
      </c>
      <c r="N4" s="591">
        <f>IFERROR(_xlfn.RANK.EQ(I4,I$3:I$706),"N/A")</f>
        <v>314</v>
      </c>
      <c r="O4" s="591">
        <f>IFERROR(_xlfn.RANK.EQ(J4,J$3:J$706),"N/A")</f>
        <v>452</v>
      </c>
      <c r="P4" s="591">
        <f t="shared" ref="P3:P35" si="6">IFERROR(ABS(K$3-K4),"N/A")</f>
        <v>365</v>
      </c>
      <c r="Q4" s="591">
        <f t="shared" ref="Q4:Q35" si="7">IFERROR(ABS(L$3-L4),"N/A")</f>
        <v>118</v>
      </c>
      <c r="R4" s="591">
        <f t="shared" ref="R4:R35" si="8">IFERROR(ABS(M$3-M4),"N/A")</f>
        <v>274</v>
      </c>
      <c r="S4" s="591">
        <f t="shared" ref="S4:S35" si="9">IFERROR(ABS(N$3-N4),"N/A")</f>
        <v>211</v>
      </c>
      <c r="T4" s="591">
        <f t="shared" ref="T4:T35" si="10">IFERROR(ABS(O$3-O4),"N/A")</f>
        <v>436</v>
      </c>
      <c r="U4" s="594">
        <f t="shared" ref="U4:U35" si="11">SUM(P4:T4)</f>
        <v>1404</v>
      </c>
      <c r="V4" s="591">
        <f>_xlfn.RANK.EQ(U4,$U$4:$U$706,1)</f>
        <v>413</v>
      </c>
      <c r="W4" s="595">
        <f t="shared" ref="W4:W35" si="12">IF(Y4="Not suitable","-",V4)</f>
        <v>413</v>
      </c>
      <c r="X4" s="315"/>
      <c r="Y4" s="596" t="str">
        <f t="shared" si="0"/>
        <v/>
      </c>
      <c r="Z4" s="903" t="str">
        <f t="shared" si="1"/>
        <v/>
      </c>
      <c r="AA4" s="575"/>
      <c r="AB4" s="591"/>
      <c r="AC4" s="583"/>
      <c r="AD4" s="1344"/>
      <c r="AE4" s="584">
        <v>2</v>
      </c>
      <c r="AF4" s="586">
        <f t="shared" si="2"/>
        <v>113</v>
      </c>
      <c r="AG4" s="586" t="str">
        <f t="shared" si="3"/>
        <v>LVMH.PA</v>
      </c>
      <c r="AH4" s="586" t="str">
        <f t="shared" si="3"/>
        <v>LVMH Moet Hennessy Louis Vuitton SE</v>
      </c>
      <c r="AI4" s="586" t="str">
        <f t="shared" si="4"/>
        <v>France</v>
      </c>
      <c r="AJ4" s="585"/>
      <c r="AK4" s="585"/>
      <c r="AL4" s="585"/>
      <c r="AM4" s="585"/>
      <c r="AN4" s="585"/>
    </row>
    <row r="5" spans="1:40" ht="15" customHeight="1">
      <c r="A5" s="597"/>
      <c r="B5" s="1043" t="s">
        <v>537</v>
      </c>
      <c r="C5" s="1043" t="s">
        <v>538</v>
      </c>
      <c r="D5" s="1046"/>
      <c r="E5" s="1043" t="s">
        <v>532</v>
      </c>
      <c r="F5" s="1032">
        <f>VALUE(Data.Sard!G3)</f>
        <v>5.8417494634343974E-2</v>
      </c>
      <c r="G5" s="844">
        <f>Data.Sard!J3</f>
        <v>-8.4282546709724731</v>
      </c>
      <c r="H5" s="1045">
        <v>8191488</v>
      </c>
      <c r="I5" s="264">
        <f>VALUE(Data.Sard!L3)</f>
        <v>-1.306</v>
      </c>
      <c r="J5" s="904">
        <f>Data.Sard!N3</f>
        <v>5.5994598477963682E-2</v>
      </c>
      <c r="K5" s="591">
        <f t="shared" si="5"/>
        <v>308</v>
      </c>
      <c r="L5" s="591">
        <f t="shared" ref="L5:L68" si="13">IFERROR(_xlfn.RANK.EQ(G5,G$3:G$706),"N/A")</f>
        <v>558</v>
      </c>
      <c r="M5" s="591">
        <f t="shared" ref="M5:M68" si="14">IFERROR(_xlfn.RANK.EQ(H5,H$3:H$706),"N/A")</f>
        <v>485</v>
      </c>
      <c r="N5" s="591">
        <f t="shared" ref="N5:N68" si="15">IFERROR(_xlfn.RANK.EQ(I5,I$3:I$706),"N/A")</f>
        <v>456</v>
      </c>
      <c r="O5" s="591">
        <f t="shared" ref="O5:O68" si="16">IFERROR(_xlfn.RANK.EQ(J5,J$3:J$706),"N/A")</f>
        <v>261</v>
      </c>
      <c r="P5" s="596">
        <f t="shared" si="6"/>
        <v>199</v>
      </c>
      <c r="Q5" s="596">
        <f t="shared" si="7"/>
        <v>348</v>
      </c>
      <c r="R5" s="596">
        <f t="shared" si="8"/>
        <v>476</v>
      </c>
      <c r="S5" s="596">
        <f t="shared" si="9"/>
        <v>353</v>
      </c>
      <c r="T5" s="596">
        <f t="shared" si="10"/>
        <v>245</v>
      </c>
      <c r="U5" s="596">
        <f t="shared" si="11"/>
        <v>1621</v>
      </c>
      <c r="V5" s="591">
        <f t="shared" ref="V5:V68" si="17">_xlfn.RANK.EQ(U5,$U$4:$U$706,1)</f>
        <v>545</v>
      </c>
      <c r="W5" s="596">
        <f t="shared" si="12"/>
        <v>545</v>
      </c>
      <c r="X5" s="583"/>
      <c r="Y5" s="596" t="str">
        <f t="shared" si="0"/>
        <v/>
      </c>
      <c r="Z5" s="598" t="str">
        <f t="shared" si="1"/>
        <v/>
      </c>
      <c r="AA5" s="905"/>
      <c r="AB5" s="596"/>
      <c r="AC5" s="583"/>
      <c r="AD5" s="1344"/>
      <c r="AE5" s="584">
        <v>3</v>
      </c>
      <c r="AF5" s="586">
        <f t="shared" si="2"/>
        <v>243</v>
      </c>
      <c r="AG5" s="586" t="str">
        <f t="shared" si="3"/>
        <v>HRMS.PA</v>
      </c>
      <c r="AH5" s="586" t="str">
        <f t="shared" si="3"/>
        <v>Hermes International SCA</v>
      </c>
      <c r="AI5" s="586" t="str">
        <f t="shared" si="4"/>
        <v>France</v>
      </c>
      <c r="AJ5" s="585"/>
      <c r="AK5" s="585"/>
      <c r="AL5" s="585"/>
      <c r="AM5" s="585"/>
      <c r="AN5" s="585"/>
    </row>
    <row r="6" spans="1:40" ht="15" customHeight="1">
      <c r="A6" s="593"/>
      <c r="B6" s="1043" t="s">
        <v>539</v>
      </c>
      <c r="C6" s="1043" t="s">
        <v>540</v>
      </c>
      <c r="D6" s="1046"/>
      <c r="E6" s="1043" t="s">
        <v>541</v>
      </c>
      <c r="F6" s="1032">
        <f>VALUE(Data.Sard!G4)</f>
        <v>-0.19046529047270358</v>
      </c>
      <c r="G6" s="844">
        <f>Data.Sard!J4</f>
        <v>2.7395067956181229</v>
      </c>
      <c r="H6" s="1047">
        <v>153697</v>
      </c>
      <c r="I6" s="264">
        <f>VALUE(Data.Sard!L4)</f>
        <v>-0.65</v>
      </c>
      <c r="J6" s="904">
        <f>Data.Sard!N4</f>
        <v>-3.6947744166394993E-2</v>
      </c>
      <c r="K6" s="591">
        <f t="shared" si="5"/>
        <v>545</v>
      </c>
      <c r="L6" s="591">
        <f t="shared" si="13"/>
        <v>196</v>
      </c>
      <c r="M6" s="591">
        <f t="shared" si="14"/>
        <v>648</v>
      </c>
      <c r="N6" s="591">
        <f t="shared" si="15"/>
        <v>405</v>
      </c>
      <c r="O6" s="591">
        <f t="shared" si="16"/>
        <v>467</v>
      </c>
      <c r="P6" s="596">
        <f t="shared" si="6"/>
        <v>436</v>
      </c>
      <c r="Q6" s="596">
        <f t="shared" si="7"/>
        <v>14</v>
      </c>
      <c r="R6" s="596">
        <f t="shared" si="8"/>
        <v>639</v>
      </c>
      <c r="S6" s="596">
        <f t="shared" si="9"/>
        <v>302</v>
      </c>
      <c r="T6" s="596">
        <f t="shared" si="10"/>
        <v>451</v>
      </c>
      <c r="U6" s="596">
        <f t="shared" si="11"/>
        <v>1842</v>
      </c>
      <c r="V6" s="591">
        <f t="shared" si="17"/>
        <v>658</v>
      </c>
      <c r="W6" s="596">
        <f t="shared" si="12"/>
        <v>658</v>
      </c>
      <c r="X6" s="583"/>
      <c r="Y6" s="596" t="str">
        <f t="shared" si="0"/>
        <v/>
      </c>
      <c r="Z6" s="598" t="str">
        <f t="shared" si="1"/>
        <v/>
      </c>
      <c r="AA6" s="905"/>
      <c r="AB6" s="596"/>
      <c r="AC6" s="583"/>
      <c r="AD6" s="1344"/>
      <c r="AE6" s="584">
        <v>4</v>
      </c>
      <c r="AF6" s="586">
        <f t="shared" si="2"/>
        <v>301</v>
      </c>
      <c r="AG6" s="586" t="str">
        <f t="shared" si="3"/>
        <v>600398.SS</v>
      </c>
      <c r="AH6" s="586" t="str">
        <f t="shared" si="3"/>
        <v>HLA GROUP CORP LTD</v>
      </c>
      <c r="AI6" s="586" t="str">
        <f t="shared" si="4"/>
        <v>China</v>
      </c>
      <c r="AJ6" s="906"/>
      <c r="AK6" s="906"/>
      <c r="AL6" s="906"/>
      <c r="AM6" s="906"/>
      <c r="AN6" s="906"/>
    </row>
    <row r="7" spans="1:40" ht="15" customHeight="1">
      <c r="A7" s="593"/>
      <c r="B7" s="996" t="s">
        <v>542</v>
      </c>
      <c r="C7" s="1043" t="s">
        <v>543</v>
      </c>
      <c r="D7" s="1046"/>
      <c r="E7" s="1043" t="s">
        <v>541</v>
      </c>
      <c r="F7" s="1032">
        <f>VALUE(Data.Sard!G5)</f>
        <v>0.20870868896284817</v>
      </c>
      <c r="G7" s="844">
        <f>Data.Sard!J5</f>
        <v>3.8272459764514664</v>
      </c>
      <c r="H7" s="1047">
        <v>3814730293</v>
      </c>
      <c r="I7" s="264">
        <f>VALUE(Data.Sard!L5)</f>
        <v>-0.13600000000000001</v>
      </c>
      <c r="J7" s="904">
        <f>Data.Sard!N5</f>
        <v>9.7758429564573868E-2</v>
      </c>
      <c r="K7" s="591">
        <f t="shared" si="5"/>
        <v>100</v>
      </c>
      <c r="L7" s="591">
        <f t="shared" si="13"/>
        <v>152</v>
      </c>
      <c r="M7" s="591">
        <f t="shared" si="14"/>
        <v>30</v>
      </c>
      <c r="N7" s="591">
        <f t="shared" si="15"/>
        <v>328</v>
      </c>
      <c r="O7" s="591">
        <f t="shared" si="16"/>
        <v>162</v>
      </c>
      <c r="P7" s="596">
        <f t="shared" si="6"/>
        <v>9</v>
      </c>
      <c r="Q7" s="596">
        <f t="shared" si="7"/>
        <v>58</v>
      </c>
      <c r="R7" s="596">
        <f t="shared" si="8"/>
        <v>21</v>
      </c>
      <c r="S7" s="596">
        <f t="shared" si="9"/>
        <v>225</v>
      </c>
      <c r="T7" s="596">
        <f t="shared" si="10"/>
        <v>146</v>
      </c>
      <c r="U7" s="596">
        <f t="shared" si="11"/>
        <v>459</v>
      </c>
      <c r="V7" s="591">
        <f t="shared" si="17"/>
        <v>28</v>
      </c>
      <c r="W7" s="596">
        <f t="shared" si="12"/>
        <v>28</v>
      </c>
      <c r="X7" s="583"/>
      <c r="Y7" s="596" t="str">
        <f t="shared" si="0"/>
        <v/>
      </c>
      <c r="Z7" s="598" t="str">
        <f t="shared" si="1"/>
        <v/>
      </c>
      <c r="AA7" s="905"/>
      <c r="AB7" s="596"/>
      <c r="AC7" s="583"/>
      <c r="AD7" s="1344"/>
      <c r="AE7" s="584">
        <v>5</v>
      </c>
      <c r="AF7" s="586" t="e">
        <f>_xlfn.XLOOKUP($AE7,$W:$W,U:U,,0)</f>
        <v>#N/A</v>
      </c>
      <c r="AG7" s="586" t="e">
        <f t="shared" si="3"/>
        <v>#N/A</v>
      </c>
      <c r="AH7" s="586" t="e">
        <f t="shared" si="3"/>
        <v>#N/A</v>
      </c>
      <c r="AI7" s="586" t="e">
        <f t="shared" si="4"/>
        <v>#N/A</v>
      </c>
      <c r="AJ7" s="585"/>
      <c r="AK7" s="585"/>
      <c r="AL7" s="585"/>
      <c r="AM7" s="585"/>
      <c r="AN7" s="585"/>
    </row>
    <row r="8" spans="1:40" ht="15" customHeight="1">
      <c r="A8" s="593"/>
      <c r="B8" s="996" t="s">
        <v>544</v>
      </c>
      <c r="C8" s="1043" t="s">
        <v>545</v>
      </c>
      <c r="D8" s="1046"/>
      <c r="E8" s="1043" t="s">
        <v>546</v>
      </c>
      <c r="F8" s="1032">
        <f>VALUE(Data.Sard!G6)</f>
        <v>8.5779729913908975E-2</v>
      </c>
      <c r="G8" s="844">
        <f>Data.Sard!J6</f>
        <v>-17.405036140775461</v>
      </c>
      <c r="H8" s="1047">
        <v>726331687</v>
      </c>
      <c r="I8" s="264">
        <f>VALUE(Data.Sard!L6)</f>
        <v>0.23100000000000001</v>
      </c>
      <c r="J8" s="904">
        <f>Data.Sard!N6</f>
        <v>5.8760447775581821E-2</v>
      </c>
      <c r="K8" s="591">
        <f t="shared" si="5"/>
        <v>254</v>
      </c>
      <c r="L8" s="591">
        <f t="shared" si="13"/>
        <v>579</v>
      </c>
      <c r="M8" s="591">
        <f t="shared" si="14"/>
        <v>80</v>
      </c>
      <c r="N8" s="591">
        <f t="shared" si="15"/>
        <v>229</v>
      </c>
      <c r="O8" s="591">
        <f t="shared" si="16"/>
        <v>246</v>
      </c>
      <c r="P8" s="596">
        <f t="shared" si="6"/>
        <v>145</v>
      </c>
      <c r="Q8" s="596">
        <f t="shared" si="7"/>
        <v>369</v>
      </c>
      <c r="R8" s="596">
        <f t="shared" si="8"/>
        <v>71</v>
      </c>
      <c r="S8" s="596">
        <f t="shared" si="9"/>
        <v>126</v>
      </c>
      <c r="T8" s="596">
        <f t="shared" si="10"/>
        <v>230</v>
      </c>
      <c r="U8" s="596">
        <f t="shared" si="11"/>
        <v>941</v>
      </c>
      <c r="V8" s="591">
        <f t="shared" si="17"/>
        <v>208</v>
      </c>
      <c r="W8" s="596">
        <f t="shared" si="12"/>
        <v>208</v>
      </c>
      <c r="X8" s="583"/>
      <c r="Y8" s="596" t="str">
        <f t="shared" si="0"/>
        <v/>
      </c>
      <c r="Z8" s="598" t="str">
        <f t="shared" si="1"/>
        <v/>
      </c>
      <c r="AA8" s="905"/>
      <c r="AB8" s="596"/>
      <c r="AC8" s="583"/>
      <c r="AD8" s="1344"/>
      <c r="AE8" s="584">
        <v>6</v>
      </c>
      <c r="AF8" s="586">
        <f t="shared" si="2"/>
        <v>336</v>
      </c>
      <c r="AG8" s="586" t="str">
        <f t="shared" si="3"/>
        <v>600612.SS</v>
      </c>
      <c r="AH8" s="586" t="str">
        <f t="shared" si="3"/>
        <v>Lao Feng Xiang Co Ltd</v>
      </c>
      <c r="AI8" s="586" t="str">
        <f t="shared" si="4"/>
        <v>China</v>
      </c>
      <c r="AJ8" s="585"/>
      <c r="AK8" s="585"/>
      <c r="AL8" s="585"/>
      <c r="AM8" s="585"/>
      <c r="AN8" s="585"/>
    </row>
    <row r="9" spans="1:40" ht="15" customHeight="1">
      <c r="A9" s="593"/>
      <c r="B9" s="996" t="s">
        <v>547</v>
      </c>
      <c r="C9" s="1043" t="s">
        <v>548</v>
      </c>
      <c r="D9" s="1046"/>
      <c r="E9" s="1043" t="s">
        <v>546</v>
      </c>
      <c r="F9" s="1032">
        <f>VALUE(Data.Sard!G7)</f>
        <v>-5.549211272145687E-2</v>
      </c>
      <c r="G9" s="844">
        <f>Data.Sard!J7</f>
        <v>-10.799588281124059</v>
      </c>
      <c r="H9" s="1047">
        <v>16653978</v>
      </c>
      <c r="I9" s="264">
        <f>VALUE(Data.Sard!L7)</f>
        <v>44.122</v>
      </c>
      <c r="J9" s="904">
        <f>Data.Sard!N7</f>
        <v>-0.13606433594721656</v>
      </c>
      <c r="K9" s="591">
        <f t="shared" si="5"/>
        <v>495</v>
      </c>
      <c r="L9" s="591">
        <f t="shared" si="13"/>
        <v>566</v>
      </c>
      <c r="M9" s="591">
        <f t="shared" si="14"/>
        <v>421</v>
      </c>
      <c r="N9" s="591">
        <f t="shared" si="15"/>
        <v>7</v>
      </c>
      <c r="O9" s="591">
        <f t="shared" si="16"/>
        <v>518</v>
      </c>
      <c r="P9" s="596">
        <f t="shared" si="6"/>
        <v>386</v>
      </c>
      <c r="Q9" s="596">
        <f t="shared" si="7"/>
        <v>356</v>
      </c>
      <c r="R9" s="596">
        <f t="shared" si="8"/>
        <v>412</v>
      </c>
      <c r="S9" s="596">
        <f t="shared" si="9"/>
        <v>96</v>
      </c>
      <c r="T9" s="596">
        <f t="shared" si="10"/>
        <v>502</v>
      </c>
      <c r="U9" s="596">
        <f t="shared" si="11"/>
        <v>1752</v>
      </c>
      <c r="V9" s="591">
        <f t="shared" si="17"/>
        <v>618</v>
      </c>
      <c r="W9" s="596">
        <f t="shared" si="12"/>
        <v>618</v>
      </c>
      <c r="X9" s="583"/>
      <c r="Y9" s="596" t="str">
        <f t="shared" si="0"/>
        <v/>
      </c>
      <c r="Z9" s="598" t="str">
        <f t="shared" si="1"/>
        <v/>
      </c>
      <c r="AA9" s="905"/>
      <c r="AB9" s="596"/>
      <c r="AC9" s="583"/>
      <c r="AD9" s="1344"/>
      <c r="AE9" s="1346" t="s">
        <v>549</v>
      </c>
      <c r="AF9" s="1347"/>
      <c r="AG9" s="1347"/>
      <c r="AH9" s="1347"/>
      <c r="AI9" s="1348"/>
      <c r="AJ9" s="907" t="e">
        <f>MEDIAN(AJ3:AJ8)</f>
        <v>#NUM!</v>
      </c>
      <c r="AK9" s="907" t="e">
        <f>MEDIAN(AK3:AK8)</f>
        <v>#NUM!</v>
      </c>
      <c r="AL9" s="907" t="e">
        <f>MEDIAN(AL3:AL8)</f>
        <v>#NUM!</v>
      </c>
      <c r="AM9" s="907" t="e">
        <f>MEDIAN(AM3:AM8)</f>
        <v>#NUM!</v>
      </c>
      <c r="AN9" s="907" t="e">
        <f>MEDIAN(AN3:AN8)</f>
        <v>#NUM!</v>
      </c>
    </row>
    <row r="10" spans="1:40" ht="18.75" customHeight="1">
      <c r="A10" s="593"/>
      <c r="B10" s="996" t="s">
        <v>550</v>
      </c>
      <c r="C10" s="1043" t="s">
        <v>551</v>
      </c>
      <c r="D10" s="1046"/>
      <c r="E10" s="1043" t="s">
        <v>546</v>
      </c>
      <c r="F10" s="1032">
        <f>VALUE(Data.Sard!G8)</f>
        <v>-7.3425815883784384E-2</v>
      </c>
      <c r="G10" s="844">
        <f>Data.Sard!J8</f>
        <v>0.29466034455399703</v>
      </c>
      <c r="H10" s="1047">
        <v>21407267</v>
      </c>
      <c r="I10" s="264">
        <f>VALUE(Data.Sard!L8)</f>
        <v>-4.0570000000000004</v>
      </c>
      <c r="J10" s="904">
        <f>Data.Sard!N8</f>
        <v>-0.8219531284911642</v>
      </c>
      <c r="K10" s="591">
        <f t="shared" si="5"/>
        <v>505</v>
      </c>
      <c r="L10" s="591">
        <f t="shared" si="13"/>
        <v>354</v>
      </c>
      <c r="M10" s="591">
        <f t="shared" si="14"/>
        <v>384</v>
      </c>
      <c r="N10" s="591">
        <f t="shared" si="15"/>
        <v>511</v>
      </c>
      <c r="O10" s="591">
        <f t="shared" si="16"/>
        <v>574</v>
      </c>
      <c r="P10" s="596">
        <f t="shared" si="6"/>
        <v>396</v>
      </c>
      <c r="Q10" s="596">
        <f t="shared" si="7"/>
        <v>144</v>
      </c>
      <c r="R10" s="596">
        <f t="shared" si="8"/>
        <v>375</v>
      </c>
      <c r="S10" s="596">
        <f t="shared" si="9"/>
        <v>408</v>
      </c>
      <c r="T10" s="596">
        <f t="shared" si="10"/>
        <v>558</v>
      </c>
      <c r="U10" s="596">
        <f t="shared" si="11"/>
        <v>1881</v>
      </c>
      <c r="V10" s="591">
        <f t="shared" si="17"/>
        <v>678</v>
      </c>
      <c r="W10" s="596">
        <f t="shared" si="12"/>
        <v>678</v>
      </c>
      <c r="X10" s="583"/>
      <c r="Y10" s="596" t="str">
        <f t="shared" si="0"/>
        <v/>
      </c>
      <c r="Z10" s="598" t="str">
        <f t="shared" si="1"/>
        <v/>
      </c>
      <c r="AA10" s="905"/>
      <c r="AB10" s="596"/>
      <c r="AC10" s="583"/>
      <c r="AD10" s="1344"/>
      <c r="AE10" s="1344" t="s">
        <v>552</v>
      </c>
      <c r="AF10" s="1344"/>
      <c r="AG10" s="1344"/>
      <c r="AH10" s="1344"/>
      <c r="AI10" s="1344"/>
      <c r="AJ10" s="1345" t="s">
        <v>553</v>
      </c>
      <c r="AK10" s="1345"/>
      <c r="AL10" s="1345"/>
      <c r="AM10" s="1345"/>
      <c r="AN10" s="1345"/>
    </row>
    <row r="11" spans="1:40" ht="15">
      <c r="A11" s="593"/>
      <c r="B11" s="1043" t="s">
        <v>554</v>
      </c>
      <c r="C11" s="1043" t="s">
        <v>555</v>
      </c>
      <c r="D11" s="1046"/>
      <c r="E11" s="1043" t="s">
        <v>556</v>
      </c>
      <c r="F11" s="1032">
        <f>VALUE(Data.Sard!G9)</f>
        <v>8.2155764125000974E-2</v>
      </c>
      <c r="G11" s="844">
        <f>Data.Sard!J9</f>
        <v>7.6262773744192147</v>
      </c>
      <c r="H11" s="1047">
        <v>39743504</v>
      </c>
      <c r="I11" s="264">
        <f>VALUE(Data.Sard!L9)</f>
        <v>0.85199999999999998</v>
      </c>
      <c r="J11" s="904">
        <f>Data.Sard!N9</f>
        <v>0.12389211001416012</v>
      </c>
      <c r="K11" s="591">
        <f t="shared" si="5"/>
        <v>265</v>
      </c>
      <c r="L11" s="591">
        <f t="shared" si="13"/>
        <v>85</v>
      </c>
      <c r="M11" s="591">
        <f t="shared" si="14"/>
        <v>321</v>
      </c>
      <c r="N11" s="591">
        <f t="shared" si="15"/>
        <v>122</v>
      </c>
      <c r="O11" s="591">
        <f t="shared" si="16"/>
        <v>118</v>
      </c>
      <c r="P11" s="596">
        <f t="shared" si="6"/>
        <v>156</v>
      </c>
      <c r="Q11" s="596">
        <f t="shared" si="7"/>
        <v>125</v>
      </c>
      <c r="R11" s="596">
        <f t="shared" si="8"/>
        <v>312</v>
      </c>
      <c r="S11" s="596">
        <f t="shared" si="9"/>
        <v>19</v>
      </c>
      <c r="T11" s="596">
        <f t="shared" si="10"/>
        <v>102</v>
      </c>
      <c r="U11" s="596">
        <f t="shared" si="11"/>
        <v>714</v>
      </c>
      <c r="V11" s="591">
        <f t="shared" si="17"/>
        <v>119</v>
      </c>
      <c r="W11" s="596">
        <f t="shared" si="12"/>
        <v>119</v>
      </c>
      <c r="X11" s="583"/>
      <c r="Y11" s="596" t="str">
        <f t="shared" si="0"/>
        <v/>
      </c>
      <c r="Z11" s="598" t="str">
        <f t="shared" si="1"/>
        <v/>
      </c>
      <c r="AA11" s="905"/>
      <c r="AB11" s="596"/>
      <c r="AC11" s="583"/>
      <c r="AD11" s="1344"/>
      <c r="AE11" s="587" t="s">
        <v>529</v>
      </c>
      <c r="AF11" s="908" t="s">
        <v>557</v>
      </c>
      <c r="AG11" s="587" t="s">
        <v>558</v>
      </c>
      <c r="AH11" s="1349" t="s">
        <v>559</v>
      </c>
      <c r="AI11" s="1350"/>
      <c r="AJ11" s="587" t="s">
        <v>524</v>
      </c>
      <c r="AK11" s="587" t="s">
        <v>525</v>
      </c>
      <c r="AL11" s="587" t="s">
        <v>526</v>
      </c>
      <c r="AM11" s="587" t="s">
        <v>527</v>
      </c>
      <c r="AN11" s="587" t="s">
        <v>528</v>
      </c>
    </row>
    <row r="12" spans="1:40" ht="15" customHeight="1">
      <c r="A12" s="593"/>
      <c r="B12" s="1043" t="s">
        <v>560</v>
      </c>
      <c r="C12" s="1043" t="s">
        <v>561</v>
      </c>
      <c r="D12" s="1046"/>
      <c r="E12" s="1043" t="s">
        <v>562</v>
      </c>
      <c r="F12" s="1032">
        <f>VALUE(Data.Sard!G10)</f>
        <v>4.3891912858686898E-2</v>
      </c>
      <c r="G12" s="844">
        <f>Data.Sard!J10</f>
        <v>2.3672686670507268</v>
      </c>
      <c r="H12" s="1047">
        <v>14127565</v>
      </c>
      <c r="I12" s="264">
        <f>VALUE(Data.Sard!L10)</f>
        <v>-0.58499999999999996</v>
      </c>
      <c r="J12" s="904">
        <f>Data.Sard!N10</f>
        <v>4.2501961474595958E-2</v>
      </c>
      <c r="K12" s="591">
        <f t="shared" si="5"/>
        <v>347</v>
      </c>
      <c r="L12" s="591">
        <f t="shared" si="13"/>
        <v>217</v>
      </c>
      <c r="M12" s="591">
        <f t="shared" si="14"/>
        <v>435</v>
      </c>
      <c r="N12" s="591">
        <f t="shared" si="15"/>
        <v>396</v>
      </c>
      <c r="O12" s="591">
        <f t="shared" si="16"/>
        <v>301</v>
      </c>
      <c r="P12" s="596">
        <f t="shared" si="6"/>
        <v>238</v>
      </c>
      <c r="Q12" s="596">
        <f t="shared" si="7"/>
        <v>7</v>
      </c>
      <c r="R12" s="596">
        <f t="shared" si="8"/>
        <v>426</v>
      </c>
      <c r="S12" s="596">
        <f t="shared" si="9"/>
        <v>293</v>
      </c>
      <c r="T12" s="596">
        <f t="shared" si="10"/>
        <v>285</v>
      </c>
      <c r="U12" s="596">
        <f t="shared" si="11"/>
        <v>1249</v>
      </c>
      <c r="V12" s="591">
        <f t="shared" si="17"/>
        <v>333</v>
      </c>
      <c r="W12" s="596">
        <f t="shared" si="12"/>
        <v>333</v>
      </c>
      <c r="X12" s="583"/>
      <c r="Y12" s="596" t="str">
        <f t="shared" si="0"/>
        <v/>
      </c>
      <c r="Z12" s="598" t="str">
        <f t="shared" si="1"/>
        <v/>
      </c>
      <c r="AA12" s="905"/>
      <c r="AB12" s="596"/>
      <c r="AC12" s="583"/>
      <c r="AD12" s="1344"/>
      <c r="AE12" s="584" t="str">
        <f>C3</f>
        <v>Moncler SpA</v>
      </c>
      <c r="AF12" s="376">
        <v>1000000</v>
      </c>
      <c r="AG12" s="376">
        <f>[2]OP!C21</f>
        <v>0</v>
      </c>
      <c r="AH12" s="1351">
        <f>-[2]Fin!B58*[2]SARD!AF12+[2]Fin!B39*[2]SARD!AF12</f>
        <v>0</v>
      </c>
      <c r="AI12" s="1352"/>
      <c r="AJ12" s="585" t="e">
        <f>AJ9*[2]Fin!B23*AF$12/AG$12</f>
        <v>#NUM!</v>
      </c>
      <c r="AK12" s="585" t="e">
        <f>AK9*[2]Fin!B64*AF$12/AG$12</f>
        <v>#NUM!</v>
      </c>
      <c r="AL12" s="909" t="e">
        <f>AL9*[2]Fin!B5*AF$12/AG$12</f>
        <v>#NUM!</v>
      </c>
      <c r="AM12" s="585" t="e">
        <f>(AM9*[2]Fin!B5*$AF12+$AH12)/$AG12</f>
        <v>#NUM!</v>
      </c>
      <c r="AN12" s="585" t="e">
        <f>(AN9*[2]Fin!B19*$AF12+$AH12)/$AG12</f>
        <v>#NUM!</v>
      </c>
    </row>
    <row r="13" spans="1:40" ht="18.75" customHeight="1">
      <c r="A13" s="593"/>
      <c r="B13" s="996" t="s">
        <v>563</v>
      </c>
      <c r="C13" s="1043" t="s">
        <v>564</v>
      </c>
      <c r="D13" s="1046"/>
      <c r="E13" s="1043" t="s">
        <v>546</v>
      </c>
      <c r="F13" s="1032">
        <f>VALUE(Data.Sard!G11)</f>
        <v>4.5092042932941022E-2</v>
      </c>
      <c r="G13" s="844">
        <f>Data.Sard!J11</f>
        <v>3.9491932839547366E-3</v>
      </c>
      <c r="H13" s="1047">
        <v>12954266</v>
      </c>
      <c r="I13" s="264">
        <f>VALUE(Data.Sard!L11)</f>
        <v>-0.55800000000000005</v>
      </c>
      <c r="J13" s="904">
        <f>Data.Sard!N11</f>
        <v>3.5653877900814375E-2</v>
      </c>
      <c r="K13" s="591">
        <f t="shared" si="5"/>
        <v>341</v>
      </c>
      <c r="L13" s="591">
        <f t="shared" si="13"/>
        <v>395</v>
      </c>
      <c r="M13" s="591">
        <f t="shared" si="14"/>
        <v>443</v>
      </c>
      <c r="N13" s="591">
        <f t="shared" si="15"/>
        <v>394</v>
      </c>
      <c r="O13" s="591">
        <f t="shared" si="16"/>
        <v>323</v>
      </c>
      <c r="P13" s="596">
        <f t="shared" si="6"/>
        <v>232</v>
      </c>
      <c r="Q13" s="596">
        <f t="shared" si="7"/>
        <v>185</v>
      </c>
      <c r="R13" s="596">
        <f t="shared" si="8"/>
        <v>434</v>
      </c>
      <c r="S13" s="596">
        <f t="shared" si="9"/>
        <v>291</v>
      </c>
      <c r="T13" s="596">
        <f t="shared" si="10"/>
        <v>307</v>
      </c>
      <c r="U13" s="596">
        <f t="shared" si="11"/>
        <v>1449</v>
      </c>
      <c r="V13" s="591">
        <f t="shared" si="17"/>
        <v>438</v>
      </c>
      <c r="W13" s="596">
        <f t="shared" si="12"/>
        <v>438</v>
      </c>
      <c r="X13" s="583"/>
      <c r="Y13" s="596" t="str">
        <f t="shared" si="0"/>
        <v/>
      </c>
      <c r="Z13" s="598" t="str">
        <f t="shared" si="1"/>
        <v/>
      </c>
      <c r="AA13" s="905"/>
      <c r="AB13" s="596"/>
      <c r="AC13" s="583"/>
      <c r="AD13" s="583"/>
      <c r="AE13" s="1353" t="s">
        <v>565</v>
      </c>
      <c r="AF13" s="1353"/>
      <c r="AG13" s="1353"/>
      <c r="AH13" s="1353"/>
      <c r="AI13" s="1353"/>
      <c r="AJ13" s="1354" t="e">
        <f>AVERAGE(AJ12:AL12)</f>
        <v>#NUM!</v>
      </c>
      <c r="AK13" s="1354"/>
      <c r="AL13" s="1354"/>
      <c r="AM13" s="1354" t="e">
        <f>AVERAGE(AM12:AN12)</f>
        <v>#NUM!</v>
      </c>
      <c r="AN13" s="1354"/>
    </row>
    <row r="14" spans="1:40" ht="18.75" customHeight="1">
      <c r="A14" s="593"/>
      <c r="B14" s="996" t="s">
        <v>566</v>
      </c>
      <c r="C14" s="1043" t="s">
        <v>567</v>
      </c>
      <c r="D14" s="1046"/>
      <c r="E14" s="1043" t="s">
        <v>546</v>
      </c>
      <c r="F14" s="1032">
        <f>VALUE(Data.Sard!G12)</f>
        <v>-2.0979349091339677E-2</v>
      </c>
      <c r="G14" s="844">
        <f>Data.Sard!J12</f>
        <v>1.4746543941441999</v>
      </c>
      <c r="H14" s="1047">
        <v>31139482</v>
      </c>
      <c r="I14" s="264">
        <f>VALUE(Data.Sard!L12)</f>
        <v>-2.7810000000000001</v>
      </c>
      <c r="J14" s="904">
        <f>Data.Sard!N12</f>
        <v>5.1230174939988611E-2</v>
      </c>
      <c r="K14" s="591">
        <f t="shared" si="5"/>
        <v>462</v>
      </c>
      <c r="L14" s="591">
        <f t="shared" si="13"/>
        <v>272</v>
      </c>
      <c r="M14" s="591">
        <f t="shared" si="14"/>
        <v>337</v>
      </c>
      <c r="N14" s="591">
        <f t="shared" si="15"/>
        <v>494</v>
      </c>
      <c r="O14" s="591">
        <f t="shared" si="16"/>
        <v>276</v>
      </c>
      <c r="P14" s="596">
        <f t="shared" si="6"/>
        <v>353</v>
      </c>
      <c r="Q14" s="596">
        <f t="shared" si="7"/>
        <v>62</v>
      </c>
      <c r="R14" s="596">
        <f t="shared" si="8"/>
        <v>328</v>
      </c>
      <c r="S14" s="596">
        <f t="shared" si="9"/>
        <v>391</v>
      </c>
      <c r="T14" s="596">
        <f t="shared" si="10"/>
        <v>260</v>
      </c>
      <c r="U14" s="596">
        <f t="shared" si="11"/>
        <v>1394</v>
      </c>
      <c r="V14" s="591">
        <f t="shared" si="17"/>
        <v>404</v>
      </c>
      <c r="W14" s="596">
        <f t="shared" si="12"/>
        <v>404</v>
      </c>
      <c r="X14" s="583"/>
      <c r="Y14" s="596" t="str">
        <f t="shared" si="0"/>
        <v/>
      </c>
      <c r="Z14" s="598" t="str">
        <f t="shared" si="1"/>
        <v/>
      </c>
      <c r="AA14" s="905"/>
      <c r="AB14" s="596"/>
      <c r="AC14" s="583"/>
      <c r="AD14" s="910"/>
      <c r="AE14" s="1339" t="s">
        <v>122</v>
      </c>
      <c r="AF14" s="1340"/>
      <c r="AG14" s="1340"/>
      <c r="AH14" s="1340"/>
      <c r="AI14" s="1341"/>
      <c r="AJ14" s="1342" t="e">
        <f>AJ13/[2]OP!C20-1</f>
        <v>#NUM!</v>
      </c>
      <c r="AK14" s="1343"/>
      <c r="AL14" s="1343"/>
      <c r="AM14" s="1343" t="e">
        <f>AM13/[2]OP!C20-1</f>
        <v>#NUM!</v>
      </c>
      <c r="AN14" s="1343"/>
    </row>
    <row r="15" spans="1:40" ht="15">
      <c r="A15" s="593"/>
      <c r="B15" s="1043" t="s">
        <v>568</v>
      </c>
      <c r="C15" s="1043" t="s">
        <v>569</v>
      </c>
      <c r="D15" s="1046"/>
      <c r="E15" s="1043" t="s">
        <v>570</v>
      </c>
      <c r="F15" s="1032">
        <f>VALUE(Data.Sard!G13)</f>
        <v>0.11271657657425206</v>
      </c>
      <c r="G15" s="844">
        <f>Data.Sard!J13</f>
        <v>2.0667218589188239</v>
      </c>
      <c r="H15" s="1043">
        <v>1314831443</v>
      </c>
      <c r="I15" s="264">
        <f>VALUE(Data.Sard!L13)</f>
        <v>-3.3479999999999999</v>
      </c>
      <c r="J15" s="904">
        <f>Data.Sard!N13</f>
        <v>9.1452830347016151E-2</v>
      </c>
      <c r="K15" s="591">
        <f t="shared" si="5"/>
        <v>209</v>
      </c>
      <c r="L15" s="591">
        <f t="shared" si="13"/>
        <v>240</v>
      </c>
      <c r="M15" s="591">
        <f t="shared" si="14"/>
        <v>51</v>
      </c>
      <c r="N15" s="591">
        <f t="shared" si="15"/>
        <v>506</v>
      </c>
      <c r="O15" s="591">
        <f t="shared" si="16"/>
        <v>174</v>
      </c>
      <c r="P15" s="596">
        <f t="shared" si="6"/>
        <v>100</v>
      </c>
      <c r="Q15" s="596">
        <f t="shared" si="7"/>
        <v>30</v>
      </c>
      <c r="R15" s="596">
        <f t="shared" si="8"/>
        <v>42</v>
      </c>
      <c r="S15" s="596">
        <f t="shared" si="9"/>
        <v>403</v>
      </c>
      <c r="T15" s="596">
        <f t="shared" si="10"/>
        <v>158</v>
      </c>
      <c r="U15" s="596">
        <f t="shared" si="11"/>
        <v>733</v>
      </c>
      <c r="V15" s="591">
        <f t="shared" si="17"/>
        <v>125</v>
      </c>
      <c r="W15" s="596">
        <f t="shared" si="12"/>
        <v>125</v>
      </c>
      <c r="X15" s="583"/>
      <c r="Y15" s="596" t="str">
        <f t="shared" si="0"/>
        <v/>
      </c>
      <c r="Z15" s="598" t="str">
        <f t="shared" si="1"/>
        <v/>
      </c>
      <c r="AA15" s="905"/>
      <c r="AB15" s="596"/>
      <c r="AC15" s="583"/>
      <c r="AD15" s="583"/>
      <c r="AE15" s="910"/>
      <c r="AF15" s="910"/>
      <c r="AG15" s="910"/>
      <c r="AH15" s="910"/>
      <c r="AI15" s="910"/>
      <c r="AJ15" s="910"/>
      <c r="AK15" s="910"/>
      <c r="AL15" s="910"/>
      <c r="AM15" s="910"/>
      <c r="AN15" s="910"/>
    </row>
    <row r="16" spans="1:40" ht="15">
      <c r="A16" s="593"/>
      <c r="B16" s="996" t="s">
        <v>571</v>
      </c>
      <c r="C16" s="1043" t="s">
        <v>572</v>
      </c>
      <c r="D16" s="1048"/>
      <c r="E16" s="1043" t="s">
        <v>573</v>
      </c>
      <c r="F16" s="1032">
        <f>VALUE(Data.Sard!G14)</f>
        <v>0.28460793304729337</v>
      </c>
      <c r="G16" s="844">
        <f>Data.Sard!J14</f>
        <v>21.883842868127608</v>
      </c>
      <c r="H16" s="1043">
        <v>23369890</v>
      </c>
      <c r="I16" s="264">
        <f>VALUE(Data.Sard!L14)</f>
        <v>1.111</v>
      </c>
      <c r="J16" s="904">
        <f>Data.Sard!N14</f>
        <v>0.20764793516129251</v>
      </c>
      <c r="K16" s="591">
        <f t="shared" si="5"/>
        <v>61</v>
      </c>
      <c r="L16" s="591">
        <f t="shared" si="13"/>
        <v>24</v>
      </c>
      <c r="M16" s="591">
        <f t="shared" si="14"/>
        <v>374</v>
      </c>
      <c r="N16" s="591">
        <f t="shared" si="15"/>
        <v>87</v>
      </c>
      <c r="O16" s="591">
        <f t="shared" si="16"/>
        <v>44</v>
      </c>
      <c r="P16" s="596">
        <f t="shared" si="6"/>
        <v>48</v>
      </c>
      <c r="Q16" s="596">
        <f t="shared" si="7"/>
        <v>186</v>
      </c>
      <c r="R16" s="596">
        <f t="shared" si="8"/>
        <v>365</v>
      </c>
      <c r="S16" s="596">
        <f t="shared" si="9"/>
        <v>16</v>
      </c>
      <c r="T16" s="596">
        <f t="shared" si="10"/>
        <v>28</v>
      </c>
      <c r="U16" s="596">
        <f t="shared" si="11"/>
        <v>643</v>
      </c>
      <c r="V16" s="591">
        <f t="shared" si="17"/>
        <v>93</v>
      </c>
      <c r="W16" s="596">
        <f t="shared" si="12"/>
        <v>93</v>
      </c>
      <c r="X16" s="583"/>
      <c r="Y16" s="596" t="str">
        <f t="shared" si="0"/>
        <v/>
      </c>
      <c r="Z16" s="598" t="str">
        <f t="shared" si="1"/>
        <v/>
      </c>
      <c r="AA16" s="905"/>
      <c r="AB16" s="596"/>
      <c r="AC16" s="583"/>
      <c r="AD16" s="583"/>
      <c r="AE16" s="910"/>
      <c r="AF16" s="910"/>
      <c r="AG16" s="910"/>
      <c r="AH16" s="910"/>
      <c r="AI16" s="910"/>
      <c r="AJ16" s="910"/>
      <c r="AK16" s="910"/>
      <c r="AL16" s="910"/>
      <c r="AM16" s="910"/>
      <c r="AN16" s="910"/>
    </row>
    <row r="17" spans="1:40" ht="15">
      <c r="A17" s="593"/>
      <c r="B17" s="1043" t="s">
        <v>574</v>
      </c>
      <c r="C17" s="1049" t="s">
        <v>575</v>
      </c>
      <c r="D17" s="1050"/>
      <c r="E17" s="1051" t="s">
        <v>576</v>
      </c>
      <c r="F17" s="1032">
        <f>VALUE(Data.Sard!G15)</f>
        <v>-0.12491817158234594</v>
      </c>
      <c r="G17" s="844">
        <f>Data.Sard!J15</f>
        <v>5.1340355941953977</v>
      </c>
      <c r="H17" s="1043">
        <v>19886626</v>
      </c>
      <c r="I17" s="264">
        <f>VALUE(Data.Sard!L15)</f>
        <v>3.125</v>
      </c>
      <c r="J17" s="904">
        <f>Data.Sard!N15</f>
        <v>5.2457065197414769E-2</v>
      </c>
      <c r="K17" s="591">
        <f t="shared" si="5"/>
        <v>526</v>
      </c>
      <c r="L17" s="591">
        <f t="shared" si="13"/>
        <v>121</v>
      </c>
      <c r="M17" s="591">
        <f t="shared" si="14"/>
        <v>394</v>
      </c>
      <c r="N17" s="591">
        <f t="shared" si="15"/>
        <v>33</v>
      </c>
      <c r="O17" s="591">
        <f t="shared" si="16"/>
        <v>273</v>
      </c>
      <c r="P17" s="596">
        <f t="shared" si="6"/>
        <v>417</v>
      </c>
      <c r="Q17" s="596">
        <f t="shared" si="7"/>
        <v>89</v>
      </c>
      <c r="R17" s="596">
        <f t="shared" si="8"/>
        <v>385</v>
      </c>
      <c r="S17" s="596">
        <f t="shared" si="9"/>
        <v>70</v>
      </c>
      <c r="T17" s="596">
        <f t="shared" si="10"/>
        <v>257</v>
      </c>
      <c r="U17" s="596">
        <f t="shared" si="11"/>
        <v>1218</v>
      </c>
      <c r="V17" s="591">
        <f t="shared" si="17"/>
        <v>320</v>
      </c>
      <c r="W17" s="596">
        <f t="shared" si="12"/>
        <v>320</v>
      </c>
      <c r="X17" s="583"/>
      <c r="Y17" s="596" t="str">
        <f t="shared" si="0"/>
        <v/>
      </c>
      <c r="Z17" s="598" t="str">
        <f t="shared" si="1"/>
        <v/>
      </c>
      <c r="AA17" s="905"/>
      <c r="AB17" s="596"/>
      <c r="AC17" s="583"/>
      <c r="AD17" s="583"/>
      <c r="AE17" s="583"/>
      <c r="AF17" s="583"/>
      <c r="AG17" s="583"/>
      <c r="AH17" s="910"/>
      <c r="AI17" s="910"/>
      <c r="AJ17" s="910"/>
      <c r="AK17" s="910"/>
      <c r="AL17" s="910"/>
      <c r="AM17" s="910"/>
      <c r="AN17" s="910"/>
    </row>
    <row r="18" spans="1:40" ht="15">
      <c r="A18" s="593"/>
      <c r="B18" s="996" t="s">
        <v>577</v>
      </c>
      <c r="C18" s="1043" t="s">
        <v>578</v>
      </c>
      <c r="D18" s="1052"/>
      <c r="E18" s="1043" t="s">
        <v>579</v>
      </c>
      <c r="F18" s="1032">
        <f>VALUE(Data.Sard!G16)</f>
        <v>-5.3400781788916989E-2</v>
      </c>
      <c r="G18" s="844">
        <f>Data.Sard!J16</f>
        <v>-2.813447145987177</v>
      </c>
      <c r="H18" s="1043">
        <v>1595514</v>
      </c>
      <c r="I18" s="264">
        <f>VALUE(Data.Sard!L16)</f>
        <v>-8.3940000000000001</v>
      </c>
      <c r="J18" s="904"/>
      <c r="K18" s="591">
        <f t="shared" si="5"/>
        <v>491</v>
      </c>
      <c r="L18" s="591">
        <f t="shared" si="13"/>
        <v>518</v>
      </c>
      <c r="M18" s="591">
        <f t="shared" si="14"/>
        <v>599</v>
      </c>
      <c r="N18" s="591">
        <f t="shared" si="15"/>
        <v>528</v>
      </c>
      <c r="O18" s="591">
        <f t="shared" si="16"/>
        <v>419</v>
      </c>
      <c r="P18" s="596">
        <f t="shared" si="6"/>
        <v>382</v>
      </c>
      <c r="Q18" s="596">
        <f t="shared" si="7"/>
        <v>308</v>
      </c>
      <c r="R18" s="596">
        <f t="shared" si="8"/>
        <v>590</v>
      </c>
      <c r="S18" s="596">
        <f t="shared" si="9"/>
        <v>425</v>
      </c>
      <c r="T18" s="596">
        <f t="shared" si="10"/>
        <v>403</v>
      </c>
      <c r="U18" s="596">
        <f t="shared" si="11"/>
        <v>2108</v>
      </c>
      <c r="V18" s="591">
        <f t="shared" si="17"/>
        <v>700</v>
      </c>
      <c r="W18" s="596">
        <f t="shared" si="12"/>
        <v>700</v>
      </c>
      <c r="X18" s="583"/>
      <c r="Y18" s="596" t="str">
        <f t="shared" si="0"/>
        <v/>
      </c>
      <c r="Z18" s="598" t="str">
        <f t="shared" si="1"/>
        <v/>
      </c>
      <c r="AA18" s="905"/>
      <c r="AB18" s="596"/>
      <c r="AC18" s="583"/>
      <c r="AD18" s="583"/>
      <c r="AE18" s="583"/>
      <c r="AF18" s="583"/>
      <c r="AG18" s="583"/>
      <c r="AH18" s="910"/>
      <c r="AI18" s="910"/>
      <c r="AJ18" s="910"/>
      <c r="AK18" s="910"/>
      <c r="AL18" s="910"/>
      <c r="AM18" s="910"/>
      <c r="AN18" s="910"/>
    </row>
    <row r="19" spans="1:40" ht="15">
      <c r="A19" s="593"/>
      <c r="B19" s="996" t="s">
        <v>580</v>
      </c>
      <c r="C19" s="1043" t="s">
        <v>581</v>
      </c>
      <c r="D19" s="1046"/>
      <c r="E19" s="1043" t="s">
        <v>579</v>
      </c>
      <c r="F19" s="1032">
        <f>VALUE(Data.Sard!G17)</f>
        <v>0.36956315675095208</v>
      </c>
      <c r="G19" s="844">
        <f>Data.Sard!J17</f>
        <v>8.371046109674241</v>
      </c>
      <c r="H19" s="1043">
        <v>3249903</v>
      </c>
      <c r="I19" s="264">
        <f>VALUE(Data.Sard!L17)</f>
        <v>-1.881</v>
      </c>
      <c r="J19" s="904">
        <f>Data.Sard!N17</f>
        <v>-0.10966763684583684</v>
      </c>
      <c r="K19" s="591">
        <f t="shared" si="5"/>
        <v>41</v>
      </c>
      <c r="L19" s="591">
        <f t="shared" si="13"/>
        <v>73</v>
      </c>
      <c r="M19" s="591">
        <f t="shared" si="14"/>
        <v>560</v>
      </c>
      <c r="N19" s="591">
        <f t="shared" si="15"/>
        <v>481</v>
      </c>
      <c r="O19" s="591">
        <f t="shared" si="16"/>
        <v>510</v>
      </c>
      <c r="P19" s="596">
        <f t="shared" si="6"/>
        <v>68</v>
      </c>
      <c r="Q19" s="596">
        <f t="shared" si="7"/>
        <v>137</v>
      </c>
      <c r="R19" s="596">
        <f t="shared" si="8"/>
        <v>551</v>
      </c>
      <c r="S19" s="596">
        <f t="shared" si="9"/>
        <v>378</v>
      </c>
      <c r="T19" s="596">
        <f t="shared" si="10"/>
        <v>494</v>
      </c>
      <c r="U19" s="596">
        <f t="shared" si="11"/>
        <v>1628</v>
      </c>
      <c r="V19" s="591">
        <f t="shared" si="17"/>
        <v>550</v>
      </c>
      <c r="W19" s="596">
        <f t="shared" si="12"/>
        <v>550</v>
      </c>
      <c r="X19" s="583"/>
      <c r="Y19" s="596" t="str">
        <f t="shared" si="0"/>
        <v/>
      </c>
      <c r="Z19" s="598" t="str">
        <f t="shared" si="1"/>
        <v/>
      </c>
      <c r="AA19" s="905"/>
      <c r="AB19" s="596"/>
      <c r="AC19" s="583"/>
      <c r="AD19" s="583"/>
      <c r="AE19" s="583"/>
      <c r="AF19" s="583"/>
      <c r="AG19" s="583"/>
      <c r="AH19" s="583"/>
      <c r="AI19" s="583"/>
      <c r="AJ19" s="583"/>
      <c r="AK19" s="583"/>
      <c r="AL19" s="583"/>
      <c r="AM19" s="583"/>
      <c r="AN19" s="583"/>
    </row>
    <row r="20" spans="1:40" ht="15">
      <c r="A20" s="593"/>
      <c r="B20" s="1043" t="s">
        <v>582</v>
      </c>
      <c r="C20" s="1043" t="s">
        <v>583</v>
      </c>
      <c r="D20" s="1046"/>
      <c r="E20" s="1043" t="s">
        <v>584</v>
      </c>
      <c r="F20" s="1032">
        <f>VALUE(Data.Sard!G18)</f>
        <v>2.9006376051300228E-2</v>
      </c>
      <c r="G20" s="844">
        <f>Data.Sard!J18</f>
        <v>-6.6132949466451905</v>
      </c>
      <c r="H20" s="1043">
        <v>61981895</v>
      </c>
      <c r="I20" s="264">
        <f>VALUE(Data.Sard!L18)</f>
        <v>-1.0069999999999999</v>
      </c>
      <c r="J20" s="904">
        <f>Data.Sard!N18</f>
        <v>4.5936877545599164E-2</v>
      </c>
      <c r="K20" s="591">
        <f t="shared" si="5"/>
        <v>375</v>
      </c>
      <c r="L20" s="591">
        <f t="shared" si="13"/>
        <v>550</v>
      </c>
      <c r="M20" s="591">
        <f t="shared" si="14"/>
        <v>273</v>
      </c>
      <c r="N20" s="591">
        <f t="shared" si="15"/>
        <v>437</v>
      </c>
      <c r="O20" s="591">
        <f t="shared" si="16"/>
        <v>294</v>
      </c>
      <c r="P20" s="596">
        <f t="shared" si="6"/>
        <v>266</v>
      </c>
      <c r="Q20" s="596">
        <f t="shared" si="7"/>
        <v>340</v>
      </c>
      <c r="R20" s="596">
        <f t="shared" si="8"/>
        <v>264</v>
      </c>
      <c r="S20" s="596">
        <f t="shared" si="9"/>
        <v>334</v>
      </c>
      <c r="T20" s="596">
        <f t="shared" si="10"/>
        <v>278</v>
      </c>
      <c r="U20" s="596">
        <f t="shared" si="11"/>
        <v>1482</v>
      </c>
      <c r="V20" s="591">
        <f t="shared" si="17"/>
        <v>453</v>
      </c>
      <c r="W20" s="596">
        <f t="shared" si="12"/>
        <v>453</v>
      </c>
      <c r="X20" s="583"/>
      <c r="Y20" s="596" t="str">
        <f t="shared" si="0"/>
        <v/>
      </c>
      <c r="Z20" s="598" t="str">
        <f t="shared" si="1"/>
        <v/>
      </c>
      <c r="AA20" s="905"/>
      <c r="AB20" s="596"/>
      <c r="AC20" s="583"/>
      <c r="AD20" s="583"/>
      <c r="AE20" s="583"/>
      <c r="AF20" s="583"/>
      <c r="AG20" s="583"/>
      <c r="AH20" s="583"/>
      <c r="AI20" s="583"/>
      <c r="AJ20" s="583"/>
      <c r="AK20" s="583"/>
      <c r="AL20" s="583"/>
      <c r="AM20" s="583"/>
      <c r="AN20" s="583"/>
    </row>
    <row r="21" spans="1:40" ht="15">
      <c r="A21" s="593"/>
      <c r="B21" s="996" t="s">
        <v>585</v>
      </c>
      <c r="C21" s="1043" t="s">
        <v>586</v>
      </c>
      <c r="D21" s="1046"/>
      <c r="E21" s="1043" t="s">
        <v>587</v>
      </c>
      <c r="F21" s="1032">
        <f>VALUE(Data.Sard!G19)</f>
        <v>-0.48018715661627237</v>
      </c>
      <c r="G21" s="844">
        <f>Data.Sard!J19</f>
        <v>-0.31735108303249099</v>
      </c>
      <c r="H21" s="1043">
        <v>18876208</v>
      </c>
      <c r="I21" s="264">
        <f>VALUE(Data.Sard!L19)</f>
        <v>-1.77</v>
      </c>
      <c r="J21" s="904">
        <f>Data.Sard!N19</f>
        <v>-8.6474482951356971E-2</v>
      </c>
      <c r="K21" s="591">
        <f t="shared" si="5"/>
        <v>571</v>
      </c>
      <c r="L21" s="591">
        <f t="shared" si="13"/>
        <v>463</v>
      </c>
      <c r="M21" s="591">
        <f t="shared" si="14"/>
        <v>403</v>
      </c>
      <c r="N21" s="591">
        <f t="shared" si="15"/>
        <v>478</v>
      </c>
      <c r="O21" s="591">
        <f t="shared" si="16"/>
        <v>501</v>
      </c>
      <c r="P21" s="596">
        <f t="shared" si="6"/>
        <v>462</v>
      </c>
      <c r="Q21" s="596">
        <f t="shared" si="7"/>
        <v>253</v>
      </c>
      <c r="R21" s="596">
        <f t="shared" si="8"/>
        <v>394</v>
      </c>
      <c r="S21" s="596">
        <f t="shared" si="9"/>
        <v>375</v>
      </c>
      <c r="T21" s="596">
        <f t="shared" si="10"/>
        <v>485</v>
      </c>
      <c r="U21" s="596">
        <f t="shared" si="11"/>
        <v>1969</v>
      </c>
      <c r="V21" s="591">
        <f t="shared" si="17"/>
        <v>695</v>
      </c>
      <c r="W21" s="596">
        <f t="shared" si="12"/>
        <v>695</v>
      </c>
      <c r="X21" s="583"/>
      <c r="Y21" s="596" t="str">
        <f t="shared" si="0"/>
        <v/>
      </c>
      <c r="Z21" s="598" t="str">
        <f t="shared" si="1"/>
        <v/>
      </c>
      <c r="AA21" s="905"/>
      <c r="AB21" s="596"/>
      <c r="AC21" s="583"/>
      <c r="AD21" s="583"/>
      <c r="AE21" s="583"/>
      <c r="AF21" s="583"/>
      <c r="AG21" s="583"/>
      <c r="AH21" s="583"/>
      <c r="AI21" s="583"/>
      <c r="AJ21" s="583"/>
      <c r="AK21" s="583"/>
      <c r="AL21" s="583"/>
      <c r="AM21" s="583"/>
      <c r="AN21" s="583"/>
    </row>
    <row r="22" spans="1:40" ht="15">
      <c r="A22" s="593"/>
      <c r="B22" s="996" t="s">
        <v>588</v>
      </c>
      <c r="C22" s="1043" t="s">
        <v>589</v>
      </c>
      <c r="D22" s="1046"/>
      <c r="E22" s="1043" t="s">
        <v>570</v>
      </c>
      <c r="F22" s="1032">
        <f>VALUE(Data.Sard!G20)</f>
        <v>2.3192461931069297</v>
      </c>
      <c r="G22" s="844">
        <f>Data.Sard!J20</f>
        <v>22.706082014187245</v>
      </c>
      <c r="H22" s="1043">
        <v>335828</v>
      </c>
      <c r="I22" s="264">
        <f>VALUE(Data.Sard!L20)</f>
        <v>-2.6019999999999999</v>
      </c>
      <c r="J22" s="904">
        <f>Data.Sard!N20</f>
        <v>-105.02369668246446</v>
      </c>
      <c r="K22" s="591">
        <f t="shared" si="5"/>
        <v>9</v>
      </c>
      <c r="L22" s="591">
        <f t="shared" si="13"/>
        <v>22</v>
      </c>
      <c r="M22" s="591">
        <f t="shared" si="14"/>
        <v>636</v>
      </c>
      <c r="N22" s="591">
        <f t="shared" si="15"/>
        <v>489</v>
      </c>
      <c r="O22" s="591">
        <f t="shared" si="16"/>
        <v>598</v>
      </c>
      <c r="P22" s="596">
        <f t="shared" si="6"/>
        <v>100</v>
      </c>
      <c r="Q22" s="596">
        <f t="shared" si="7"/>
        <v>188</v>
      </c>
      <c r="R22" s="596">
        <f t="shared" si="8"/>
        <v>627</v>
      </c>
      <c r="S22" s="596">
        <f t="shared" si="9"/>
        <v>386</v>
      </c>
      <c r="T22" s="596">
        <f t="shared" si="10"/>
        <v>582</v>
      </c>
      <c r="U22" s="596">
        <f t="shared" si="11"/>
        <v>1883</v>
      </c>
      <c r="V22" s="591">
        <f t="shared" si="17"/>
        <v>679</v>
      </c>
      <c r="W22" s="596">
        <f t="shared" si="12"/>
        <v>679</v>
      </c>
      <c r="X22" s="583"/>
      <c r="Y22" s="596" t="str">
        <f t="shared" si="0"/>
        <v/>
      </c>
      <c r="Z22" s="598" t="str">
        <f t="shared" si="1"/>
        <v/>
      </c>
      <c r="AA22" s="905"/>
      <c r="AB22" s="596"/>
      <c r="AC22" s="583"/>
      <c r="AD22" s="583"/>
      <c r="AE22" s="583"/>
      <c r="AF22" s="583"/>
      <c r="AG22" s="583"/>
      <c r="AH22" s="583"/>
      <c r="AI22" s="583"/>
      <c r="AJ22" s="583"/>
      <c r="AK22" s="583"/>
      <c r="AL22" s="583"/>
      <c r="AM22" s="583"/>
      <c r="AN22" s="583"/>
    </row>
    <row r="23" spans="1:40" ht="15">
      <c r="A23" s="593"/>
      <c r="B23" s="996" t="s">
        <v>590</v>
      </c>
      <c r="C23" s="1043" t="s">
        <v>591</v>
      </c>
      <c r="D23" s="1046"/>
      <c r="E23" s="1043" t="s">
        <v>546</v>
      </c>
      <c r="F23" s="1032">
        <f>VALUE(Data.Sard!G21)</f>
        <v>1.9193697015175273E-2</v>
      </c>
      <c r="G23" s="844">
        <f>Data.Sard!J21</f>
        <v>-0.11602763420188995</v>
      </c>
      <c r="H23" s="1043">
        <v>72477202</v>
      </c>
      <c r="I23" s="264"/>
      <c r="J23" s="904">
        <f>Data.Sard!N21</f>
        <v>0.43174616783584918</v>
      </c>
      <c r="K23" s="591">
        <f t="shared" si="5"/>
        <v>403</v>
      </c>
      <c r="L23" s="591">
        <f t="shared" si="13"/>
        <v>452</v>
      </c>
      <c r="M23" s="591">
        <f t="shared" si="14"/>
        <v>257</v>
      </c>
      <c r="N23" s="591">
        <f t="shared" si="15"/>
        <v>285</v>
      </c>
      <c r="O23" s="591">
        <f t="shared" si="16"/>
        <v>9</v>
      </c>
      <c r="P23" s="596">
        <f t="shared" si="6"/>
        <v>294</v>
      </c>
      <c r="Q23" s="596">
        <f t="shared" si="7"/>
        <v>242</v>
      </c>
      <c r="R23" s="596">
        <f t="shared" si="8"/>
        <v>248</v>
      </c>
      <c r="S23" s="596">
        <f t="shared" si="9"/>
        <v>182</v>
      </c>
      <c r="T23" s="596">
        <f t="shared" si="10"/>
        <v>7</v>
      </c>
      <c r="U23" s="596">
        <f t="shared" si="11"/>
        <v>973</v>
      </c>
      <c r="V23" s="591">
        <f t="shared" si="17"/>
        <v>229</v>
      </c>
      <c r="W23" s="596">
        <f t="shared" si="12"/>
        <v>229</v>
      </c>
      <c r="X23" s="583"/>
      <c r="Y23" s="596" t="str">
        <f t="shared" si="0"/>
        <v/>
      </c>
      <c r="Z23" s="598" t="str">
        <f t="shared" si="1"/>
        <v/>
      </c>
      <c r="AA23" s="905"/>
      <c r="AB23" s="596"/>
      <c r="AC23" s="583"/>
      <c r="AD23" s="583"/>
      <c r="AE23" s="583"/>
      <c r="AF23" s="583"/>
      <c r="AG23" s="583"/>
      <c r="AH23" s="583"/>
      <c r="AI23" s="583"/>
      <c r="AJ23" s="583"/>
      <c r="AK23" s="583"/>
      <c r="AL23" s="583"/>
      <c r="AM23" s="583"/>
      <c r="AN23" s="583"/>
    </row>
    <row r="24" spans="1:40" ht="15">
      <c r="A24" s="593"/>
      <c r="B24" s="996" t="s">
        <v>592</v>
      </c>
      <c r="C24" s="1043" t="s">
        <v>593</v>
      </c>
      <c r="D24" s="1046"/>
      <c r="E24" s="1043" t="s">
        <v>570</v>
      </c>
      <c r="F24" s="1032">
        <f>VALUE(Data.Sard!G22)</f>
        <v>-0.18296592398427261</v>
      </c>
      <c r="G24" s="844">
        <f>Data.Sard!J22</f>
        <v>3.3333333315163109</v>
      </c>
      <c r="H24" s="1043">
        <v>71932</v>
      </c>
      <c r="I24" s="264">
        <f>VALUE(Data.Sard!L22)</f>
        <v>-2.4E-2</v>
      </c>
      <c r="J24" s="904">
        <f>Data.Sard!N22</f>
        <v>-0.30518300422912836</v>
      </c>
      <c r="K24" s="591">
        <f t="shared" si="5"/>
        <v>542</v>
      </c>
      <c r="L24" s="591">
        <f t="shared" si="13"/>
        <v>168</v>
      </c>
      <c r="M24" s="591">
        <f t="shared" si="14"/>
        <v>652</v>
      </c>
      <c r="N24" s="591">
        <f t="shared" si="15"/>
        <v>295</v>
      </c>
      <c r="O24" s="591">
        <f t="shared" si="16"/>
        <v>547</v>
      </c>
      <c r="P24" s="596">
        <f t="shared" si="6"/>
        <v>433</v>
      </c>
      <c r="Q24" s="596">
        <f t="shared" si="7"/>
        <v>42</v>
      </c>
      <c r="R24" s="596">
        <f t="shared" si="8"/>
        <v>643</v>
      </c>
      <c r="S24" s="596">
        <f t="shared" si="9"/>
        <v>192</v>
      </c>
      <c r="T24" s="596">
        <f t="shared" si="10"/>
        <v>531</v>
      </c>
      <c r="U24" s="596">
        <f t="shared" si="11"/>
        <v>1841</v>
      </c>
      <c r="V24" s="591">
        <f t="shared" si="17"/>
        <v>657</v>
      </c>
      <c r="W24" s="596">
        <f t="shared" si="12"/>
        <v>657</v>
      </c>
      <c r="X24" s="583"/>
      <c r="Y24" s="596" t="str">
        <f t="shared" si="0"/>
        <v/>
      </c>
      <c r="Z24" s="598" t="str">
        <f t="shared" si="1"/>
        <v/>
      </c>
      <c r="AA24" s="905"/>
      <c r="AB24" s="596"/>
      <c r="AC24" s="583"/>
      <c r="AD24" s="583"/>
      <c r="AE24" s="583"/>
      <c r="AF24" s="583"/>
      <c r="AG24" s="583"/>
      <c r="AH24" s="583"/>
      <c r="AI24" s="583"/>
      <c r="AJ24" s="583"/>
      <c r="AK24" s="583"/>
      <c r="AL24" s="583"/>
      <c r="AM24" s="583"/>
      <c r="AN24" s="583"/>
    </row>
    <row r="25" spans="1:40" ht="15">
      <c r="A25" s="593"/>
      <c r="B25" s="1043" t="s">
        <v>594</v>
      </c>
      <c r="C25" s="1043" t="s">
        <v>595</v>
      </c>
      <c r="D25" s="1046"/>
      <c r="E25" s="1043" t="s">
        <v>596</v>
      </c>
      <c r="F25" s="1032">
        <f>VALUE(Data.Sard!G23)</f>
        <v>5.5555554293734578E-2</v>
      </c>
      <c r="G25" s="844">
        <f>Data.Sard!J23</f>
        <v>0.17170031703654262</v>
      </c>
      <c r="H25" s="1043">
        <v>41777023</v>
      </c>
      <c r="I25" s="264"/>
      <c r="J25" s="904">
        <f>Data.Sard!N23</f>
        <v>8.2079343419726933E-2</v>
      </c>
      <c r="K25" s="591">
        <f t="shared" si="5"/>
        <v>319</v>
      </c>
      <c r="L25" s="591">
        <f t="shared" si="13"/>
        <v>369</v>
      </c>
      <c r="M25" s="591">
        <f t="shared" si="14"/>
        <v>312</v>
      </c>
      <c r="N25" s="591">
        <f t="shared" si="15"/>
        <v>285</v>
      </c>
      <c r="O25" s="591">
        <f t="shared" si="16"/>
        <v>190</v>
      </c>
      <c r="P25" s="596">
        <f t="shared" si="6"/>
        <v>210</v>
      </c>
      <c r="Q25" s="596">
        <f t="shared" si="7"/>
        <v>159</v>
      </c>
      <c r="R25" s="596">
        <f t="shared" si="8"/>
        <v>303</v>
      </c>
      <c r="S25" s="596">
        <f t="shared" si="9"/>
        <v>182</v>
      </c>
      <c r="T25" s="596">
        <f t="shared" si="10"/>
        <v>174</v>
      </c>
      <c r="U25" s="596">
        <f t="shared" si="11"/>
        <v>1028</v>
      </c>
      <c r="V25" s="591">
        <f t="shared" si="17"/>
        <v>252</v>
      </c>
      <c r="W25" s="596">
        <f t="shared" si="12"/>
        <v>252</v>
      </c>
      <c r="X25" s="583"/>
      <c r="Y25" s="596" t="str">
        <f t="shared" si="0"/>
        <v/>
      </c>
      <c r="Z25" s="598" t="str">
        <f t="shared" si="1"/>
        <v/>
      </c>
      <c r="AA25" s="905"/>
      <c r="AB25" s="596"/>
      <c r="AC25" s="583"/>
      <c r="AD25" s="583"/>
      <c r="AE25" s="583"/>
      <c r="AF25" s="583"/>
      <c r="AG25" s="583"/>
      <c r="AH25" s="583"/>
      <c r="AI25" s="583"/>
      <c r="AJ25" s="583"/>
      <c r="AK25" s="583"/>
      <c r="AL25" s="583"/>
      <c r="AM25" s="583"/>
      <c r="AN25" s="583"/>
    </row>
    <row r="26" spans="1:40" ht="15">
      <c r="A26" s="593"/>
      <c r="B26" s="1043" t="s">
        <v>597</v>
      </c>
      <c r="C26" s="1043" t="s">
        <v>598</v>
      </c>
      <c r="D26" s="1046"/>
      <c r="E26" s="1043" t="s">
        <v>570</v>
      </c>
      <c r="F26" s="1032">
        <f>VALUE(Data.Sard!G24)</f>
        <v>4.3953017415957876E-2</v>
      </c>
      <c r="G26" s="844">
        <f>Data.Sard!J24</f>
        <v>0.9070382412580883</v>
      </c>
      <c r="H26" s="1043">
        <v>120232916</v>
      </c>
      <c r="I26" s="264">
        <f>VALUE(Data.Sard!L24)</f>
        <v>3.1970000000000001</v>
      </c>
      <c r="J26" s="904">
        <f>Data.Sard!N24</f>
        <v>4.8063967663287563E-2</v>
      </c>
      <c r="K26" s="591">
        <f t="shared" si="5"/>
        <v>345</v>
      </c>
      <c r="L26" s="591">
        <f t="shared" si="13"/>
        <v>300</v>
      </c>
      <c r="M26" s="591">
        <f t="shared" si="14"/>
        <v>213</v>
      </c>
      <c r="N26" s="591">
        <f t="shared" si="15"/>
        <v>31</v>
      </c>
      <c r="O26" s="591">
        <f t="shared" si="16"/>
        <v>285</v>
      </c>
      <c r="P26" s="596">
        <f t="shared" si="6"/>
        <v>236</v>
      </c>
      <c r="Q26" s="596">
        <f t="shared" si="7"/>
        <v>90</v>
      </c>
      <c r="R26" s="596">
        <f t="shared" si="8"/>
        <v>204</v>
      </c>
      <c r="S26" s="596">
        <f t="shared" si="9"/>
        <v>72</v>
      </c>
      <c r="T26" s="596">
        <f t="shared" si="10"/>
        <v>269</v>
      </c>
      <c r="U26" s="596">
        <f t="shared" si="11"/>
        <v>871</v>
      </c>
      <c r="V26" s="591">
        <f t="shared" si="17"/>
        <v>177</v>
      </c>
      <c r="W26" s="596">
        <f t="shared" si="12"/>
        <v>177</v>
      </c>
      <c r="X26" s="583"/>
      <c r="Y26" s="596" t="str">
        <f t="shared" si="0"/>
        <v/>
      </c>
      <c r="Z26" s="598" t="str">
        <f t="shared" si="1"/>
        <v/>
      </c>
      <c r="AA26" s="905"/>
      <c r="AB26" s="596"/>
      <c r="AC26" s="583"/>
      <c r="AD26" s="583"/>
      <c r="AE26" s="583"/>
      <c r="AF26" s="583"/>
      <c r="AG26" s="583"/>
      <c r="AH26" s="583"/>
      <c r="AI26" s="583"/>
      <c r="AJ26" s="583"/>
      <c r="AK26" s="583"/>
      <c r="AL26" s="583"/>
      <c r="AM26" s="583"/>
      <c r="AN26" s="583"/>
    </row>
    <row r="27" spans="1:40" ht="15">
      <c r="A27" s="593"/>
      <c r="B27" s="996" t="s">
        <v>599</v>
      </c>
      <c r="C27" s="1043" t="s">
        <v>600</v>
      </c>
      <c r="D27" s="1046"/>
      <c r="E27" s="1043" t="s">
        <v>546</v>
      </c>
      <c r="F27" s="1032">
        <f>VALUE(Data.Sard!G25)</f>
        <v>0.15266297857525071</v>
      </c>
      <c r="G27" s="844">
        <f>Data.Sard!J25</f>
        <v>-34.245279948721766</v>
      </c>
      <c r="H27" s="1043">
        <v>92217154</v>
      </c>
      <c r="I27" s="264">
        <f>VALUE(Data.Sard!L25)</f>
        <v>-6.4939999999999998</v>
      </c>
      <c r="J27" s="904">
        <f>Data.Sard!N25</f>
        <v>7.3108715647989736E-2</v>
      </c>
      <c r="K27" s="591">
        <f t="shared" si="5"/>
        <v>153</v>
      </c>
      <c r="L27" s="591">
        <f t="shared" si="13"/>
        <v>589</v>
      </c>
      <c r="M27" s="591">
        <f t="shared" si="14"/>
        <v>233</v>
      </c>
      <c r="N27" s="591">
        <f t="shared" si="15"/>
        <v>525</v>
      </c>
      <c r="O27" s="591">
        <f t="shared" si="16"/>
        <v>213</v>
      </c>
      <c r="P27" s="596">
        <f t="shared" si="6"/>
        <v>44</v>
      </c>
      <c r="Q27" s="596">
        <f t="shared" si="7"/>
        <v>379</v>
      </c>
      <c r="R27" s="596">
        <f t="shared" si="8"/>
        <v>224</v>
      </c>
      <c r="S27" s="596">
        <f t="shared" si="9"/>
        <v>422</v>
      </c>
      <c r="T27" s="596">
        <f t="shared" si="10"/>
        <v>197</v>
      </c>
      <c r="U27" s="596">
        <f t="shared" si="11"/>
        <v>1266</v>
      </c>
      <c r="V27" s="591">
        <f t="shared" si="17"/>
        <v>343</v>
      </c>
      <c r="W27" s="596">
        <f t="shared" si="12"/>
        <v>343</v>
      </c>
      <c r="X27" s="583"/>
      <c r="Y27" s="596" t="str">
        <f t="shared" si="0"/>
        <v/>
      </c>
      <c r="Z27" s="598" t="str">
        <f t="shared" si="1"/>
        <v/>
      </c>
      <c r="AA27" s="905"/>
      <c r="AB27" s="596"/>
      <c r="AC27" s="583"/>
      <c r="AD27" s="583"/>
      <c r="AE27" s="583"/>
      <c r="AF27" s="583"/>
      <c r="AG27" s="583"/>
      <c r="AH27" s="583"/>
      <c r="AI27" s="583"/>
      <c r="AJ27" s="583"/>
      <c r="AK27" s="583"/>
      <c r="AL27" s="583"/>
      <c r="AM27" s="583"/>
      <c r="AN27" s="583"/>
    </row>
    <row r="28" spans="1:40" ht="15">
      <c r="A28" s="593"/>
      <c r="B28" s="996" t="s">
        <v>601</v>
      </c>
      <c r="C28" s="1043" t="s">
        <v>602</v>
      </c>
      <c r="D28" s="1046"/>
      <c r="E28" s="1043" t="s">
        <v>603</v>
      </c>
      <c r="F28" s="1032">
        <f>VALUE(Data.Sard!G26)</f>
        <v>1.4760964569861217</v>
      </c>
      <c r="G28" s="844">
        <f>Data.Sard!J26</f>
        <v>-1.3365111764412978</v>
      </c>
      <c r="H28" s="1043">
        <v>541943</v>
      </c>
      <c r="I28" s="264">
        <f>VALUE(Data.Sard!L26)</f>
        <v>0.93899999999999995</v>
      </c>
      <c r="J28" s="904"/>
      <c r="K28" s="591">
        <f t="shared" si="5"/>
        <v>11</v>
      </c>
      <c r="L28" s="591">
        <f t="shared" si="13"/>
        <v>493</v>
      </c>
      <c r="M28" s="591">
        <f t="shared" si="14"/>
        <v>627</v>
      </c>
      <c r="N28" s="591">
        <f t="shared" si="15"/>
        <v>109</v>
      </c>
      <c r="O28" s="591">
        <f t="shared" si="16"/>
        <v>419</v>
      </c>
      <c r="P28" s="596">
        <f t="shared" si="6"/>
        <v>98</v>
      </c>
      <c r="Q28" s="596">
        <f t="shared" si="7"/>
        <v>283</v>
      </c>
      <c r="R28" s="596">
        <f t="shared" si="8"/>
        <v>618</v>
      </c>
      <c r="S28" s="596">
        <f t="shared" si="9"/>
        <v>6</v>
      </c>
      <c r="T28" s="596">
        <f t="shared" si="10"/>
        <v>403</v>
      </c>
      <c r="U28" s="596">
        <f t="shared" si="11"/>
        <v>1408</v>
      </c>
      <c r="V28" s="591">
        <f t="shared" si="17"/>
        <v>415</v>
      </c>
      <c r="W28" s="596">
        <f t="shared" si="12"/>
        <v>415</v>
      </c>
      <c r="X28" s="583"/>
      <c r="Y28" s="596" t="str">
        <f t="shared" si="0"/>
        <v/>
      </c>
      <c r="Z28" s="598" t="str">
        <f t="shared" si="1"/>
        <v/>
      </c>
      <c r="AA28" s="905"/>
      <c r="AB28" s="596"/>
      <c r="AC28" s="583"/>
      <c r="AD28" s="583"/>
      <c r="AE28" s="583"/>
      <c r="AF28" s="583"/>
      <c r="AG28" s="583"/>
      <c r="AH28" s="583"/>
      <c r="AI28" s="583"/>
      <c r="AJ28" s="583"/>
      <c r="AK28" s="583"/>
      <c r="AL28" s="583"/>
      <c r="AM28" s="583"/>
      <c r="AN28" s="583"/>
    </row>
    <row r="29" spans="1:40" ht="15">
      <c r="A29" s="593"/>
      <c r="B29" s="1043" t="s">
        <v>604</v>
      </c>
      <c r="C29" s="1043" t="s">
        <v>605</v>
      </c>
      <c r="D29" s="1046"/>
      <c r="E29" s="1043" t="s">
        <v>606</v>
      </c>
      <c r="F29" s="1032">
        <f>VALUE(Data.Sard!G27)</f>
        <v>-0.39094725634264932</v>
      </c>
      <c r="G29" s="844">
        <f>Data.Sard!J27</f>
        <v>3.1148876962830632</v>
      </c>
      <c r="H29" s="1043">
        <v>261062876</v>
      </c>
      <c r="I29" s="264"/>
      <c r="J29" s="904">
        <f>Data.Sard!N27</f>
        <v>-0.13196552222767466</v>
      </c>
      <c r="K29" s="591">
        <f t="shared" si="5"/>
        <v>565</v>
      </c>
      <c r="L29" s="591">
        <f t="shared" si="13"/>
        <v>178</v>
      </c>
      <c r="M29" s="591">
        <f t="shared" si="14"/>
        <v>149</v>
      </c>
      <c r="N29" s="591">
        <f t="shared" si="15"/>
        <v>285</v>
      </c>
      <c r="O29" s="591">
        <f t="shared" si="16"/>
        <v>517</v>
      </c>
      <c r="P29" s="596">
        <f t="shared" si="6"/>
        <v>456</v>
      </c>
      <c r="Q29" s="596">
        <f t="shared" si="7"/>
        <v>32</v>
      </c>
      <c r="R29" s="596">
        <f t="shared" si="8"/>
        <v>140</v>
      </c>
      <c r="S29" s="596">
        <f t="shared" si="9"/>
        <v>182</v>
      </c>
      <c r="T29" s="596">
        <f t="shared" si="10"/>
        <v>501</v>
      </c>
      <c r="U29" s="596">
        <f t="shared" si="11"/>
        <v>1311</v>
      </c>
      <c r="V29" s="591">
        <f t="shared" si="17"/>
        <v>371</v>
      </c>
      <c r="W29" s="596">
        <f t="shared" si="12"/>
        <v>371</v>
      </c>
      <c r="X29" s="583"/>
      <c r="Y29" s="596" t="str">
        <f t="shared" si="0"/>
        <v/>
      </c>
      <c r="Z29" s="598" t="str">
        <f t="shared" si="1"/>
        <v/>
      </c>
      <c r="AA29" s="905"/>
      <c r="AB29" s="596"/>
      <c r="AC29" s="583"/>
      <c r="AD29" s="583"/>
      <c r="AE29" s="583"/>
      <c r="AF29" s="583"/>
      <c r="AG29" s="583"/>
      <c r="AH29" s="583"/>
      <c r="AI29" s="583"/>
      <c r="AJ29" s="583"/>
      <c r="AK29" s="583"/>
      <c r="AL29" s="583"/>
      <c r="AM29" s="583"/>
      <c r="AN29" s="583"/>
    </row>
    <row r="30" spans="1:40" ht="15">
      <c r="A30" s="593"/>
      <c r="B30" s="1043" t="s">
        <v>607</v>
      </c>
      <c r="C30" s="1043" t="s">
        <v>608</v>
      </c>
      <c r="D30" s="1046"/>
      <c r="E30" s="1043" t="s">
        <v>606</v>
      </c>
      <c r="F30" s="1032">
        <f>VALUE(Data.Sard!G28)</f>
        <v>0.20628725143732135</v>
      </c>
      <c r="G30" s="844">
        <f>Data.Sard!J28</f>
        <v>-0.61234458224055799</v>
      </c>
      <c r="H30" s="1043">
        <v>76262604971</v>
      </c>
      <c r="I30" s="264">
        <f>VALUE(Data.Sard!L28)</f>
        <v>-6.819</v>
      </c>
      <c r="J30" s="904">
        <f>Data.Sard!N28</f>
        <v>0.25214253495704292</v>
      </c>
      <c r="K30" s="595">
        <f t="shared" ref="K30:K68" si="18">IFERROR(_xlfn.RANK.EQ(F30,F$3:F$706),"N/A")</f>
        <v>103</v>
      </c>
      <c r="L30" s="591">
        <f t="shared" si="13"/>
        <v>471</v>
      </c>
      <c r="M30" s="591">
        <f t="shared" si="14"/>
        <v>4</v>
      </c>
      <c r="N30" s="591">
        <f t="shared" si="15"/>
        <v>526</v>
      </c>
      <c r="O30" s="591">
        <f t="shared" si="16"/>
        <v>26</v>
      </c>
      <c r="P30" s="596">
        <f t="shared" si="6"/>
        <v>6</v>
      </c>
      <c r="Q30" s="596">
        <f t="shared" si="7"/>
        <v>261</v>
      </c>
      <c r="R30" s="596">
        <f t="shared" si="8"/>
        <v>5</v>
      </c>
      <c r="S30" s="596">
        <f t="shared" si="9"/>
        <v>423</v>
      </c>
      <c r="T30" s="596">
        <f t="shared" si="10"/>
        <v>10</v>
      </c>
      <c r="U30" s="596">
        <f t="shared" si="11"/>
        <v>705</v>
      </c>
      <c r="V30" s="591">
        <f t="shared" si="17"/>
        <v>115</v>
      </c>
      <c r="W30" s="596">
        <f t="shared" si="12"/>
        <v>115</v>
      </c>
      <c r="X30" s="583"/>
      <c r="Y30" s="596" t="str">
        <f t="shared" si="0"/>
        <v/>
      </c>
      <c r="Z30" s="598" t="str">
        <f t="shared" si="1"/>
        <v/>
      </c>
      <c r="AA30" s="905"/>
      <c r="AB30" s="596"/>
      <c r="AC30" s="583"/>
      <c r="AD30" s="583"/>
      <c r="AE30" s="583"/>
      <c r="AF30" s="583"/>
      <c r="AG30" s="583"/>
      <c r="AH30" s="583"/>
      <c r="AI30" s="583"/>
      <c r="AJ30" s="583"/>
      <c r="AK30" s="583"/>
      <c r="AL30" s="583"/>
      <c r="AM30" s="583"/>
      <c r="AN30" s="583"/>
    </row>
    <row r="31" spans="1:40" ht="15">
      <c r="A31" s="593"/>
      <c r="B31" s="1043" t="s">
        <v>609</v>
      </c>
      <c r="C31" s="1043" t="s">
        <v>610</v>
      </c>
      <c r="D31" s="1046"/>
      <c r="E31" s="1043" t="s">
        <v>611</v>
      </c>
      <c r="F31" s="1032">
        <f>VALUE(Data.Sard!G29)</f>
        <v>-3.9247381362107023E-2</v>
      </c>
      <c r="G31" s="844">
        <f>Data.Sard!J29</f>
        <v>3.5853670859890645</v>
      </c>
      <c r="H31" s="1043">
        <v>74728533</v>
      </c>
      <c r="I31" s="264">
        <f>VALUE(Data.Sard!L29)</f>
        <v>0.02</v>
      </c>
      <c r="J31" s="904">
        <f>Data.Sard!N29</f>
        <v>-0.10983758476860998</v>
      </c>
      <c r="K31" s="595">
        <f t="shared" si="18"/>
        <v>479</v>
      </c>
      <c r="L31" s="591">
        <f t="shared" si="13"/>
        <v>159</v>
      </c>
      <c r="M31" s="591">
        <f t="shared" si="14"/>
        <v>254</v>
      </c>
      <c r="N31" s="591">
        <f t="shared" si="15"/>
        <v>282</v>
      </c>
      <c r="O31" s="591">
        <f t="shared" si="16"/>
        <v>511</v>
      </c>
      <c r="P31" s="596">
        <f t="shared" si="6"/>
        <v>370</v>
      </c>
      <c r="Q31" s="596">
        <f t="shared" si="7"/>
        <v>51</v>
      </c>
      <c r="R31" s="596">
        <f t="shared" si="8"/>
        <v>245</v>
      </c>
      <c r="S31" s="596">
        <f t="shared" si="9"/>
        <v>179</v>
      </c>
      <c r="T31" s="596">
        <f t="shared" si="10"/>
        <v>495</v>
      </c>
      <c r="U31" s="596">
        <f t="shared" si="11"/>
        <v>1340</v>
      </c>
      <c r="V31" s="591">
        <f t="shared" si="17"/>
        <v>383</v>
      </c>
      <c r="W31" s="596">
        <f t="shared" si="12"/>
        <v>383</v>
      </c>
      <c r="X31" s="583"/>
      <c r="Y31" s="596" t="str">
        <f t="shared" si="0"/>
        <v/>
      </c>
      <c r="Z31" s="598" t="str">
        <f t="shared" si="1"/>
        <v/>
      </c>
      <c r="AA31" s="905"/>
      <c r="AB31" s="596"/>
      <c r="AC31" s="583"/>
      <c r="AD31" s="583"/>
      <c r="AE31" s="583"/>
      <c r="AF31" s="583"/>
      <c r="AG31" s="583"/>
      <c r="AH31" s="583"/>
      <c r="AI31" s="583"/>
      <c r="AJ31" s="583"/>
      <c r="AK31" s="583"/>
      <c r="AL31" s="583"/>
      <c r="AM31" s="583"/>
      <c r="AN31" s="583"/>
    </row>
    <row r="32" spans="1:40" ht="15">
      <c r="A32" s="593"/>
      <c r="B32" s="1043" t="s">
        <v>612</v>
      </c>
      <c r="C32" s="1043" t="s">
        <v>613</v>
      </c>
      <c r="D32" s="1046"/>
      <c r="E32" s="1043" t="s">
        <v>611</v>
      </c>
      <c r="F32" s="1032">
        <f>VALUE(Data.Sard!G30)</f>
        <v>9.3808965155004573E-2</v>
      </c>
      <c r="G32" s="844">
        <f>Data.Sard!J30</f>
        <v>-15.756324903959102</v>
      </c>
      <c r="H32" s="1043">
        <v>1649321793</v>
      </c>
      <c r="I32" s="264">
        <f>VALUE(Data.Sard!L30)</f>
        <v>2.2200000000000002</v>
      </c>
      <c r="J32" s="904">
        <f>Data.Sard!N30</f>
        <v>6.5670978147366041E-2</v>
      </c>
      <c r="K32" s="595">
        <f t="shared" si="18"/>
        <v>244</v>
      </c>
      <c r="L32" s="591">
        <f t="shared" si="13"/>
        <v>576</v>
      </c>
      <c r="M32" s="591">
        <f t="shared" si="14"/>
        <v>46</v>
      </c>
      <c r="N32" s="591">
        <f t="shared" si="15"/>
        <v>43</v>
      </c>
      <c r="O32" s="591">
        <f t="shared" si="16"/>
        <v>226</v>
      </c>
      <c r="P32" s="596">
        <f t="shared" si="6"/>
        <v>135</v>
      </c>
      <c r="Q32" s="596">
        <f t="shared" si="7"/>
        <v>366</v>
      </c>
      <c r="R32" s="596">
        <f t="shared" si="8"/>
        <v>37</v>
      </c>
      <c r="S32" s="596">
        <f t="shared" si="9"/>
        <v>60</v>
      </c>
      <c r="T32" s="596">
        <f t="shared" si="10"/>
        <v>210</v>
      </c>
      <c r="U32" s="596">
        <f t="shared" si="11"/>
        <v>808</v>
      </c>
      <c r="V32" s="591">
        <f t="shared" si="17"/>
        <v>150</v>
      </c>
      <c r="W32" s="596">
        <f t="shared" si="12"/>
        <v>150</v>
      </c>
      <c r="X32" s="583"/>
      <c r="Y32" s="596" t="str">
        <f t="shared" si="0"/>
        <v/>
      </c>
      <c r="Z32" s="598" t="str">
        <f t="shared" si="1"/>
        <v/>
      </c>
      <c r="AA32" s="905"/>
      <c r="AB32" s="596"/>
      <c r="AC32" s="583"/>
      <c r="AD32" s="583"/>
      <c r="AE32" s="583"/>
      <c r="AF32" s="583"/>
      <c r="AG32" s="583"/>
      <c r="AH32" s="583"/>
      <c r="AI32" s="583"/>
      <c r="AJ32" s="583"/>
      <c r="AK32" s="583"/>
      <c r="AL32" s="583"/>
      <c r="AM32" s="583"/>
      <c r="AN32" s="583"/>
    </row>
    <row r="33" spans="1:40" ht="15">
      <c r="A33" s="593"/>
      <c r="B33" s="1043" t="s">
        <v>614</v>
      </c>
      <c r="C33" s="1043" t="s">
        <v>615</v>
      </c>
      <c r="D33" s="1046"/>
      <c r="E33" s="1043" t="s">
        <v>611</v>
      </c>
      <c r="F33" s="1032">
        <f>VALUE(Data.Sard!G31)</f>
        <v>0.4859718715606226</v>
      </c>
      <c r="G33" s="844">
        <f>Data.Sard!J31</f>
        <v>2.2350238636404405</v>
      </c>
      <c r="H33" s="1043">
        <v>117378653</v>
      </c>
      <c r="I33" s="264">
        <f>VALUE(Data.Sard!L31)</f>
        <v>0.24199999999999999</v>
      </c>
      <c r="J33" s="904">
        <f>Data.Sard!N31</f>
        <v>-2.6614217868104244E-2</v>
      </c>
      <c r="K33" s="595">
        <f t="shared" si="18"/>
        <v>30</v>
      </c>
      <c r="L33" s="591">
        <f t="shared" si="13"/>
        <v>226</v>
      </c>
      <c r="M33" s="591">
        <f t="shared" si="14"/>
        <v>214</v>
      </c>
      <c r="N33" s="591">
        <f t="shared" si="15"/>
        <v>224</v>
      </c>
      <c r="O33" s="591">
        <f t="shared" si="16"/>
        <v>457</v>
      </c>
      <c r="P33" s="596">
        <f t="shared" si="6"/>
        <v>79</v>
      </c>
      <c r="Q33" s="596">
        <f t="shared" si="7"/>
        <v>16</v>
      </c>
      <c r="R33" s="596">
        <f t="shared" si="8"/>
        <v>205</v>
      </c>
      <c r="S33" s="596">
        <f t="shared" si="9"/>
        <v>121</v>
      </c>
      <c r="T33" s="596">
        <f t="shared" si="10"/>
        <v>441</v>
      </c>
      <c r="U33" s="596">
        <f t="shared" si="11"/>
        <v>862</v>
      </c>
      <c r="V33" s="591">
        <f t="shared" si="17"/>
        <v>169</v>
      </c>
      <c r="W33" s="596">
        <f t="shared" si="12"/>
        <v>169</v>
      </c>
      <c r="X33" s="583"/>
      <c r="Y33" s="596" t="str">
        <f t="shared" si="0"/>
        <v/>
      </c>
      <c r="Z33" s="598" t="str">
        <f t="shared" si="1"/>
        <v/>
      </c>
      <c r="AA33" s="905"/>
      <c r="AB33" s="596"/>
      <c r="AC33" s="583"/>
      <c r="AD33" s="583"/>
      <c r="AE33" s="583"/>
      <c r="AF33" s="583"/>
      <c r="AG33" s="583"/>
      <c r="AH33" s="583"/>
      <c r="AI33" s="583"/>
      <c r="AJ33" s="583"/>
      <c r="AK33" s="583"/>
      <c r="AL33" s="583"/>
      <c r="AM33" s="583"/>
      <c r="AN33" s="583"/>
    </row>
    <row r="34" spans="1:40" ht="15">
      <c r="A34" s="593"/>
      <c r="B34" s="1043" t="s">
        <v>616</v>
      </c>
      <c r="C34" s="1043" t="s">
        <v>617</v>
      </c>
      <c r="D34" s="1046"/>
      <c r="E34" s="1043" t="s">
        <v>556</v>
      </c>
      <c r="F34" s="1032">
        <f>VALUE(Data.Sard!G32)</f>
        <v>6.594774637350935E-2</v>
      </c>
      <c r="G34" s="844">
        <f>Data.Sard!J32</f>
        <v>0.62153470841239222</v>
      </c>
      <c r="H34" s="1043">
        <v>11557171</v>
      </c>
      <c r="I34" s="264">
        <f>VALUE(Data.Sard!L32)</f>
        <v>-4.8440000000000003</v>
      </c>
      <c r="J34" s="904">
        <f>Data.Sard!N32</f>
        <v>0.12578227533836098</v>
      </c>
      <c r="K34" s="595">
        <f t="shared" si="18"/>
        <v>295</v>
      </c>
      <c r="L34" s="591">
        <f t="shared" si="13"/>
        <v>322</v>
      </c>
      <c r="M34" s="591">
        <f t="shared" si="14"/>
        <v>456</v>
      </c>
      <c r="N34" s="591">
        <f t="shared" si="15"/>
        <v>518</v>
      </c>
      <c r="O34" s="591">
        <f t="shared" si="16"/>
        <v>115</v>
      </c>
      <c r="P34" s="596">
        <f t="shared" si="6"/>
        <v>186</v>
      </c>
      <c r="Q34" s="596">
        <f t="shared" si="7"/>
        <v>112</v>
      </c>
      <c r="R34" s="596">
        <f t="shared" si="8"/>
        <v>447</v>
      </c>
      <c r="S34" s="596">
        <f t="shared" si="9"/>
        <v>415</v>
      </c>
      <c r="T34" s="596">
        <f t="shared" si="10"/>
        <v>99</v>
      </c>
      <c r="U34" s="596">
        <f t="shared" si="11"/>
        <v>1259</v>
      </c>
      <c r="V34" s="591">
        <f t="shared" si="17"/>
        <v>338</v>
      </c>
      <c r="W34" s="596">
        <f t="shared" si="12"/>
        <v>338</v>
      </c>
      <c r="X34" s="583"/>
      <c r="Y34" s="596" t="str">
        <f t="shared" si="0"/>
        <v/>
      </c>
      <c r="Z34" s="598" t="str">
        <f t="shared" si="1"/>
        <v/>
      </c>
      <c r="AA34" s="905"/>
      <c r="AB34" s="596"/>
      <c r="AC34" s="583"/>
      <c r="AD34" s="583"/>
      <c r="AE34" s="583"/>
      <c r="AF34" s="583"/>
      <c r="AG34" s="583"/>
      <c r="AH34" s="583"/>
      <c r="AI34" s="583"/>
      <c r="AJ34" s="583"/>
      <c r="AK34" s="583"/>
      <c r="AL34" s="583"/>
      <c r="AM34" s="583"/>
      <c r="AN34" s="583"/>
    </row>
    <row r="35" spans="1:40" ht="15">
      <c r="A35" s="593"/>
      <c r="B35" s="1043" t="s">
        <v>618</v>
      </c>
      <c r="C35" s="1043" t="s">
        <v>619</v>
      </c>
      <c r="D35" s="1046"/>
      <c r="E35" s="1043" t="s">
        <v>611</v>
      </c>
      <c r="F35" s="1032">
        <f>VALUE(Data.Sard!G33)</f>
        <v>0.10294265240413386</v>
      </c>
      <c r="G35" s="844">
        <f>Data.Sard!J33</f>
        <v>0.18360791149557457</v>
      </c>
      <c r="H35" s="1043">
        <v>1724111166</v>
      </c>
      <c r="I35" s="264">
        <f>VALUE(Data.Sard!L33)</f>
        <v>-1.377</v>
      </c>
      <c r="J35" s="904">
        <f>Data.Sard!N33</f>
        <v>7.4767439930229412E-2</v>
      </c>
      <c r="K35" s="595">
        <f t="shared" si="18"/>
        <v>229</v>
      </c>
      <c r="L35" s="591">
        <f t="shared" si="13"/>
        <v>367</v>
      </c>
      <c r="M35" s="591">
        <f t="shared" si="14"/>
        <v>42</v>
      </c>
      <c r="N35" s="591">
        <f t="shared" si="15"/>
        <v>460</v>
      </c>
      <c r="O35" s="591">
        <f t="shared" si="16"/>
        <v>210</v>
      </c>
      <c r="P35" s="596">
        <f t="shared" si="6"/>
        <v>120</v>
      </c>
      <c r="Q35" s="596">
        <f t="shared" si="7"/>
        <v>157</v>
      </c>
      <c r="R35" s="596">
        <f t="shared" si="8"/>
        <v>33</v>
      </c>
      <c r="S35" s="596">
        <f t="shared" si="9"/>
        <v>357</v>
      </c>
      <c r="T35" s="596">
        <f t="shared" si="10"/>
        <v>194</v>
      </c>
      <c r="U35" s="596">
        <f t="shared" si="11"/>
        <v>861</v>
      </c>
      <c r="V35" s="591">
        <f t="shared" si="17"/>
        <v>168</v>
      </c>
      <c r="W35" s="596">
        <f t="shared" si="12"/>
        <v>168</v>
      </c>
      <c r="X35" s="583"/>
      <c r="Y35" s="596" t="str">
        <f t="shared" ref="Y35:Y66" si="19">IF(OR(Z35="Y",AA35="Y"),"Not suitable","")</f>
        <v/>
      </c>
      <c r="Z35" s="598" t="str">
        <f t="shared" ref="Z35:Z66" si="20">IF(N35="N/A","Y","")</f>
        <v/>
      </c>
      <c r="AA35" s="905"/>
      <c r="AB35" s="596"/>
      <c r="AC35" s="583"/>
      <c r="AD35" s="583"/>
      <c r="AE35" s="583"/>
      <c r="AF35" s="583"/>
      <c r="AG35" s="583"/>
      <c r="AH35" s="583"/>
      <c r="AI35" s="583"/>
      <c r="AJ35" s="583"/>
      <c r="AK35" s="583"/>
      <c r="AL35" s="583"/>
      <c r="AM35" s="583"/>
      <c r="AN35" s="583"/>
    </row>
    <row r="36" spans="1:40" ht="15">
      <c r="A36" s="593"/>
      <c r="B36" s="1043" t="s">
        <v>620</v>
      </c>
      <c r="C36" s="1043" t="s">
        <v>621</v>
      </c>
      <c r="D36" s="1046"/>
      <c r="E36" s="1043" t="s">
        <v>611</v>
      </c>
      <c r="F36" s="1032">
        <f>VALUE(Data.Sard!G34)</f>
        <v>0.26316711505750123</v>
      </c>
      <c r="G36" s="844">
        <f>Data.Sard!J34</f>
        <v>3.1255971338860138</v>
      </c>
      <c r="H36" s="1043">
        <v>2877782813</v>
      </c>
      <c r="I36" s="264">
        <f>VALUE(Data.Sard!L34)</f>
        <v>-0.47</v>
      </c>
      <c r="J36" s="904">
        <f>Data.Sard!N34</f>
        <v>0.18940131418682982</v>
      </c>
      <c r="K36" s="595">
        <f t="shared" si="18"/>
        <v>77</v>
      </c>
      <c r="L36" s="591">
        <f t="shared" si="13"/>
        <v>177</v>
      </c>
      <c r="M36" s="591">
        <f t="shared" si="14"/>
        <v>35</v>
      </c>
      <c r="N36" s="591">
        <f t="shared" si="15"/>
        <v>381</v>
      </c>
      <c r="O36" s="591">
        <f t="shared" si="16"/>
        <v>56</v>
      </c>
      <c r="P36" s="596">
        <f t="shared" ref="P36:P67" si="21">IFERROR(ABS(K$3-K36),"N/A")</f>
        <v>32</v>
      </c>
      <c r="Q36" s="596">
        <f t="shared" ref="Q36:Q67" si="22">IFERROR(ABS(L$3-L36),"N/A")</f>
        <v>33</v>
      </c>
      <c r="R36" s="596">
        <f t="shared" ref="R36:R67" si="23">IFERROR(ABS(M$3-M36),"N/A")</f>
        <v>26</v>
      </c>
      <c r="S36" s="596">
        <f t="shared" ref="S36:S67" si="24">IFERROR(ABS(N$3-N36),"N/A")</f>
        <v>278</v>
      </c>
      <c r="T36" s="596">
        <f t="shared" ref="T36:T67" si="25">IFERROR(ABS(O$3-O36),"N/A")</f>
        <v>40</v>
      </c>
      <c r="U36" s="596">
        <f t="shared" ref="U36:U67" si="26">SUM(P36:T36)</f>
        <v>409</v>
      </c>
      <c r="V36" s="591">
        <f t="shared" si="17"/>
        <v>18</v>
      </c>
      <c r="W36" s="596">
        <f t="shared" ref="W36:W67" si="27">IF(Y36="Not suitable","-",V36)</f>
        <v>18</v>
      </c>
      <c r="X36" s="583"/>
      <c r="Y36" s="596" t="str">
        <f t="shared" si="19"/>
        <v/>
      </c>
      <c r="Z36" s="598" t="str">
        <f t="shared" si="20"/>
        <v/>
      </c>
      <c r="AA36" s="905"/>
      <c r="AB36" s="596"/>
      <c r="AC36" s="583"/>
      <c r="AD36" s="583"/>
      <c r="AE36" s="583"/>
      <c r="AF36" s="583"/>
      <c r="AG36" s="583"/>
      <c r="AH36" s="583"/>
      <c r="AI36" s="583"/>
      <c r="AJ36" s="583"/>
      <c r="AK36" s="583"/>
      <c r="AL36" s="583"/>
      <c r="AM36" s="583"/>
      <c r="AN36" s="583"/>
    </row>
    <row r="37" spans="1:40" ht="15">
      <c r="A37" s="593"/>
      <c r="B37" s="1043" t="s">
        <v>622</v>
      </c>
      <c r="C37" s="1043" t="s">
        <v>623</v>
      </c>
      <c r="D37" s="1046"/>
      <c r="E37" s="1043" t="s">
        <v>611</v>
      </c>
      <c r="F37" s="1032">
        <f>VALUE(Data.Sard!G35)</f>
        <v>3.9082522887291846E-2</v>
      </c>
      <c r="G37" s="844">
        <f>Data.Sard!J35</f>
        <v>13.951934583034635</v>
      </c>
      <c r="H37" s="1043">
        <v>589780161</v>
      </c>
      <c r="I37" s="264">
        <f>VALUE(Data.Sard!L35)</f>
        <v>-1.7999999999999999E-2</v>
      </c>
      <c r="J37" s="904">
        <f>Data.Sard!N35</f>
        <v>3.6933029478602851E-2</v>
      </c>
      <c r="K37" s="595">
        <f t="shared" si="18"/>
        <v>354</v>
      </c>
      <c r="L37" s="591">
        <f t="shared" si="13"/>
        <v>42</v>
      </c>
      <c r="M37" s="591">
        <f t="shared" si="14"/>
        <v>89</v>
      </c>
      <c r="N37" s="591">
        <f t="shared" si="15"/>
        <v>291</v>
      </c>
      <c r="O37" s="591">
        <f t="shared" si="16"/>
        <v>315</v>
      </c>
      <c r="P37" s="596">
        <f t="shared" si="21"/>
        <v>245</v>
      </c>
      <c r="Q37" s="596">
        <f t="shared" si="22"/>
        <v>168</v>
      </c>
      <c r="R37" s="596">
        <f t="shared" si="23"/>
        <v>80</v>
      </c>
      <c r="S37" s="596">
        <f t="shared" si="24"/>
        <v>188</v>
      </c>
      <c r="T37" s="596">
        <f t="shared" si="25"/>
        <v>299</v>
      </c>
      <c r="U37" s="596">
        <f t="shared" si="26"/>
        <v>980</v>
      </c>
      <c r="V37" s="591">
        <f t="shared" si="17"/>
        <v>232</v>
      </c>
      <c r="W37" s="596">
        <f t="shared" si="27"/>
        <v>232</v>
      </c>
      <c r="X37" s="583"/>
      <c r="Y37" s="596" t="str">
        <f t="shared" si="19"/>
        <v/>
      </c>
      <c r="Z37" s="598" t="str">
        <f t="shared" si="20"/>
        <v/>
      </c>
      <c r="AA37" s="905"/>
      <c r="AB37" s="596"/>
      <c r="AC37" s="583"/>
      <c r="AD37" s="583"/>
      <c r="AE37" s="583"/>
      <c r="AF37" s="583"/>
      <c r="AG37" s="583"/>
      <c r="AH37" s="583"/>
      <c r="AI37" s="583"/>
      <c r="AJ37" s="583"/>
      <c r="AK37" s="583"/>
      <c r="AL37" s="583"/>
      <c r="AM37" s="583"/>
      <c r="AN37" s="583"/>
    </row>
    <row r="38" spans="1:40" ht="15">
      <c r="A38" s="593"/>
      <c r="B38" s="1043" t="s">
        <v>624</v>
      </c>
      <c r="C38" s="1043" t="s">
        <v>625</v>
      </c>
      <c r="D38" s="1046"/>
      <c r="E38" s="1043" t="s">
        <v>611</v>
      </c>
      <c r="F38" s="1032">
        <f>VALUE(Data.Sard!G36)</f>
        <v>4.0803747530218544E-2</v>
      </c>
      <c r="G38" s="844">
        <f>Data.Sard!J36</f>
        <v>6.123357663907071</v>
      </c>
      <c r="H38" s="1043">
        <v>1077762381</v>
      </c>
      <c r="I38" s="264">
        <f>VALUE(Data.Sard!L36)</f>
        <v>-0.191</v>
      </c>
      <c r="J38" s="904">
        <f>Data.Sard!N36</f>
        <v>3.8494610447801093E-2</v>
      </c>
      <c r="K38" s="595">
        <f t="shared" si="18"/>
        <v>353</v>
      </c>
      <c r="L38" s="591">
        <f t="shared" si="13"/>
        <v>102</v>
      </c>
      <c r="M38" s="591">
        <f t="shared" si="14"/>
        <v>59</v>
      </c>
      <c r="N38" s="591">
        <f t="shared" si="15"/>
        <v>341</v>
      </c>
      <c r="O38" s="591">
        <f t="shared" si="16"/>
        <v>308</v>
      </c>
      <c r="P38" s="596">
        <f t="shared" si="21"/>
        <v>244</v>
      </c>
      <c r="Q38" s="596">
        <f t="shared" si="22"/>
        <v>108</v>
      </c>
      <c r="R38" s="596">
        <f t="shared" si="23"/>
        <v>50</v>
      </c>
      <c r="S38" s="596">
        <f t="shared" si="24"/>
        <v>238</v>
      </c>
      <c r="T38" s="596">
        <f t="shared" si="25"/>
        <v>292</v>
      </c>
      <c r="U38" s="596">
        <f t="shared" si="26"/>
        <v>932</v>
      </c>
      <c r="V38" s="591">
        <f t="shared" si="17"/>
        <v>203</v>
      </c>
      <c r="W38" s="596">
        <f t="shared" si="27"/>
        <v>203</v>
      </c>
      <c r="X38" s="583"/>
      <c r="Y38" s="596" t="str">
        <f t="shared" si="19"/>
        <v/>
      </c>
      <c r="Z38" s="598" t="str">
        <f t="shared" si="20"/>
        <v/>
      </c>
      <c r="AA38" s="905"/>
      <c r="AB38" s="596"/>
      <c r="AC38" s="583"/>
      <c r="AD38" s="583"/>
      <c r="AE38" s="583"/>
      <c r="AF38" s="583"/>
      <c r="AG38" s="583"/>
      <c r="AH38" s="583"/>
      <c r="AI38" s="583"/>
      <c r="AJ38" s="583"/>
      <c r="AK38" s="583"/>
      <c r="AL38" s="583"/>
      <c r="AM38" s="583"/>
      <c r="AN38" s="583"/>
    </row>
    <row r="39" spans="1:40" ht="15">
      <c r="A39" s="593"/>
      <c r="B39" s="1043" t="s">
        <v>626</v>
      </c>
      <c r="C39" s="1043" t="s">
        <v>627</v>
      </c>
      <c r="D39" s="1046"/>
      <c r="E39" s="1043" t="s">
        <v>611</v>
      </c>
      <c r="F39" s="1032">
        <f>VALUE(Data.Sard!G37)</f>
        <v>8.6099182450245365E-2</v>
      </c>
      <c r="G39" s="844">
        <f>Data.Sard!J37</f>
        <v>-8.1152953521228266</v>
      </c>
      <c r="H39" s="1043">
        <v>641601407</v>
      </c>
      <c r="I39" s="264">
        <f>VALUE(Data.Sard!L37)</f>
        <v>0.55400000000000005</v>
      </c>
      <c r="J39" s="904">
        <f>Data.Sard!N37</f>
        <v>3.6123166817224044E-2</v>
      </c>
      <c r="K39" s="595">
        <f t="shared" si="18"/>
        <v>253</v>
      </c>
      <c r="L39" s="591">
        <f t="shared" si="13"/>
        <v>557</v>
      </c>
      <c r="M39" s="591">
        <f t="shared" si="14"/>
        <v>85</v>
      </c>
      <c r="N39" s="591">
        <f t="shared" si="15"/>
        <v>166</v>
      </c>
      <c r="O39" s="591">
        <f t="shared" si="16"/>
        <v>318</v>
      </c>
      <c r="P39" s="596">
        <f t="shared" si="21"/>
        <v>144</v>
      </c>
      <c r="Q39" s="596">
        <f t="shared" si="22"/>
        <v>347</v>
      </c>
      <c r="R39" s="596">
        <f t="shared" si="23"/>
        <v>76</v>
      </c>
      <c r="S39" s="596">
        <f t="shared" si="24"/>
        <v>63</v>
      </c>
      <c r="T39" s="596">
        <f t="shared" si="25"/>
        <v>302</v>
      </c>
      <c r="U39" s="596">
        <f t="shared" si="26"/>
        <v>932</v>
      </c>
      <c r="V39" s="591">
        <f t="shared" si="17"/>
        <v>203</v>
      </c>
      <c r="W39" s="596">
        <f t="shared" si="27"/>
        <v>203</v>
      </c>
      <c r="X39" s="583"/>
      <c r="Y39" s="596" t="str">
        <f t="shared" si="19"/>
        <v/>
      </c>
      <c r="Z39" s="598" t="str">
        <f t="shared" si="20"/>
        <v/>
      </c>
      <c r="AA39" s="905"/>
      <c r="AB39" s="596"/>
      <c r="AC39" s="583"/>
      <c r="AD39" s="583"/>
      <c r="AE39" s="583"/>
      <c r="AF39" s="583"/>
      <c r="AG39" s="583"/>
      <c r="AH39" s="583"/>
      <c r="AI39" s="583"/>
      <c r="AJ39" s="583"/>
      <c r="AK39" s="583"/>
      <c r="AL39" s="583"/>
      <c r="AM39" s="583"/>
      <c r="AN39" s="583"/>
    </row>
    <row r="40" spans="1:40" ht="15">
      <c r="A40" s="593"/>
      <c r="B40" s="1043" t="s">
        <v>628</v>
      </c>
      <c r="C40" s="1043" t="s">
        <v>629</v>
      </c>
      <c r="D40" s="1046"/>
      <c r="E40" s="1043" t="s">
        <v>611</v>
      </c>
      <c r="F40" s="1032">
        <f>VALUE(Data.Sard!G38)</f>
        <v>-6.7380460414684</v>
      </c>
      <c r="G40" s="844">
        <f>Data.Sard!J38</f>
        <v>0.45197740052241586</v>
      </c>
      <c r="H40" s="1043">
        <v>27878306</v>
      </c>
      <c r="I40" s="264">
        <f>VALUE(Data.Sard!L38)</f>
        <v>1.5580000000000001</v>
      </c>
      <c r="J40" s="904">
        <f>Data.Sard!N38</f>
        <v>-0.23245785389643039</v>
      </c>
      <c r="K40" s="595">
        <f t="shared" si="18"/>
        <v>606</v>
      </c>
      <c r="L40" s="591">
        <f t="shared" si="13"/>
        <v>335</v>
      </c>
      <c r="M40" s="591">
        <f t="shared" si="14"/>
        <v>351</v>
      </c>
      <c r="N40" s="591">
        <f t="shared" si="15"/>
        <v>59</v>
      </c>
      <c r="O40" s="591">
        <f t="shared" si="16"/>
        <v>541</v>
      </c>
      <c r="P40" s="596">
        <f t="shared" si="21"/>
        <v>497</v>
      </c>
      <c r="Q40" s="596">
        <f t="shared" si="22"/>
        <v>125</v>
      </c>
      <c r="R40" s="596">
        <f t="shared" si="23"/>
        <v>342</v>
      </c>
      <c r="S40" s="596">
        <f t="shared" si="24"/>
        <v>44</v>
      </c>
      <c r="T40" s="596">
        <f t="shared" si="25"/>
        <v>525</v>
      </c>
      <c r="U40" s="596">
        <f t="shared" si="26"/>
        <v>1533</v>
      </c>
      <c r="V40" s="591">
        <f t="shared" si="17"/>
        <v>482</v>
      </c>
      <c r="W40" s="596">
        <f t="shared" si="27"/>
        <v>482</v>
      </c>
      <c r="X40" s="583"/>
      <c r="Y40" s="596" t="str">
        <f t="shared" si="19"/>
        <v/>
      </c>
      <c r="Z40" s="598" t="str">
        <f t="shared" si="20"/>
        <v/>
      </c>
      <c r="AA40" s="905"/>
      <c r="AB40" s="596"/>
      <c r="AC40" s="583"/>
      <c r="AD40" s="583"/>
      <c r="AE40" s="583"/>
      <c r="AF40" s="583"/>
      <c r="AG40" s="583"/>
      <c r="AH40" s="583"/>
      <c r="AI40" s="583"/>
      <c r="AJ40" s="583"/>
      <c r="AK40" s="583"/>
      <c r="AL40" s="583"/>
      <c r="AM40" s="583"/>
      <c r="AN40" s="583"/>
    </row>
    <row r="41" spans="1:40" ht="15">
      <c r="A41" s="593"/>
      <c r="B41" s="1043" t="s">
        <v>630</v>
      </c>
      <c r="C41" s="1043" t="s">
        <v>631</v>
      </c>
      <c r="D41" s="1046"/>
      <c r="E41" s="1043" t="s">
        <v>611</v>
      </c>
      <c r="F41" s="1032">
        <f>VALUE(Data.Sard!G39)</f>
        <v>3.5856573710950489E-2</v>
      </c>
      <c r="G41" s="844">
        <f>Data.Sard!J39</f>
        <v>-4.8522927306092747</v>
      </c>
      <c r="H41" s="1043">
        <v>114401667</v>
      </c>
      <c r="I41" s="264">
        <f>VALUE(Data.Sard!L39)</f>
        <v>0.98199999999999998</v>
      </c>
      <c r="J41" s="904">
        <f>Data.Sard!N39</f>
        <v>0.12609831394200322</v>
      </c>
      <c r="K41" s="595">
        <f t="shared" si="18"/>
        <v>359</v>
      </c>
      <c r="L41" s="591">
        <f t="shared" si="13"/>
        <v>538</v>
      </c>
      <c r="M41" s="591">
        <f t="shared" si="14"/>
        <v>217</v>
      </c>
      <c r="N41" s="591">
        <f t="shared" si="15"/>
        <v>105</v>
      </c>
      <c r="O41" s="591">
        <f t="shared" si="16"/>
        <v>114</v>
      </c>
      <c r="P41" s="596">
        <f t="shared" si="21"/>
        <v>250</v>
      </c>
      <c r="Q41" s="596">
        <f t="shared" si="22"/>
        <v>328</v>
      </c>
      <c r="R41" s="596">
        <f t="shared" si="23"/>
        <v>208</v>
      </c>
      <c r="S41" s="596">
        <f t="shared" si="24"/>
        <v>2</v>
      </c>
      <c r="T41" s="596">
        <f t="shared" si="25"/>
        <v>98</v>
      </c>
      <c r="U41" s="596">
        <f t="shared" si="26"/>
        <v>886</v>
      </c>
      <c r="V41" s="591">
        <f t="shared" si="17"/>
        <v>180</v>
      </c>
      <c r="W41" s="596">
        <f t="shared" si="27"/>
        <v>180</v>
      </c>
      <c r="X41" s="583"/>
      <c r="Y41" s="596" t="str">
        <f t="shared" si="19"/>
        <v/>
      </c>
      <c r="Z41" s="598" t="str">
        <f t="shared" si="20"/>
        <v/>
      </c>
      <c r="AA41" s="905"/>
      <c r="AB41" s="596"/>
      <c r="AC41" s="583"/>
      <c r="AD41" s="583"/>
      <c r="AE41" s="583"/>
      <c r="AF41" s="583"/>
      <c r="AG41" s="583"/>
      <c r="AH41" s="583"/>
      <c r="AI41" s="583"/>
      <c r="AJ41" s="583"/>
      <c r="AK41" s="583"/>
      <c r="AL41" s="583"/>
      <c r="AM41" s="583"/>
      <c r="AN41" s="583"/>
    </row>
    <row r="42" spans="1:40" ht="15">
      <c r="A42" s="593"/>
      <c r="B42" s="1043" t="s">
        <v>632</v>
      </c>
      <c r="C42" s="1043" t="s">
        <v>633</v>
      </c>
      <c r="D42" s="1046"/>
      <c r="E42" s="1043" t="s">
        <v>611</v>
      </c>
      <c r="F42" s="1032">
        <f>VALUE(Data.Sard!G40)</f>
        <v>-0.35005523829246937</v>
      </c>
      <c r="G42" s="844">
        <f>Data.Sard!J40</f>
        <v>0</v>
      </c>
      <c r="H42" s="1043">
        <v>4725573</v>
      </c>
      <c r="I42" s="264">
        <f>VALUE(Data.Sard!L40)</f>
        <v>-0.55100000000000005</v>
      </c>
      <c r="J42" s="904">
        <f>Data.Sard!N40</f>
        <v>-0.14380016815205274</v>
      </c>
      <c r="K42" s="595">
        <f t="shared" si="18"/>
        <v>562</v>
      </c>
      <c r="L42" s="591">
        <f t="shared" si="13"/>
        <v>397</v>
      </c>
      <c r="M42" s="591">
        <f t="shared" si="14"/>
        <v>529</v>
      </c>
      <c r="N42" s="591">
        <f t="shared" si="15"/>
        <v>392</v>
      </c>
      <c r="O42" s="591">
        <f t="shared" si="16"/>
        <v>522</v>
      </c>
      <c r="P42" s="596">
        <f t="shared" si="21"/>
        <v>453</v>
      </c>
      <c r="Q42" s="596">
        <f t="shared" si="22"/>
        <v>187</v>
      </c>
      <c r="R42" s="596">
        <f t="shared" si="23"/>
        <v>520</v>
      </c>
      <c r="S42" s="596">
        <f t="shared" si="24"/>
        <v>289</v>
      </c>
      <c r="T42" s="596">
        <f t="shared" si="25"/>
        <v>506</v>
      </c>
      <c r="U42" s="596">
        <f t="shared" si="26"/>
        <v>1955</v>
      </c>
      <c r="V42" s="591">
        <f t="shared" si="17"/>
        <v>692</v>
      </c>
      <c r="W42" s="596">
        <f t="shared" si="27"/>
        <v>692</v>
      </c>
      <c r="X42" s="583"/>
      <c r="Y42" s="596" t="str">
        <f t="shared" si="19"/>
        <v/>
      </c>
      <c r="Z42" s="598" t="str">
        <f t="shared" si="20"/>
        <v/>
      </c>
      <c r="AA42" s="905"/>
      <c r="AB42" s="596"/>
      <c r="AC42" s="583"/>
      <c r="AD42" s="583"/>
      <c r="AE42" s="583"/>
      <c r="AF42" s="583"/>
      <c r="AG42" s="583"/>
      <c r="AH42" s="583"/>
      <c r="AI42" s="583"/>
      <c r="AJ42" s="583"/>
      <c r="AK42" s="583"/>
      <c r="AL42" s="583"/>
      <c r="AM42" s="583"/>
      <c r="AN42" s="583"/>
    </row>
    <row r="43" spans="1:40" ht="15">
      <c r="A43" s="593"/>
      <c r="B43" s="1043" t="s">
        <v>634</v>
      </c>
      <c r="C43" s="1043" t="s">
        <v>635</v>
      </c>
      <c r="D43" s="1046"/>
      <c r="E43" s="1043" t="s">
        <v>611</v>
      </c>
      <c r="F43" s="1032">
        <f>VALUE(Data.Sard!G41)</f>
        <v>-2.5800711314422388E-2</v>
      </c>
      <c r="G43" s="844">
        <f>Data.Sard!J41</f>
        <v>25.498197622825078</v>
      </c>
      <c r="H43" s="1043">
        <v>18490742</v>
      </c>
      <c r="I43" s="264">
        <f>VALUE(Data.Sard!L41)</f>
        <v>0.187</v>
      </c>
      <c r="J43" s="904">
        <f>Data.Sard!N41</f>
        <v>-3.1582153716714439E-2</v>
      </c>
      <c r="K43" s="595">
        <f t="shared" si="18"/>
        <v>467</v>
      </c>
      <c r="L43" s="591">
        <f t="shared" si="13"/>
        <v>20</v>
      </c>
      <c r="M43" s="591">
        <f t="shared" si="14"/>
        <v>408</v>
      </c>
      <c r="N43" s="591">
        <f t="shared" si="15"/>
        <v>241</v>
      </c>
      <c r="O43" s="591">
        <f t="shared" si="16"/>
        <v>463</v>
      </c>
      <c r="P43" s="596">
        <f t="shared" si="21"/>
        <v>358</v>
      </c>
      <c r="Q43" s="596">
        <f t="shared" si="22"/>
        <v>190</v>
      </c>
      <c r="R43" s="596">
        <f t="shared" si="23"/>
        <v>399</v>
      </c>
      <c r="S43" s="596">
        <f t="shared" si="24"/>
        <v>138</v>
      </c>
      <c r="T43" s="596">
        <f t="shared" si="25"/>
        <v>447</v>
      </c>
      <c r="U43" s="596">
        <f t="shared" si="26"/>
        <v>1532</v>
      </c>
      <c r="V43" s="591">
        <f t="shared" si="17"/>
        <v>481</v>
      </c>
      <c r="W43" s="596">
        <f t="shared" si="27"/>
        <v>481</v>
      </c>
      <c r="X43" s="583"/>
      <c r="Y43" s="596" t="str">
        <f t="shared" si="19"/>
        <v/>
      </c>
      <c r="Z43" s="598" t="str">
        <f t="shared" si="20"/>
        <v/>
      </c>
      <c r="AA43" s="905"/>
      <c r="AB43" s="596"/>
      <c r="AC43" s="583"/>
      <c r="AD43" s="583"/>
      <c r="AE43" s="583"/>
      <c r="AF43" s="583"/>
      <c r="AG43" s="583"/>
      <c r="AH43" s="583"/>
      <c r="AI43" s="583"/>
      <c r="AJ43" s="583"/>
      <c r="AK43" s="583"/>
      <c r="AL43" s="583"/>
      <c r="AM43" s="583"/>
      <c r="AN43" s="583"/>
    </row>
    <row r="44" spans="1:40" ht="15">
      <c r="A44" s="593"/>
      <c r="B44" s="1043" t="s">
        <v>636</v>
      </c>
      <c r="C44" s="1043" t="s">
        <v>637</v>
      </c>
      <c r="D44" s="1046"/>
      <c r="E44" s="1043" t="s">
        <v>611</v>
      </c>
      <c r="F44" s="1032">
        <f>VALUE(Data.Sard!G42)</f>
        <v>3.0853074605930675E-2</v>
      </c>
      <c r="G44" s="844">
        <f>Data.Sard!J42</f>
        <v>54.113590114244573</v>
      </c>
      <c r="H44" s="1043">
        <v>27293801</v>
      </c>
      <c r="I44" s="264">
        <f>VALUE(Data.Sard!L42)</f>
        <v>-2.774</v>
      </c>
      <c r="J44" s="904">
        <f>Data.Sard!N42</f>
        <v>1.2768939935904181E-2</v>
      </c>
      <c r="K44" s="595">
        <f t="shared" si="18"/>
        <v>369</v>
      </c>
      <c r="L44" s="591">
        <f t="shared" si="13"/>
        <v>8</v>
      </c>
      <c r="M44" s="591">
        <f t="shared" si="14"/>
        <v>353</v>
      </c>
      <c r="N44" s="591">
        <f t="shared" si="15"/>
        <v>493</v>
      </c>
      <c r="O44" s="591">
        <f t="shared" si="16"/>
        <v>385</v>
      </c>
      <c r="P44" s="596">
        <f t="shared" si="21"/>
        <v>260</v>
      </c>
      <c r="Q44" s="596">
        <f t="shared" si="22"/>
        <v>202</v>
      </c>
      <c r="R44" s="596">
        <f t="shared" si="23"/>
        <v>344</v>
      </c>
      <c r="S44" s="596">
        <f t="shared" si="24"/>
        <v>390</v>
      </c>
      <c r="T44" s="596">
        <f t="shared" si="25"/>
        <v>369</v>
      </c>
      <c r="U44" s="596">
        <f t="shared" si="26"/>
        <v>1565</v>
      </c>
      <c r="V44" s="591">
        <f t="shared" si="17"/>
        <v>505</v>
      </c>
      <c r="W44" s="596">
        <f t="shared" si="27"/>
        <v>505</v>
      </c>
      <c r="X44" s="583"/>
      <c r="Y44" s="596" t="str">
        <f t="shared" si="19"/>
        <v/>
      </c>
      <c r="Z44" s="598" t="str">
        <f t="shared" si="20"/>
        <v/>
      </c>
      <c r="AA44" s="905"/>
      <c r="AB44" s="596"/>
      <c r="AC44" s="583"/>
      <c r="AD44" s="583"/>
      <c r="AE44" s="583"/>
      <c r="AF44" s="583"/>
      <c r="AG44" s="583"/>
      <c r="AH44" s="583"/>
      <c r="AI44" s="583"/>
      <c r="AJ44" s="583"/>
      <c r="AK44" s="583"/>
      <c r="AL44" s="583"/>
      <c r="AM44" s="583"/>
      <c r="AN44" s="583"/>
    </row>
    <row r="45" spans="1:40" ht="15">
      <c r="A45" s="593"/>
      <c r="B45" s="1043" t="s">
        <v>638</v>
      </c>
      <c r="C45" s="1043" t="s">
        <v>639</v>
      </c>
      <c r="D45" s="1046"/>
      <c r="E45" s="1043" t="s">
        <v>611</v>
      </c>
      <c r="F45" s="1032">
        <f>VALUE(Data.Sard!G43)</f>
        <v>5.0111623299682216E-3</v>
      </c>
      <c r="G45" s="844">
        <f>Data.Sard!J43</f>
        <v>-283.66668886186847</v>
      </c>
      <c r="H45" s="1043">
        <v>147452298</v>
      </c>
      <c r="I45" s="264">
        <f>VALUE(Data.Sard!L43)</f>
        <v>25.341000000000001</v>
      </c>
      <c r="J45" s="904">
        <f>Data.Sard!N43</f>
        <v>9.8633195505035149E-3</v>
      </c>
      <c r="K45" s="595">
        <f t="shared" si="18"/>
        <v>433</v>
      </c>
      <c r="L45" s="591">
        <f t="shared" si="13"/>
        <v>602</v>
      </c>
      <c r="M45" s="591">
        <f t="shared" si="14"/>
        <v>194</v>
      </c>
      <c r="N45" s="591">
        <f t="shared" si="15"/>
        <v>9</v>
      </c>
      <c r="O45" s="591">
        <f t="shared" si="16"/>
        <v>393</v>
      </c>
      <c r="P45" s="596">
        <f t="shared" si="21"/>
        <v>324</v>
      </c>
      <c r="Q45" s="596">
        <f t="shared" si="22"/>
        <v>392</v>
      </c>
      <c r="R45" s="596">
        <f t="shared" si="23"/>
        <v>185</v>
      </c>
      <c r="S45" s="596">
        <f t="shared" si="24"/>
        <v>94</v>
      </c>
      <c r="T45" s="596">
        <f t="shared" si="25"/>
        <v>377</v>
      </c>
      <c r="U45" s="596">
        <f t="shared" si="26"/>
        <v>1372</v>
      </c>
      <c r="V45" s="591">
        <f t="shared" si="17"/>
        <v>397</v>
      </c>
      <c r="W45" s="596">
        <f t="shared" si="27"/>
        <v>397</v>
      </c>
      <c r="X45" s="583"/>
      <c r="Y45" s="596" t="str">
        <f t="shared" si="19"/>
        <v/>
      </c>
      <c r="Z45" s="598" t="str">
        <f t="shared" si="20"/>
        <v/>
      </c>
      <c r="AA45" s="905"/>
      <c r="AB45" s="596"/>
      <c r="AC45" s="583"/>
      <c r="AD45" s="583"/>
      <c r="AE45" s="583"/>
      <c r="AF45" s="583"/>
      <c r="AG45" s="583"/>
      <c r="AH45" s="583"/>
      <c r="AI45" s="583"/>
      <c r="AJ45" s="583"/>
      <c r="AK45" s="583"/>
      <c r="AL45" s="583"/>
      <c r="AM45" s="583"/>
      <c r="AN45" s="583"/>
    </row>
    <row r="46" spans="1:40" ht="15">
      <c r="A46" s="593"/>
      <c r="B46" s="1043" t="s">
        <v>640</v>
      </c>
      <c r="C46" s="1043" t="s">
        <v>641</v>
      </c>
      <c r="D46" s="1046"/>
      <c r="E46" s="1043" t="s">
        <v>611</v>
      </c>
      <c r="F46" s="1032">
        <f>VALUE(Data.Sard!G44)</f>
        <v>1.949956854576616E-2</v>
      </c>
      <c r="G46" s="844">
        <f>Data.Sard!J44</f>
        <v>0.36185819070904646</v>
      </c>
      <c r="H46" s="1043">
        <v>13640623</v>
      </c>
      <c r="I46" s="264">
        <f>VALUE(Data.Sard!L44)</f>
        <v>3.2010000000000001</v>
      </c>
      <c r="J46" s="904">
        <f>Data.Sard!N44</f>
        <v>-4.6079406570165163E-4</v>
      </c>
      <c r="K46" s="595">
        <f t="shared" si="18"/>
        <v>400</v>
      </c>
      <c r="L46" s="591">
        <f t="shared" si="13"/>
        <v>347</v>
      </c>
      <c r="M46" s="591">
        <f t="shared" si="14"/>
        <v>436</v>
      </c>
      <c r="N46" s="591">
        <f t="shared" si="15"/>
        <v>30</v>
      </c>
      <c r="O46" s="591">
        <f t="shared" si="16"/>
        <v>427</v>
      </c>
      <c r="P46" s="596">
        <f t="shared" si="21"/>
        <v>291</v>
      </c>
      <c r="Q46" s="596">
        <f t="shared" si="22"/>
        <v>137</v>
      </c>
      <c r="R46" s="596">
        <f t="shared" si="23"/>
        <v>427</v>
      </c>
      <c r="S46" s="596">
        <f t="shared" si="24"/>
        <v>73</v>
      </c>
      <c r="T46" s="596">
        <f t="shared" si="25"/>
        <v>411</v>
      </c>
      <c r="U46" s="596">
        <f t="shared" si="26"/>
        <v>1339</v>
      </c>
      <c r="V46" s="591">
        <f t="shared" si="17"/>
        <v>382</v>
      </c>
      <c r="W46" s="596">
        <f t="shared" si="27"/>
        <v>382</v>
      </c>
      <c r="X46" s="583"/>
      <c r="Y46" s="596" t="str">
        <f t="shared" si="19"/>
        <v/>
      </c>
      <c r="Z46" s="598" t="str">
        <f t="shared" si="20"/>
        <v/>
      </c>
      <c r="AA46" s="905"/>
      <c r="AB46" s="596"/>
      <c r="AC46" s="583"/>
      <c r="AD46" s="583"/>
      <c r="AE46" s="583"/>
      <c r="AF46" s="583"/>
      <c r="AG46" s="583"/>
      <c r="AH46" s="583"/>
      <c r="AI46" s="583"/>
      <c r="AJ46" s="583"/>
      <c r="AK46" s="583"/>
      <c r="AL46" s="583"/>
      <c r="AM46" s="583"/>
      <c r="AN46" s="583"/>
    </row>
    <row r="47" spans="1:40" ht="15">
      <c r="A47" s="593"/>
      <c r="B47" s="1043" t="s">
        <v>642</v>
      </c>
      <c r="C47" s="1043" t="s">
        <v>643</v>
      </c>
      <c r="D47" s="1046"/>
      <c r="E47" s="1043" t="s">
        <v>570</v>
      </c>
      <c r="F47" s="1032">
        <f>VALUE(Data.Sard!G45)</f>
        <v>0.10822158120496191</v>
      </c>
      <c r="G47" s="844">
        <f>Data.Sard!J45</f>
        <v>0</v>
      </c>
      <c r="H47" s="1043">
        <v>1684361255</v>
      </c>
      <c r="I47" s="264">
        <f>VALUE(Data.Sard!L45)</f>
        <v>1.4410000000000001</v>
      </c>
      <c r="J47" s="904">
        <f>Data.Sard!N45</f>
        <v>5.15324774495299E-2</v>
      </c>
      <c r="K47" s="595">
        <f t="shared" si="18"/>
        <v>216</v>
      </c>
      <c r="L47" s="591">
        <f t="shared" si="13"/>
        <v>397</v>
      </c>
      <c r="M47" s="591">
        <f t="shared" si="14"/>
        <v>44</v>
      </c>
      <c r="N47" s="591">
        <f t="shared" si="15"/>
        <v>65</v>
      </c>
      <c r="O47" s="591">
        <f t="shared" si="16"/>
        <v>275</v>
      </c>
      <c r="P47" s="596">
        <f t="shared" si="21"/>
        <v>107</v>
      </c>
      <c r="Q47" s="596">
        <f t="shared" si="22"/>
        <v>187</v>
      </c>
      <c r="R47" s="596">
        <f t="shared" si="23"/>
        <v>35</v>
      </c>
      <c r="S47" s="596">
        <f t="shared" si="24"/>
        <v>38</v>
      </c>
      <c r="T47" s="596">
        <f t="shared" si="25"/>
        <v>259</v>
      </c>
      <c r="U47" s="596">
        <f t="shared" si="26"/>
        <v>626</v>
      </c>
      <c r="V47" s="591">
        <f t="shared" si="17"/>
        <v>85</v>
      </c>
      <c r="W47" s="596">
        <f t="shared" si="27"/>
        <v>85</v>
      </c>
      <c r="X47" s="583"/>
      <c r="Y47" s="596" t="str">
        <f t="shared" si="19"/>
        <v/>
      </c>
      <c r="Z47" s="598" t="str">
        <f t="shared" si="20"/>
        <v/>
      </c>
      <c r="AA47" s="905"/>
      <c r="AB47" s="596"/>
      <c r="AC47" s="583"/>
      <c r="AD47" s="583"/>
      <c r="AE47" s="583"/>
      <c r="AF47" s="583"/>
      <c r="AG47" s="583"/>
      <c r="AH47" s="583"/>
      <c r="AI47" s="583"/>
      <c r="AJ47" s="583"/>
      <c r="AK47" s="583"/>
      <c r="AL47" s="583"/>
      <c r="AM47" s="583"/>
      <c r="AN47" s="583"/>
    </row>
    <row r="48" spans="1:40" ht="15">
      <c r="A48" s="593"/>
      <c r="B48" s="996" t="s">
        <v>644</v>
      </c>
      <c r="C48" s="1043" t="s">
        <v>645</v>
      </c>
      <c r="D48" s="1046"/>
      <c r="E48" s="1043" t="s">
        <v>570</v>
      </c>
      <c r="F48" s="1032"/>
      <c r="G48" s="844">
        <f>Data.Sard!J46</f>
        <v>2.2970200478492422E-2</v>
      </c>
      <c r="H48" s="1043">
        <v>4933010</v>
      </c>
      <c r="I48" s="264">
        <f>VALUE(Data.Sard!L46)</f>
        <v>-2.9279999999999999</v>
      </c>
      <c r="J48" s="904">
        <f>Data.Sard!N46</f>
        <v>0.1053831609387165</v>
      </c>
      <c r="K48" s="595">
        <f t="shared" si="18"/>
        <v>442</v>
      </c>
      <c r="L48" s="591">
        <f t="shared" si="13"/>
        <v>389</v>
      </c>
      <c r="M48" s="591">
        <f t="shared" si="14"/>
        <v>524</v>
      </c>
      <c r="N48" s="591">
        <f t="shared" si="15"/>
        <v>500</v>
      </c>
      <c r="O48" s="591">
        <f t="shared" si="16"/>
        <v>144</v>
      </c>
      <c r="P48" s="596">
        <f t="shared" si="21"/>
        <v>333</v>
      </c>
      <c r="Q48" s="596">
        <f t="shared" si="22"/>
        <v>179</v>
      </c>
      <c r="R48" s="596">
        <f t="shared" si="23"/>
        <v>515</v>
      </c>
      <c r="S48" s="596">
        <f t="shared" si="24"/>
        <v>397</v>
      </c>
      <c r="T48" s="596">
        <f t="shared" si="25"/>
        <v>128</v>
      </c>
      <c r="U48" s="596">
        <f t="shared" si="26"/>
        <v>1552</v>
      </c>
      <c r="V48" s="591">
        <f t="shared" si="17"/>
        <v>493</v>
      </c>
      <c r="W48" s="596">
        <f t="shared" si="27"/>
        <v>493</v>
      </c>
      <c r="X48" s="583"/>
      <c r="Y48" s="596" t="str">
        <f t="shared" si="19"/>
        <v/>
      </c>
      <c r="Z48" s="598" t="str">
        <f t="shared" si="20"/>
        <v/>
      </c>
      <c r="AA48" s="905"/>
      <c r="AB48" s="596"/>
      <c r="AC48" s="583"/>
      <c r="AD48" s="583"/>
      <c r="AE48" s="583"/>
      <c r="AF48" s="583"/>
      <c r="AG48" s="583"/>
      <c r="AH48" s="583"/>
      <c r="AI48" s="583"/>
      <c r="AJ48" s="583"/>
      <c r="AK48" s="583"/>
      <c r="AL48" s="583"/>
      <c r="AM48" s="583"/>
      <c r="AN48" s="583"/>
    </row>
    <row r="49" spans="1:40" ht="15">
      <c r="A49" s="593"/>
      <c r="B49" s="996" t="s">
        <v>646</v>
      </c>
      <c r="C49" s="1043" t="s">
        <v>647</v>
      </c>
      <c r="D49" s="1046"/>
      <c r="E49" s="1043" t="s">
        <v>648</v>
      </c>
      <c r="F49" s="1032">
        <f>VALUE(Data.Sard!G47)</f>
        <v>0.2666273518555678</v>
      </c>
      <c r="G49" s="844">
        <f>Data.Sard!J47</f>
        <v>-3.8331328923631989</v>
      </c>
      <c r="H49" s="1043">
        <v>30932453</v>
      </c>
      <c r="I49" s="264"/>
      <c r="J49" s="904">
        <f>Data.Sard!N47</f>
        <v>0.35712620809705564</v>
      </c>
      <c r="K49" s="595">
        <f t="shared" si="18"/>
        <v>76</v>
      </c>
      <c r="L49" s="591">
        <f t="shared" si="13"/>
        <v>528</v>
      </c>
      <c r="M49" s="591">
        <f t="shared" si="14"/>
        <v>340</v>
      </c>
      <c r="N49" s="591">
        <f t="shared" si="15"/>
        <v>285</v>
      </c>
      <c r="O49" s="591">
        <f t="shared" si="16"/>
        <v>12</v>
      </c>
      <c r="P49" s="596">
        <f t="shared" si="21"/>
        <v>33</v>
      </c>
      <c r="Q49" s="596">
        <f t="shared" si="22"/>
        <v>318</v>
      </c>
      <c r="R49" s="596">
        <f t="shared" si="23"/>
        <v>331</v>
      </c>
      <c r="S49" s="596">
        <f t="shared" si="24"/>
        <v>182</v>
      </c>
      <c r="T49" s="596">
        <f t="shared" si="25"/>
        <v>4</v>
      </c>
      <c r="U49" s="596">
        <f t="shared" si="26"/>
        <v>868</v>
      </c>
      <c r="V49" s="591">
        <f t="shared" si="17"/>
        <v>175</v>
      </c>
      <c r="W49" s="596">
        <f t="shared" si="27"/>
        <v>175</v>
      </c>
      <c r="X49" s="583"/>
      <c r="Y49" s="596" t="str">
        <f t="shared" si="19"/>
        <v/>
      </c>
      <c r="Z49" s="598" t="str">
        <f t="shared" si="20"/>
        <v/>
      </c>
      <c r="AA49" s="905"/>
      <c r="AB49" s="596"/>
      <c r="AC49" s="583"/>
      <c r="AD49" s="583"/>
      <c r="AE49" s="583"/>
      <c r="AF49" s="583"/>
      <c r="AG49" s="583"/>
      <c r="AH49" s="583"/>
      <c r="AI49" s="583"/>
      <c r="AJ49" s="583"/>
      <c r="AK49" s="583"/>
      <c r="AL49" s="583"/>
      <c r="AM49" s="583"/>
      <c r="AN49" s="583"/>
    </row>
    <row r="50" spans="1:40" ht="15">
      <c r="A50" s="593"/>
      <c r="B50" s="996" t="s">
        <v>649</v>
      </c>
      <c r="C50" s="1043" t="s">
        <v>650</v>
      </c>
      <c r="D50" s="1046"/>
      <c r="E50" s="1043" t="s">
        <v>570</v>
      </c>
      <c r="F50" s="1032">
        <f>VALUE(Data.Sard!G48)</f>
        <v>0.59848258557858891</v>
      </c>
      <c r="G50" s="844">
        <f>Data.Sard!J48</f>
        <v>2.3459302325581395</v>
      </c>
      <c r="H50" s="1043">
        <v>69</v>
      </c>
      <c r="I50" s="264">
        <f>VALUE(Data.Sard!L48)</f>
        <v>4.5</v>
      </c>
      <c r="J50" s="904">
        <f>Data.Sard!N48</f>
        <v>-0.12204310281562661</v>
      </c>
      <c r="K50" s="595">
        <f t="shared" si="18"/>
        <v>24</v>
      </c>
      <c r="L50" s="591">
        <f t="shared" si="13"/>
        <v>219</v>
      </c>
      <c r="M50" s="591">
        <f t="shared" si="14"/>
        <v>668</v>
      </c>
      <c r="N50" s="591">
        <f t="shared" si="15"/>
        <v>25</v>
      </c>
      <c r="O50" s="591">
        <f t="shared" si="16"/>
        <v>516</v>
      </c>
      <c r="P50" s="596">
        <f t="shared" si="21"/>
        <v>85</v>
      </c>
      <c r="Q50" s="596">
        <f t="shared" si="22"/>
        <v>9</v>
      </c>
      <c r="R50" s="596">
        <f t="shared" si="23"/>
        <v>659</v>
      </c>
      <c r="S50" s="596">
        <f t="shared" si="24"/>
        <v>78</v>
      </c>
      <c r="T50" s="596">
        <f t="shared" si="25"/>
        <v>500</v>
      </c>
      <c r="U50" s="596">
        <f t="shared" si="26"/>
        <v>1331</v>
      </c>
      <c r="V50" s="591">
        <f t="shared" si="17"/>
        <v>376</v>
      </c>
      <c r="W50" s="596">
        <f t="shared" si="27"/>
        <v>376</v>
      </c>
      <c r="X50" s="583"/>
      <c r="Y50" s="596" t="str">
        <f t="shared" si="19"/>
        <v/>
      </c>
      <c r="Z50" s="598" t="str">
        <f t="shared" si="20"/>
        <v/>
      </c>
      <c r="AA50" s="905"/>
      <c r="AB50" s="596"/>
      <c r="AC50" s="583"/>
      <c r="AD50" s="583"/>
      <c r="AE50" s="583"/>
      <c r="AF50" s="583"/>
      <c r="AG50" s="583"/>
      <c r="AH50" s="583"/>
      <c r="AI50" s="583"/>
      <c r="AJ50" s="583"/>
      <c r="AK50" s="583"/>
      <c r="AL50" s="583"/>
      <c r="AM50" s="583"/>
      <c r="AN50" s="583"/>
    </row>
    <row r="51" spans="1:40" ht="15">
      <c r="A51" s="593"/>
      <c r="B51" s="1043" t="s">
        <v>651</v>
      </c>
      <c r="C51" s="1043" t="s">
        <v>652</v>
      </c>
      <c r="D51" s="1046"/>
      <c r="E51" s="1043" t="s">
        <v>570</v>
      </c>
      <c r="F51" s="1032">
        <f>VALUE(Data.Sard!G49)</f>
        <v>0.12963722674793413</v>
      </c>
      <c r="G51" s="844">
        <f>Data.Sard!J49</f>
        <v>6.5897309917091373</v>
      </c>
      <c r="H51" s="1043">
        <v>6498078597</v>
      </c>
      <c r="I51" s="264"/>
      <c r="J51" s="904">
        <f>Data.Sard!N49</f>
        <v>0.10076266313722512</v>
      </c>
      <c r="K51" s="595">
        <f t="shared" si="18"/>
        <v>184</v>
      </c>
      <c r="L51" s="591">
        <f t="shared" si="13"/>
        <v>93</v>
      </c>
      <c r="M51" s="591">
        <f t="shared" si="14"/>
        <v>19</v>
      </c>
      <c r="N51" s="591">
        <f t="shared" si="15"/>
        <v>285</v>
      </c>
      <c r="O51" s="591">
        <f t="shared" si="16"/>
        <v>155</v>
      </c>
      <c r="P51" s="596">
        <f t="shared" si="21"/>
        <v>75</v>
      </c>
      <c r="Q51" s="596">
        <f t="shared" si="22"/>
        <v>117</v>
      </c>
      <c r="R51" s="596">
        <f t="shared" si="23"/>
        <v>10</v>
      </c>
      <c r="S51" s="596">
        <f t="shared" si="24"/>
        <v>182</v>
      </c>
      <c r="T51" s="596">
        <f t="shared" si="25"/>
        <v>139</v>
      </c>
      <c r="U51" s="596">
        <f t="shared" si="26"/>
        <v>523</v>
      </c>
      <c r="V51" s="591">
        <f t="shared" si="17"/>
        <v>44</v>
      </c>
      <c r="W51" s="596">
        <f t="shared" si="27"/>
        <v>44</v>
      </c>
      <c r="X51" s="583"/>
      <c r="Y51" s="596" t="str">
        <f t="shared" si="19"/>
        <v/>
      </c>
      <c r="Z51" s="598" t="str">
        <f t="shared" si="20"/>
        <v/>
      </c>
      <c r="AA51" s="905"/>
      <c r="AB51" s="596"/>
      <c r="AC51" s="583"/>
      <c r="AD51" s="583"/>
      <c r="AE51" s="583"/>
      <c r="AF51" s="583"/>
      <c r="AG51" s="583"/>
      <c r="AH51" s="583"/>
      <c r="AI51" s="583"/>
      <c r="AJ51" s="583"/>
      <c r="AK51" s="583"/>
      <c r="AL51" s="583"/>
      <c r="AM51" s="583"/>
      <c r="AN51" s="583"/>
    </row>
    <row r="52" spans="1:40" ht="15">
      <c r="A52" s="593"/>
      <c r="B52" s="996" t="s">
        <v>653</v>
      </c>
      <c r="C52" s="1043" t="s">
        <v>654</v>
      </c>
      <c r="D52" s="1046"/>
      <c r="E52" s="1043" t="s">
        <v>655</v>
      </c>
      <c r="F52" s="1032">
        <f>VALUE(Data.Sard!G50)</f>
        <v>1.9865103616121073E-2</v>
      </c>
      <c r="G52" s="844">
        <f>Data.Sard!J50</f>
        <v>0.74037872742015021</v>
      </c>
      <c r="H52" s="1043">
        <v>9623957</v>
      </c>
      <c r="I52" s="264">
        <f>VALUE(Data.Sard!L50)</f>
        <v>1.026</v>
      </c>
      <c r="J52" s="904">
        <f>Data.Sard!N50</f>
        <v>5.9579918020948676E-2</v>
      </c>
      <c r="K52" s="595">
        <f t="shared" si="18"/>
        <v>399</v>
      </c>
      <c r="L52" s="591">
        <f t="shared" si="13"/>
        <v>312</v>
      </c>
      <c r="M52" s="591">
        <f t="shared" si="14"/>
        <v>471</v>
      </c>
      <c r="N52" s="591">
        <f t="shared" si="15"/>
        <v>98</v>
      </c>
      <c r="O52" s="591">
        <f t="shared" si="16"/>
        <v>243</v>
      </c>
      <c r="P52" s="596">
        <f t="shared" si="21"/>
        <v>290</v>
      </c>
      <c r="Q52" s="596">
        <f t="shared" si="22"/>
        <v>102</v>
      </c>
      <c r="R52" s="596">
        <f t="shared" si="23"/>
        <v>462</v>
      </c>
      <c r="S52" s="596">
        <f t="shared" si="24"/>
        <v>5</v>
      </c>
      <c r="T52" s="596">
        <f t="shared" si="25"/>
        <v>227</v>
      </c>
      <c r="U52" s="596">
        <f t="shared" si="26"/>
        <v>1086</v>
      </c>
      <c r="V52" s="591">
        <f t="shared" si="17"/>
        <v>271</v>
      </c>
      <c r="W52" s="596">
        <f t="shared" si="27"/>
        <v>271</v>
      </c>
      <c r="X52" s="583"/>
      <c r="Y52" s="596" t="str">
        <f t="shared" si="19"/>
        <v/>
      </c>
      <c r="Z52" s="598" t="str">
        <f t="shared" si="20"/>
        <v/>
      </c>
      <c r="AA52" s="905"/>
      <c r="AB52" s="596"/>
      <c r="AC52" s="583"/>
      <c r="AD52" s="583"/>
      <c r="AE52" s="583"/>
      <c r="AF52" s="583"/>
      <c r="AG52" s="583"/>
      <c r="AH52" s="583"/>
      <c r="AI52" s="583"/>
      <c r="AJ52" s="583"/>
      <c r="AK52" s="583"/>
      <c r="AL52" s="583"/>
      <c r="AM52" s="583"/>
      <c r="AN52" s="583"/>
    </row>
    <row r="53" spans="1:40" ht="15">
      <c r="A53" s="593"/>
      <c r="B53" s="1043" t="s">
        <v>656</v>
      </c>
      <c r="C53" s="1043" t="s">
        <v>657</v>
      </c>
      <c r="D53" s="1046"/>
      <c r="E53" s="1043" t="s">
        <v>611</v>
      </c>
      <c r="F53" s="1032">
        <f>VALUE(Data.Sard!G51)</f>
        <v>5.7674188170463117E-2</v>
      </c>
      <c r="G53" s="844">
        <f>Data.Sard!J51</f>
        <v>0.85755636759246356</v>
      </c>
      <c r="H53" s="1043">
        <v>294535590</v>
      </c>
      <c r="I53" s="264">
        <f>VALUE(Data.Sard!L51)</f>
        <v>-1.3660000000000001</v>
      </c>
      <c r="J53" s="904">
        <f>Data.Sard!N51</f>
        <v>5.2524975395520701E-2</v>
      </c>
      <c r="K53" s="595">
        <f t="shared" si="18"/>
        <v>314</v>
      </c>
      <c r="L53" s="591">
        <f t="shared" si="13"/>
        <v>302</v>
      </c>
      <c r="M53" s="591">
        <f t="shared" si="14"/>
        <v>138</v>
      </c>
      <c r="N53" s="591">
        <f t="shared" si="15"/>
        <v>458</v>
      </c>
      <c r="O53" s="591">
        <f t="shared" si="16"/>
        <v>271</v>
      </c>
      <c r="P53" s="596">
        <f t="shared" si="21"/>
        <v>205</v>
      </c>
      <c r="Q53" s="596">
        <f t="shared" si="22"/>
        <v>92</v>
      </c>
      <c r="R53" s="596">
        <f t="shared" si="23"/>
        <v>129</v>
      </c>
      <c r="S53" s="596">
        <f t="shared" si="24"/>
        <v>355</v>
      </c>
      <c r="T53" s="596">
        <f t="shared" si="25"/>
        <v>255</v>
      </c>
      <c r="U53" s="596">
        <f t="shared" si="26"/>
        <v>1036</v>
      </c>
      <c r="V53" s="591">
        <f t="shared" si="17"/>
        <v>256</v>
      </c>
      <c r="W53" s="596">
        <f t="shared" si="27"/>
        <v>256</v>
      </c>
      <c r="X53" s="583"/>
      <c r="Y53" s="596" t="str">
        <f t="shared" si="19"/>
        <v/>
      </c>
      <c r="Z53" s="598" t="str">
        <f t="shared" si="20"/>
        <v/>
      </c>
      <c r="AA53" s="905"/>
      <c r="AB53" s="596"/>
      <c r="AC53" s="583"/>
      <c r="AD53" s="583"/>
      <c r="AE53" s="583"/>
      <c r="AF53" s="583"/>
      <c r="AG53" s="583"/>
      <c r="AH53" s="583"/>
      <c r="AI53" s="583"/>
      <c r="AJ53" s="583"/>
      <c r="AK53" s="583"/>
      <c r="AL53" s="583"/>
      <c r="AM53" s="583"/>
      <c r="AN53" s="583"/>
    </row>
    <row r="54" spans="1:40" ht="15">
      <c r="A54" s="593"/>
      <c r="B54" s="1043" t="s">
        <v>658</v>
      </c>
      <c r="C54" s="1043" t="s">
        <v>659</v>
      </c>
      <c r="D54" s="1046"/>
      <c r="E54" s="1043" t="s">
        <v>603</v>
      </c>
      <c r="F54" s="1032">
        <f>VALUE(Data.Sard!G52)</f>
        <v>0.293829182920119</v>
      </c>
      <c r="G54" s="844">
        <f>Data.Sard!J52</f>
        <v>0.12078138190184559</v>
      </c>
      <c r="H54" s="1043">
        <v>1221315671</v>
      </c>
      <c r="I54" s="264">
        <f>VALUE(Data.Sard!L52)</f>
        <v>9.7000000000000003E-2</v>
      </c>
      <c r="J54" s="904">
        <f>Data.Sard!N52</f>
        <v>0.1345385746661715</v>
      </c>
      <c r="K54" s="595">
        <f t="shared" si="18"/>
        <v>59</v>
      </c>
      <c r="L54" s="591">
        <f t="shared" si="13"/>
        <v>371</v>
      </c>
      <c r="M54" s="591">
        <f t="shared" si="14"/>
        <v>54</v>
      </c>
      <c r="N54" s="591">
        <f t="shared" si="15"/>
        <v>261</v>
      </c>
      <c r="O54" s="591">
        <f t="shared" si="16"/>
        <v>102</v>
      </c>
      <c r="P54" s="596">
        <f t="shared" si="21"/>
        <v>50</v>
      </c>
      <c r="Q54" s="596">
        <f t="shared" si="22"/>
        <v>161</v>
      </c>
      <c r="R54" s="596">
        <f t="shared" si="23"/>
        <v>45</v>
      </c>
      <c r="S54" s="596">
        <f t="shared" si="24"/>
        <v>158</v>
      </c>
      <c r="T54" s="596">
        <f t="shared" si="25"/>
        <v>86</v>
      </c>
      <c r="U54" s="596">
        <f t="shared" si="26"/>
        <v>500</v>
      </c>
      <c r="V54" s="591">
        <f t="shared" si="17"/>
        <v>36</v>
      </c>
      <c r="W54" s="596">
        <f t="shared" si="27"/>
        <v>36</v>
      </c>
      <c r="X54" s="583"/>
      <c r="Y54" s="596" t="str">
        <f t="shared" si="19"/>
        <v/>
      </c>
      <c r="Z54" s="598" t="str">
        <f t="shared" si="20"/>
        <v/>
      </c>
      <c r="AA54" s="905"/>
      <c r="AB54" s="596"/>
      <c r="AC54" s="583"/>
      <c r="AD54" s="583"/>
      <c r="AE54" s="583"/>
      <c r="AF54" s="583"/>
      <c r="AG54" s="583"/>
      <c r="AH54" s="583"/>
      <c r="AI54" s="583"/>
      <c r="AJ54" s="583"/>
      <c r="AK54" s="583"/>
      <c r="AL54" s="583"/>
      <c r="AM54" s="583"/>
      <c r="AN54" s="583"/>
    </row>
    <row r="55" spans="1:40" ht="15">
      <c r="A55" s="593"/>
      <c r="B55" s="1043" t="s">
        <v>660</v>
      </c>
      <c r="C55" s="1043" t="s">
        <v>661</v>
      </c>
      <c r="D55" s="1046"/>
      <c r="E55" s="1043" t="s">
        <v>603</v>
      </c>
      <c r="F55" s="1032">
        <f>VALUE(Data.Sard!G53)</f>
        <v>4.8135264866803529E-2</v>
      </c>
      <c r="G55" s="844">
        <f>Data.Sard!J53</f>
        <v>5.7212783094981567</v>
      </c>
      <c r="H55" s="1043">
        <v>7395694</v>
      </c>
      <c r="I55" s="264">
        <f>VALUE(Data.Sard!L53)</f>
        <v>0.24199999999999999</v>
      </c>
      <c r="J55" s="904">
        <f>Data.Sard!N53</f>
        <v>8.9212217497316296E-2</v>
      </c>
      <c r="K55" s="595">
        <f t="shared" si="18"/>
        <v>337</v>
      </c>
      <c r="L55" s="591">
        <f t="shared" si="13"/>
        <v>110</v>
      </c>
      <c r="M55" s="591">
        <f t="shared" si="14"/>
        <v>495</v>
      </c>
      <c r="N55" s="591">
        <f t="shared" si="15"/>
        <v>224</v>
      </c>
      <c r="O55" s="591">
        <f t="shared" si="16"/>
        <v>178</v>
      </c>
      <c r="P55" s="596">
        <f t="shared" si="21"/>
        <v>228</v>
      </c>
      <c r="Q55" s="596">
        <f t="shared" si="22"/>
        <v>100</v>
      </c>
      <c r="R55" s="596">
        <f t="shared" si="23"/>
        <v>486</v>
      </c>
      <c r="S55" s="596">
        <f t="shared" si="24"/>
        <v>121</v>
      </c>
      <c r="T55" s="596">
        <f t="shared" si="25"/>
        <v>162</v>
      </c>
      <c r="U55" s="596">
        <f t="shared" si="26"/>
        <v>1097</v>
      </c>
      <c r="V55" s="591">
        <f t="shared" si="17"/>
        <v>274</v>
      </c>
      <c r="W55" s="596">
        <f t="shared" si="27"/>
        <v>274</v>
      </c>
      <c r="X55" s="583"/>
      <c r="Y55" s="596" t="str">
        <f t="shared" si="19"/>
        <v/>
      </c>
      <c r="Z55" s="598" t="str">
        <f t="shared" si="20"/>
        <v/>
      </c>
      <c r="AA55" s="905"/>
      <c r="AB55" s="596"/>
      <c r="AC55" s="583"/>
      <c r="AD55" s="583"/>
      <c r="AE55" s="583"/>
      <c r="AF55" s="583"/>
      <c r="AG55" s="583"/>
      <c r="AH55" s="583"/>
      <c r="AI55" s="583"/>
      <c r="AJ55" s="583"/>
      <c r="AK55" s="583"/>
      <c r="AL55" s="583"/>
      <c r="AM55" s="583"/>
      <c r="AN55" s="583"/>
    </row>
    <row r="56" spans="1:40" ht="15">
      <c r="A56" s="593"/>
      <c r="B56" s="1043" t="s">
        <v>662</v>
      </c>
      <c r="C56" s="1043" t="s">
        <v>663</v>
      </c>
      <c r="D56" s="1046"/>
      <c r="E56" s="1043" t="s">
        <v>603</v>
      </c>
      <c r="F56" s="1032">
        <f>VALUE(Data.Sard!G54)</f>
        <v>7.4679562123315557E-2</v>
      </c>
      <c r="G56" s="844"/>
      <c r="H56" s="1043">
        <v>15783066</v>
      </c>
      <c r="I56" s="264">
        <f>VALUE(Data.Sard!L54)</f>
        <v>0.65900000000000003</v>
      </c>
      <c r="J56" s="904">
        <f>Data.Sard!N54</f>
        <v>6.4378270214268549E-2</v>
      </c>
      <c r="K56" s="595">
        <f t="shared" si="18"/>
        <v>276</v>
      </c>
      <c r="L56" s="591">
        <f t="shared" si="13"/>
        <v>397</v>
      </c>
      <c r="M56" s="591">
        <f t="shared" si="14"/>
        <v>426</v>
      </c>
      <c r="N56" s="591">
        <f t="shared" si="15"/>
        <v>144</v>
      </c>
      <c r="O56" s="591">
        <f t="shared" si="16"/>
        <v>231</v>
      </c>
      <c r="P56" s="596">
        <f t="shared" si="21"/>
        <v>167</v>
      </c>
      <c r="Q56" s="596">
        <f t="shared" si="22"/>
        <v>187</v>
      </c>
      <c r="R56" s="596">
        <f t="shared" si="23"/>
        <v>417</v>
      </c>
      <c r="S56" s="596">
        <f t="shared" si="24"/>
        <v>41</v>
      </c>
      <c r="T56" s="596">
        <f t="shared" si="25"/>
        <v>215</v>
      </c>
      <c r="U56" s="596">
        <f t="shared" si="26"/>
        <v>1027</v>
      </c>
      <c r="V56" s="591">
        <f t="shared" si="17"/>
        <v>251</v>
      </c>
      <c r="W56" s="596">
        <f t="shared" si="27"/>
        <v>251</v>
      </c>
      <c r="X56" s="583"/>
      <c r="Y56" s="596" t="str">
        <f t="shared" si="19"/>
        <v/>
      </c>
      <c r="Z56" s="598" t="str">
        <f t="shared" si="20"/>
        <v/>
      </c>
      <c r="AA56" s="905"/>
      <c r="AB56" s="596"/>
      <c r="AC56" s="583"/>
      <c r="AD56" s="583"/>
      <c r="AE56" s="583"/>
      <c r="AF56" s="583"/>
      <c r="AG56" s="583"/>
      <c r="AH56" s="583"/>
      <c r="AI56" s="583"/>
      <c r="AJ56" s="583"/>
      <c r="AK56" s="583"/>
      <c r="AL56" s="583"/>
      <c r="AM56" s="583"/>
      <c r="AN56" s="583"/>
    </row>
    <row r="57" spans="1:40" ht="15">
      <c r="A57" s="593"/>
      <c r="B57" s="996" t="s">
        <v>664</v>
      </c>
      <c r="C57" s="1043" t="s">
        <v>665</v>
      </c>
      <c r="D57" s="1046"/>
      <c r="E57" s="1043" t="s">
        <v>603</v>
      </c>
      <c r="F57" s="1032"/>
      <c r="G57" s="844">
        <f>Data.Sard!J55</f>
        <v>1.5491446413597325</v>
      </c>
      <c r="H57" s="1043">
        <v>706634</v>
      </c>
      <c r="I57" s="264">
        <f>VALUE(Data.Sard!L55)</f>
        <v>-0.05</v>
      </c>
      <c r="J57" s="904"/>
      <c r="K57" s="595">
        <f t="shared" si="18"/>
        <v>442</v>
      </c>
      <c r="L57" s="591">
        <f t="shared" si="13"/>
        <v>266</v>
      </c>
      <c r="M57" s="591">
        <f t="shared" si="14"/>
        <v>622</v>
      </c>
      <c r="N57" s="591">
        <f t="shared" si="15"/>
        <v>301</v>
      </c>
      <c r="O57" s="591">
        <f t="shared" si="16"/>
        <v>419</v>
      </c>
      <c r="P57" s="596">
        <f t="shared" si="21"/>
        <v>333</v>
      </c>
      <c r="Q57" s="596">
        <f t="shared" si="22"/>
        <v>56</v>
      </c>
      <c r="R57" s="596">
        <f t="shared" si="23"/>
        <v>613</v>
      </c>
      <c r="S57" s="596">
        <f t="shared" si="24"/>
        <v>198</v>
      </c>
      <c r="T57" s="596">
        <f t="shared" si="25"/>
        <v>403</v>
      </c>
      <c r="U57" s="596">
        <f t="shared" si="26"/>
        <v>1603</v>
      </c>
      <c r="V57" s="591">
        <f t="shared" si="17"/>
        <v>531</v>
      </c>
      <c r="W57" s="596">
        <f t="shared" si="27"/>
        <v>531</v>
      </c>
      <c r="X57" s="583"/>
      <c r="Y57" s="596" t="str">
        <f t="shared" si="19"/>
        <v/>
      </c>
      <c r="Z57" s="598" t="str">
        <f t="shared" si="20"/>
        <v/>
      </c>
      <c r="AA57" s="905"/>
      <c r="AB57" s="596"/>
      <c r="AC57" s="583"/>
      <c r="AD57" s="583"/>
      <c r="AE57" s="583"/>
      <c r="AF57" s="583"/>
      <c r="AG57" s="583"/>
      <c r="AH57" s="583"/>
      <c r="AI57" s="583"/>
      <c r="AJ57" s="583"/>
      <c r="AK57" s="583"/>
      <c r="AL57" s="583"/>
      <c r="AM57" s="583"/>
      <c r="AN57" s="583"/>
    </row>
    <row r="58" spans="1:40" ht="15">
      <c r="A58" s="593"/>
      <c r="B58" s="1043" t="s">
        <v>666</v>
      </c>
      <c r="C58" s="1043" t="s">
        <v>667</v>
      </c>
      <c r="D58" s="1046"/>
      <c r="E58" s="1043" t="s">
        <v>603</v>
      </c>
      <c r="F58" s="1032">
        <f>VALUE(Data.Sard!G56)</f>
        <v>0.23740435409071661</v>
      </c>
      <c r="G58" s="844">
        <f>Data.Sard!J56</f>
        <v>4.7968902345153177</v>
      </c>
      <c r="H58" s="1043">
        <v>919077460</v>
      </c>
      <c r="I58" s="264"/>
      <c r="J58" s="904">
        <f>Data.Sard!N56</f>
        <v>0.10920031504483844</v>
      </c>
      <c r="K58" s="595">
        <f t="shared" si="18"/>
        <v>83</v>
      </c>
      <c r="L58" s="591">
        <f t="shared" si="13"/>
        <v>125</v>
      </c>
      <c r="M58" s="591">
        <f t="shared" si="14"/>
        <v>66</v>
      </c>
      <c r="N58" s="591">
        <f t="shared" si="15"/>
        <v>285</v>
      </c>
      <c r="O58" s="591">
        <f t="shared" si="16"/>
        <v>135</v>
      </c>
      <c r="P58" s="596">
        <f t="shared" si="21"/>
        <v>26</v>
      </c>
      <c r="Q58" s="596">
        <f t="shared" si="22"/>
        <v>85</v>
      </c>
      <c r="R58" s="596">
        <f t="shared" si="23"/>
        <v>57</v>
      </c>
      <c r="S58" s="596">
        <f t="shared" si="24"/>
        <v>182</v>
      </c>
      <c r="T58" s="596">
        <f t="shared" si="25"/>
        <v>119</v>
      </c>
      <c r="U58" s="596">
        <f t="shared" si="26"/>
        <v>469</v>
      </c>
      <c r="V58" s="591">
        <f t="shared" si="17"/>
        <v>31</v>
      </c>
      <c r="W58" s="596">
        <f t="shared" si="27"/>
        <v>31</v>
      </c>
      <c r="X58" s="583"/>
      <c r="Y58" s="596" t="str">
        <f t="shared" si="19"/>
        <v/>
      </c>
      <c r="Z58" s="598" t="str">
        <f t="shared" si="20"/>
        <v/>
      </c>
      <c r="AA58" s="905"/>
      <c r="AB58" s="596"/>
      <c r="AC58" s="583"/>
      <c r="AD58" s="583"/>
      <c r="AE58" s="583"/>
      <c r="AF58" s="583"/>
      <c r="AG58" s="583"/>
      <c r="AH58" s="583"/>
      <c r="AI58" s="583"/>
      <c r="AJ58" s="583"/>
      <c r="AK58" s="583"/>
      <c r="AL58" s="583"/>
      <c r="AM58" s="583"/>
      <c r="AN58" s="583"/>
    </row>
    <row r="59" spans="1:40" ht="15">
      <c r="A59" s="593"/>
      <c r="B59" s="1043" t="s">
        <v>668</v>
      </c>
      <c r="C59" s="1043" t="s">
        <v>669</v>
      </c>
      <c r="D59" s="1046"/>
      <c r="E59" s="1043" t="s">
        <v>570</v>
      </c>
      <c r="F59" s="1032">
        <f>VALUE(Data.Sard!G57)</f>
        <v>4.438417713192807E-2</v>
      </c>
      <c r="G59" s="844">
        <f>Data.Sard!J57</f>
        <v>27.418874358829644</v>
      </c>
      <c r="H59" s="1043">
        <v>280219841</v>
      </c>
      <c r="I59" s="264">
        <f>VALUE(Data.Sard!L57)</f>
        <v>-0.83899999999999997</v>
      </c>
      <c r="J59" s="904">
        <f>Data.Sard!N57</f>
        <v>3.5867712616555802E-2</v>
      </c>
      <c r="K59" s="595">
        <f t="shared" si="18"/>
        <v>343</v>
      </c>
      <c r="L59" s="591">
        <f t="shared" si="13"/>
        <v>18</v>
      </c>
      <c r="M59" s="591">
        <f t="shared" si="14"/>
        <v>140</v>
      </c>
      <c r="N59" s="591">
        <f t="shared" si="15"/>
        <v>423</v>
      </c>
      <c r="O59" s="591">
        <f t="shared" si="16"/>
        <v>320</v>
      </c>
      <c r="P59" s="596">
        <f t="shared" si="21"/>
        <v>234</v>
      </c>
      <c r="Q59" s="596">
        <f t="shared" si="22"/>
        <v>192</v>
      </c>
      <c r="R59" s="596">
        <f t="shared" si="23"/>
        <v>131</v>
      </c>
      <c r="S59" s="596">
        <f t="shared" si="24"/>
        <v>320</v>
      </c>
      <c r="T59" s="596">
        <f t="shared" si="25"/>
        <v>304</v>
      </c>
      <c r="U59" s="596">
        <f t="shared" si="26"/>
        <v>1181</v>
      </c>
      <c r="V59" s="591">
        <f t="shared" si="17"/>
        <v>301</v>
      </c>
      <c r="W59" s="596">
        <f t="shared" si="27"/>
        <v>301</v>
      </c>
      <c r="X59" s="583"/>
      <c r="Y59" s="596" t="str">
        <f t="shared" si="19"/>
        <v/>
      </c>
      <c r="Z59" s="598" t="str">
        <f t="shared" si="20"/>
        <v/>
      </c>
      <c r="AA59" s="905"/>
      <c r="AB59" s="596"/>
      <c r="AC59" s="583"/>
      <c r="AD59" s="583"/>
      <c r="AE59" s="583"/>
      <c r="AF59" s="583"/>
      <c r="AG59" s="583"/>
      <c r="AH59" s="583"/>
      <c r="AI59" s="583"/>
      <c r="AJ59" s="583"/>
      <c r="AK59" s="583"/>
      <c r="AL59" s="583"/>
      <c r="AM59" s="583"/>
      <c r="AN59" s="583"/>
    </row>
    <row r="60" spans="1:40" ht="15">
      <c r="A60" s="593"/>
      <c r="B60" s="1043" t="s">
        <v>670</v>
      </c>
      <c r="C60" s="1043" t="s">
        <v>671</v>
      </c>
      <c r="D60" s="1046"/>
      <c r="E60" s="1043" t="s">
        <v>611</v>
      </c>
      <c r="F60" s="1032">
        <f>VALUE(Data.Sard!G58)</f>
        <v>0.1201612710790978</v>
      </c>
      <c r="G60" s="844"/>
      <c r="H60" s="1043">
        <v>16222791</v>
      </c>
      <c r="I60" s="264">
        <f>VALUE(Data.Sard!L58)</f>
        <v>0.58199999999999996</v>
      </c>
      <c r="J60" s="904">
        <f>Data.Sard!N58</f>
        <v>1.7674721378702143E-2</v>
      </c>
      <c r="K60" s="595">
        <f t="shared" si="18"/>
        <v>195</v>
      </c>
      <c r="L60" s="591">
        <f t="shared" si="13"/>
        <v>397</v>
      </c>
      <c r="M60" s="591">
        <f t="shared" si="14"/>
        <v>424</v>
      </c>
      <c r="N60" s="591">
        <f t="shared" si="15"/>
        <v>163</v>
      </c>
      <c r="O60" s="591">
        <f t="shared" si="16"/>
        <v>371</v>
      </c>
      <c r="P60" s="596">
        <f t="shared" si="21"/>
        <v>86</v>
      </c>
      <c r="Q60" s="596">
        <f t="shared" si="22"/>
        <v>187</v>
      </c>
      <c r="R60" s="596">
        <f t="shared" si="23"/>
        <v>415</v>
      </c>
      <c r="S60" s="596">
        <f t="shared" si="24"/>
        <v>60</v>
      </c>
      <c r="T60" s="596">
        <f t="shared" si="25"/>
        <v>355</v>
      </c>
      <c r="U60" s="596">
        <f t="shared" si="26"/>
        <v>1103</v>
      </c>
      <c r="V60" s="591">
        <f t="shared" si="17"/>
        <v>277</v>
      </c>
      <c r="W60" s="596">
        <f t="shared" si="27"/>
        <v>277</v>
      </c>
      <c r="X60" s="583"/>
      <c r="Y60" s="596" t="str">
        <f t="shared" si="19"/>
        <v/>
      </c>
      <c r="Z60" s="598" t="str">
        <f t="shared" si="20"/>
        <v/>
      </c>
      <c r="AA60" s="905"/>
      <c r="AB60" s="596"/>
      <c r="AC60" s="583"/>
      <c r="AD60" s="583"/>
      <c r="AE60" s="583"/>
      <c r="AF60" s="583"/>
      <c r="AG60" s="583"/>
      <c r="AH60" s="583"/>
      <c r="AI60" s="583"/>
      <c r="AJ60" s="583"/>
      <c r="AK60" s="583"/>
      <c r="AL60" s="583"/>
      <c r="AM60" s="583"/>
      <c r="AN60" s="583"/>
    </row>
    <row r="61" spans="1:40" ht="15">
      <c r="A61" s="593"/>
      <c r="B61" s="996" t="s">
        <v>672</v>
      </c>
      <c r="C61" s="1043" t="s">
        <v>673</v>
      </c>
      <c r="D61" s="1046"/>
      <c r="E61" s="1043" t="s">
        <v>570</v>
      </c>
      <c r="F61" s="1032"/>
      <c r="G61" s="844">
        <f>Data.Sard!J59</f>
        <v>2.8779715511944968</v>
      </c>
      <c r="H61" s="1043">
        <v>4840196</v>
      </c>
      <c r="I61" s="264">
        <f>VALUE(Data.Sard!L59)</f>
        <v>0.91</v>
      </c>
      <c r="J61" s="904"/>
      <c r="K61" s="595">
        <f t="shared" si="18"/>
        <v>442</v>
      </c>
      <c r="L61" s="591">
        <f t="shared" si="13"/>
        <v>188</v>
      </c>
      <c r="M61" s="591">
        <f t="shared" si="14"/>
        <v>528</v>
      </c>
      <c r="N61" s="591">
        <f t="shared" si="15"/>
        <v>116</v>
      </c>
      <c r="O61" s="591">
        <f t="shared" si="16"/>
        <v>419</v>
      </c>
      <c r="P61" s="596">
        <f t="shared" si="21"/>
        <v>333</v>
      </c>
      <c r="Q61" s="596">
        <f t="shared" si="22"/>
        <v>22</v>
      </c>
      <c r="R61" s="596">
        <f t="shared" si="23"/>
        <v>519</v>
      </c>
      <c r="S61" s="596">
        <f t="shared" si="24"/>
        <v>13</v>
      </c>
      <c r="T61" s="596">
        <f t="shared" si="25"/>
        <v>403</v>
      </c>
      <c r="U61" s="596">
        <f t="shared" si="26"/>
        <v>1290</v>
      </c>
      <c r="V61" s="591">
        <f t="shared" si="17"/>
        <v>361</v>
      </c>
      <c r="W61" s="596">
        <f t="shared" si="27"/>
        <v>361</v>
      </c>
      <c r="X61" s="583"/>
      <c r="Y61" s="596" t="str">
        <f t="shared" si="19"/>
        <v/>
      </c>
      <c r="Z61" s="315" t="str">
        <f t="shared" si="20"/>
        <v/>
      </c>
      <c r="AA61" s="905"/>
      <c r="AB61" s="598"/>
      <c r="AC61" s="583"/>
      <c r="AD61" s="583"/>
      <c r="AE61" s="583"/>
      <c r="AF61" s="583"/>
      <c r="AG61" s="583"/>
      <c r="AH61" s="583"/>
      <c r="AI61" s="583"/>
      <c r="AJ61" s="583"/>
      <c r="AK61" s="583"/>
      <c r="AL61" s="583"/>
      <c r="AM61" s="583"/>
      <c r="AN61" s="583"/>
    </row>
    <row r="62" spans="1:40" ht="15">
      <c r="A62" s="593"/>
      <c r="B62" s="996" t="s">
        <v>674</v>
      </c>
      <c r="C62" s="1043" t="s">
        <v>675</v>
      </c>
      <c r="D62" s="1046"/>
      <c r="E62" s="1043" t="s">
        <v>603</v>
      </c>
      <c r="F62" s="1032">
        <f>VALUE(Data.Sard!G60)</f>
        <v>0.12813679512365381</v>
      </c>
      <c r="G62" s="844"/>
      <c r="H62" s="1043">
        <v>9478119</v>
      </c>
      <c r="I62" s="264"/>
      <c r="J62" s="904">
        <f>Data.Sard!N60</f>
        <v>6.2639247781702365E-2</v>
      </c>
      <c r="K62" s="595">
        <f t="shared" si="18"/>
        <v>186</v>
      </c>
      <c r="L62" s="591">
        <f t="shared" si="13"/>
        <v>397</v>
      </c>
      <c r="M62" s="591">
        <f t="shared" si="14"/>
        <v>473</v>
      </c>
      <c r="N62" s="591">
        <f t="shared" si="15"/>
        <v>285</v>
      </c>
      <c r="O62" s="591">
        <f t="shared" si="16"/>
        <v>236</v>
      </c>
      <c r="P62" s="596">
        <f t="shared" si="21"/>
        <v>77</v>
      </c>
      <c r="Q62" s="596">
        <f t="shared" si="22"/>
        <v>187</v>
      </c>
      <c r="R62" s="596">
        <f t="shared" si="23"/>
        <v>464</v>
      </c>
      <c r="S62" s="596">
        <f t="shared" si="24"/>
        <v>182</v>
      </c>
      <c r="T62" s="596">
        <f t="shared" si="25"/>
        <v>220</v>
      </c>
      <c r="U62" s="596">
        <f t="shared" si="26"/>
        <v>1130</v>
      </c>
      <c r="V62" s="591">
        <f t="shared" si="17"/>
        <v>285</v>
      </c>
      <c r="W62" s="596">
        <f t="shared" si="27"/>
        <v>285</v>
      </c>
      <c r="X62" s="583"/>
      <c r="Y62" s="596" t="str">
        <f t="shared" si="19"/>
        <v/>
      </c>
      <c r="Z62" s="598" t="str">
        <f t="shared" si="20"/>
        <v/>
      </c>
      <c r="AA62" s="596"/>
      <c r="AB62" s="596"/>
      <c r="AC62" s="583"/>
      <c r="AD62" s="583"/>
      <c r="AE62" s="583"/>
      <c r="AF62" s="583"/>
      <c r="AG62" s="583"/>
      <c r="AH62" s="583"/>
      <c r="AI62" s="583"/>
      <c r="AJ62" s="583"/>
      <c r="AK62" s="583"/>
      <c r="AL62" s="583"/>
      <c r="AM62" s="583"/>
      <c r="AN62" s="583"/>
    </row>
    <row r="63" spans="1:40" ht="15">
      <c r="A63" s="593"/>
      <c r="B63" s="1043" t="s">
        <v>676</v>
      </c>
      <c r="C63" s="1043" t="s">
        <v>677</v>
      </c>
      <c r="D63" s="994"/>
      <c r="E63" s="1043" t="s">
        <v>678</v>
      </c>
      <c r="F63" s="1032"/>
      <c r="G63" s="844">
        <f>Data.Sard!J61</f>
        <v>-2.2393226853582795</v>
      </c>
      <c r="H63" s="1003">
        <v>0</v>
      </c>
      <c r="I63" s="264">
        <f>VALUE(Data.Sard!L61)</f>
        <v>-0.13200000000000001</v>
      </c>
      <c r="J63" s="904"/>
      <c r="K63" s="595">
        <f t="shared" si="18"/>
        <v>442</v>
      </c>
      <c r="L63" s="591">
        <f t="shared" si="13"/>
        <v>511</v>
      </c>
      <c r="M63" s="591">
        <f t="shared" si="14"/>
        <v>677</v>
      </c>
      <c r="N63" s="591">
        <f t="shared" si="15"/>
        <v>326</v>
      </c>
      <c r="O63" s="591">
        <f t="shared" si="16"/>
        <v>419</v>
      </c>
      <c r="P63" s="596">
        <f t="shared" si="21"/>
        <v>333</v>
      </c>
      <c r="Q63" s="596">
        <f t="shared" si="22"/>
        <v>301</v>
      </c>
      <c r="R63" s="596">
        <f t="shared" si="23"/>
        <v>668</v>
      </c>
      <c r="S63" s="596">
        <f t="shared" si="24"/>
        <v>223</v>
      </c>
      <c r="T63" s="596">
        <f t="shared" si="25"/>
        <v>403</v>
      </c>
      <c r="U63" s="596">
        <f t="shared" si="26"/>
        <v>1928</v>
      </c>
      <c r="V63" s="591">
        <f t="shared" si="17"/>
        <v>687</v>
      </c>
      <c r="W63" s="596">
        <f t="shared" si="27"/>
        <v>687</v>
      </c>
      <c r="X63" s="583"/>
      <c r="Y63" s="596" t="str">
        <f t="shared" si="19"/>
        <v/>
      </c>
      <c r="Z63" s="598" t="str">
        <f t="shared" si="20"/>
        <v/>
      </c>
      <c r="AA63" s="596"/>
      <c r="AB63" s="596"/>
      <c r="AC63" s="583"/>
      <c r="AD63" s="583"/>
      <c r="AE63" s="583"/>
      <c r="AF63" s="583"/>
      <c r="AG63" s="583"/>
      <c r="AH63" s="583"/>
      <c r="AI63" s="583"/>
      <c r="AJ63" s="583"/>
      <c r="AK63" s="583"/>
      <c r="AL63" s="583"/>
      <c r="AM63" s="583"/>
      <c r="AN63" s="583"/>
    </row>
    <row r="64" spans="1:40" ht="15">
      <c r="A64" s="593"/>
      <c r="B64" s="996" t="s">
        <v>679</v>
      </c>
      <c r="C64" s="1043" t="s">
        <v>680</v>
      </c>
      <c r="D64" s="1046"/>
      <c r="E64" s="1043" t="s">
        <v>546</v>
      </c>
      <c r="F64" s="1032">
        <f>VALUE(Data.Sard!G62)</f>
        <v>-5.7868720130865511E-2</v>
      </c>
      <c r="G64" s="844">
        <f>Data.Sard!J62</f>
        <v>3.7889162578570788</v>
      </c>
      <c r="H64" s="1043">
        <v>856260252</v>
      </c>
      <c r="I64" s="264"/>
      <c r="J64" s="904">
        <f>Data.Sard!N62</f>
        <v>-8.4973495944045879E-2</v>
      </c>
      <c r="K64" s="595">
        <f t="shared" si="18"/>
        <v>496</v>
      </c>
      <c r="L64" s="591">
        <f t="shared" si="13"/>
        <v>153</v>
      </c>
      <c r="M64" s="591">
        <f t="shared" si="14"/>
        <v>69</v>
      </c>
      <c r="N64" s="591">
        <f t="shared" si="15"/>
        <v>285</v>
      </c>
      <c r="O64" s="591">
        <f t="shared" si="16"/>
        <v>499</v>
      </c>
      <c r="P64" s="596">
        <f t="shared" si="21"/>
        <v>387</v>
      </c>
      <c r="Q64" s="596">
        <f t="shared" si="22"/>
        <v>57</v>
      </c>
      <c r="R64" s="596">
        <f t="shared" si="23"/>
        <v>60</v>
      </c>
      <c r="S64" s="596">
        <f t="shared" si="24"/>
        <v>182</v>
      </c>
      <c r="T64" s="596">
        <f t="shared" si="25"/>
        <v>483</v>
      </c>
      <c r="U64" s="596">
        <f t="shared" si="26"/>
        <v>1169</v>
      </c>
      <c r="V64" s="591">
        <f t="shared" si="17"/>
        <v>298</v>
      </c>
      <c r="W64" s="596">
        <f t="shared" si="27"/>
        <v>298</v>
      </c>
      <c r="X64" s="583"/>
      <c r="Y64" s="596" t="str">
        <f t="shared" si="19"/>
        <v/>
      </c>
      <c r="Z64" s="598" t="str">
        <f t="shared" si="20"/>
        <v/>
      </c>
      <c r="AA64" s="596"/>
      <c r="AB64" s="596"/>
      <c r="AC64" s="583"/>
      <c r="AD64" s="583"/>
      <c r="AE64" s="583"/>
      <c r="AF64" s="583"/>
      <c r="AG64" s="583"/>
      <c r="AH64" s="583"/>
      <c r="AI64" s="583"/>
      <c r="AJ64" s="583"/>
      <c r="AK64" s="583"/>
      <c r="AL64" s="583"/>
      <c r="AM64" s="583"/>
      <c r="AN64" s="583"/>
    </row>
    <row r="65" spans="1:40" ht="15">
      <c r="A65" s="593"/>
      <c r="B65" s="1043" t="s">
        <v>681</v>
      </c>
      <c r="C65" s="1043" t="s">
        <v>682</v>
      </c>
      <c r="D65" s="1046"/>
      <c r="E65" s="1043" t="s">
        <v>683</v>
      </c>
      <c r="F65" s="1032">
        <f>VALUE(Data.Sard!G63)</f>
        <v>0.11565607695497679</v>
      </c>
      <c r="G65" s="844">
        <f>Data.Sard!J63</f>
        <v>0</v>
      </c>
      <c r="H65" s="1043">
        <v>1155280748</v>
      </c>
      <c r="I65" s="264"/>
      <c r="J65" s="904">
        <f>Data.Sard!N63</f>
        <v>7.801819687115448E-2</v>
      </c>
      <c r="K65" s="595">
        <f t="shared" si="18"/>
        <v>200</v>
      </c>
      <c r="L65" s="591">
        <f t="shared" si="13"/>
        <v>397</v>
      </c>
      <c r="M65" s="591">
        <f t="shared" si="14"/>
        <v>56</v>
      </c>
      <c r="N65" s="591">
        <f t="shared" si="15"/>
        <v>285</v>
      </c>
      <c r="O65" s="591">
        <f t="shared" si="16"/>
        <v>197</v>
      </c>
      <c r="P65" s="596">
        <f t="shared" si="21"/>
        <v>91</v>
      </c>
      <c r="Q65" s="596">
        <f t="shared" si="22"/>
        <v>187</v>
      </c>
      <c r="R65" s="596">
        <f t="shared" si="23"/>
        <v>47</v>
      </c>
      <c r="S65" s="596">
        <f t="shared" si="24"/>
        <v>182</v>
      </c>
      <c r="T65" s="596">
        <f t="shared" si="25"/>
        <v>181</v>
      </c>
      <c r="U65" s="596">
        <f t="shared" si="26"/>
        <v>688</v>
      </c>
      <c r="V65" s="591">
        <f t="shared" si="17"/>
        <v>110</v>
      </c>
      <c r="W65" s="596">
        <f t="shared" si="27"/>
        <v>110</v>
      </c>
      <c r="X65" s="583"/>
      <c r="Y65" s="596" t="str">
        <f t="shared" si="19"/>
        <v/>
      </c>
      <c r="Z65" s="598" t="str">
        <f t="shared" si="20"/>
        <v/>
      </c>
      <c r="AA65" s="596"/>
      <c r="AB65" s="596"/>
      <c r="AC65" s="583"/>
      <c r="AD65" s="583"/>
      <c r="AE65" s="583"/>
      <c r="AF65" s="583"/>
      <c r="AG65" s="583"/>
      <c r="AH65" s="583"/>
      <c r="AI65" s="583"/>
      <c r="AJ65" s="583"/>
      <c r="AK65" s="583"/>
      <c r="AL65" s="583"/>
      <c r="AM65" s="583"/>
      <c r="AN65" s="583"/>
    </row>
    <row r="66" spans="1:40" ht="15">
      <c r="A66" s="593"/>
      <c r="B66" s="1043" t="s">
        <v>684</v>
      </c>
      <c r="C66" s="1043" t="s">
        <v>685</v>
      </c>
      <c r="D66" s="1046"/>
      <c r="E66" s="1043" t="s">
        <v>611</v>
      </c>
      <c r="F66" s="1032">
        <f>VALUE(Data.Sard!G64)</f>
        <v>1.3677217658922488E-2</v>
      </c>
      <c r="G66" s="844">
        <f>Data.Sard!J64</f>
        <v>28.406020692926713</v>
      </c>
      <c r="H66" s="1043">
        <v>216045731</v>
      </c>
      <c r="I66" s="264">
        <f>VALUE(Data.Sard!L64)</f>
        <v>-5.2999999999999999E-2</v>
      </c>
      <c r="J66" s="904">
        <f>Data.Sard!N64</f>
        <v>7.7377338723246133E-2</v>
      </c>
      <c r="K66" s="595">
        <f t="shared" si="18"/>
        <v>414</v>
      </c>
      <c r="L66" s="591">
        <f t="shared" si="13"/>
        <v>17</v>
      </c>
      <c r="M66" s="591">
        <f t="shared" si="14"/>
        <v>169</v>
      </c>
      <c r="N66" s="591">
        <f t="shared" si="15"/>
        <v>302</v>
      </c>
      <c r="O66" s="591">
        <f t="shared" si="16"/>
        <v>203</v>
      </c>
      <c r="P66" s="596">
        <f t="shared" si="21"/>
        <v>305</v>
      </c>
      <c r="Q66" s="596">
        <f t="shared" si="22"/>
        <v>193</v>
      </c>
      <c r="R66" s="596">
        <f t="shared" si="23"/>
        <v>160</v>
      </c>
      <c r="S66" s="596">
        <f t="shared" si="24"/>
        <v>199</v>
      </c>
      <c r="T66" s="596">
        <f t="shared" si="25"/>
        <v>187</v>
      </c>
      <c r="U66" s="596">
        <f t="shared" si="26"/>
        <v>1044</v>
      </c>
      <c r="V66" s="591">
        <f t="shared" si="17"/>
        <v>258</v>
      </c>
      <c r="W66" s="596">
        <f t="shared" si="27"/>
        <v>258</v>
      </c>
      <c r="X66" s="583"/>
      <c r="Y66" s="596" t="str">
        <f t="shared" si="19"/>
        <v/>
      </c>
      <c r="Z66" s="598" t="str">
        <f t="shared" si="20"/>
        <v/>
      </c>
      <c r="AA66" s="596"/>
      <c r="AB66" s="596"/>
      <c r="AC66" s="583"/>
      <c r="AD66" s="583"/>
      <c r="AE66" s="583"/>
      <c r="AF66" s="583"/>
      <c r="AG66" s="583"/>
      <c r="AH66" s="583"/>
      <c r="AI66" s="583"/>
      <c r="AJ66" s="583"/>
      <c r="AK66" s="583"/>
      <c r="AL66" s="583"/>
      <c r="AM66" s="583"/>
      <c r="AN66" s="583"/>
    </row>
    <row r="67" spans="1:40" ht="15">
      <c r="A67" s="593"/>
      <c r="B67" s="1043" t="s">
        <v>686</v>
      </c>
      <c r="C67" s="1043" t="s">
        <v>687</v>
      </c>
      <c r="D67" s="1046"/>
      <c r="E67" s="1043" t="s">
        <v>570</v>
      </c>
      <c r="F67" s="1032">
        <f>VALUE(Data.Sard!G65)</f>
        <v>8.1447397939954924E-3</v>
      </c>
      <c r="G67" s="844">
        <f>Data.Sard!J65</f>
        <v>-47.613333308152413</v>
      </c>
      <c r="H67" s="1043">
        <v>5035166630</v>
      </c>
      <c r="I67" s="264">
        <f>VALUE(Data.Sard!L65)</f>
        <v>0.22900000000000001</v>
      </c>
      <c r="J67" s="904">
        <f>Data.Sard!N65</f>
        <v>2.0150140258644259E-2</v>
      </c>
      <c r="K67" s="595">
        <f t="shared" si="18"/>
        <v>424</v>
      </c>
      <c r="L67" s="591">
        <f t="shared" si="13"/>
        <v>593</v>
      </c>
      <c r="M67" s="591">
        <f t="shared" si="14"/>
        <v>24</v>
      </c>
      <c r="N67" s="591">
        <f t="shared" si="15"/>
        <v>231</v>
      </c>
      <c r="O67" s="591">
        <f t="shared" si="16"/>
        <v>365</v>
      </c>
      <c r="P67" s="596">
        <f t="shared" si="21"/>
        <v>315</v>
      </c>
      <c r="Q67" s="596">
        <f t="shared" si="22"/>
        <v>383</v>
      </c>
      <c r="R67" s="596">
        <f t="shared" si="23"/>
        <v>15</v>
      </c>
      <c r="S67" s="596">
        <f t="shared" si="24"/>
        <v>128</v>
      </c>
      <c r="T67" s="596">
        <f t="shared" si="25"/>
        <v>349</v>
      </c>
      <c r="U67" s="596">
        <f t="shared" si="26"/>
        <v>1190</v>
      </c>
      <c r="V67" s="591">
        <f t="shared" si="17"/>
        <v>303</v>
      </c>
      <c r="W67" s="596">
        <f t="shared" si="27"/>
        <v>303</v>
      </c>
      <c r="X67" s="583"/>
      <c r="Y67" s="596" t="str">
        <f t="shared" ref="Y67:Y98" si="28">IF(OR(Z67="Y",AA67="Y"),"Not suitable","")</f>
        <v/>
      </c>
      <c r="Z67" s="598" t="str">
        <f t="shared" ref="Z67:Z100" si="29">IF(N67="N/A","Y","")</f>
        <v/>
      </c>
      <c r="AA67" s="596"/>
      <c r="AB67" s="596"/>
      <c r="AC67" s="583"/>
      <c r="AD67" s="583"/>
      <c r="AE67" s="583"/>
      <c r="AF67" s="583"/>
      <c r="AG67" s="583"/>
      <c r="AH67" s="583"/>
      <c r="AI67" s="583"/>
      <c r="AJ67" s="583"/>
      <c r="AK67" s="583"/>
      <c r="AL67" s="583"/>
      <c r="AM67" s="583"/>
      <c r="AN67" s="583"/>
    </row>
    <row r="68" spans="1:40" ht="15">
      <c r="A68" s="593"/>
      <c r="B68" s="1043" t="s">
        <v>688</v>
      </c>
      <c r="C68" s="1043" t="s">
        <v>689</v>
      </c>
      <c r="D68" s="1046"/>
      <c r="E68" s="1043" t="s">
        <v>611</v>
      </c>
      <c r="F68" s="1032">
        <f>VALUE(Data.Sard!G66)</f>
        <v>6.5392719640273876E-3</v>
      </c>
      <c r="G68" s="844">
        <f>Data.Sard!J66</f>
        <v>-11.852885626965953</v>
      </c>
      <c r="H68" s="1043">
        <v>47444529</v>
      </c>
      <c r="I68" s="264">
        <f>VALUE(Data.Sard!L66)</f>
        <v>-1.1259999999999999</v>
      </c>
      <c r="J68" s="904">
        <f>Data.Sard!N66</f>
        <v>-7.59442400882176E-3</v>
      </c>
      <c r="K68" s="595">
        <f t="shared" si="18"/>
        <v>428</v>
      </c>
      <c r="L68" s="591">
        <f t="shared" si="13"/>
        <v>569</v>
      </c>
      <c r="M68" s="591">
        <f t="shared" si="14"/>
        <v>301</v>
      </c>
      <c r="N68" s="591">
        <f t="shared" si="15"/>
        <v>445</v>
      </c>
      <c r="O68" s="591">
        <f t="shared" si="16"/>
        <v>438</v>
      </c>
      <c r="P68" s="596">
        <f t="shared" ref="P68:P100" si="30">IFERROR(ABS(K$3-K68),"N/A")</f>
        <v>319</v>
      </c>
      <c r="Q68" s="596">
        <f t="shared" ref="Q68:Q100" si="31">IFERROR(ABS(L$3-L68),"N/A")</f>
        <v>359</v>
      </c>
      <c r="R68" s="596">
        <f t="shared" ref="R68:R100" si="32">IFERROR(ABS(M$3-M68),"N/A")</f>
        <v>292</v>
      </c>
      <c r="S68" s="596">
        <f t="shared" ref="S68:S100" si="33">IFERROR(ABS(N$3-N68),"N/A")</f>
        <v>342</v>
      </c>
      <c r="T68" s="596">
        <f t="shared" ref="T68:T100" si="34">IFERROR(ABS(O$3-O68),"N/A")</f>
        <v>422</v>
      </c>
      <c r="U68" s="596">
        <f t="shared" ref="U68:U99" si="35">SUM(P68:T68)</f>
        <v>1734</v>
      </c>
      <c r="V68" s="591">
        <f t="shared" si="17"/>
        <v>606</v>
      </c>
      <c r="W68" s="596">
        <f t="shared" ref="W68:W99" si="36">IF(Y68="Not suitable","-",V68)</f>
        <v>606</v>
      </c>
      <c r="X68" s="583"/>
      <c r="Y68" s="596" t="str">
        <f t="shared" si="28"/>
        <v/>
      </c>
      <c r="Z68" s="598" t="str">
        <f t="shared" si="29"/>
        <v/>
      </c>
      <c r="AA68" s="596"/>
      <c r="AB68" s="596"/>
      <c r="AC68" s="583"/>
      <c r="AD68" s="583"/>
      <c r="AE68" s="583"/>
      <c r="AF68" s="583"/>
      <c r="AG68" s="583"/>
      <c r="AH68" s="583"/>
      <c r="AI68" s="583"/>
      <c r="AJ68" s="583"/>
      <c r="AK68" s="583"/>
      <c r="AL68" s="583"/>
      <c r="AM68" s="583"/>
      <c r="AN68" s="583"/>
    </row>
    <row r="69" spans="1:40" ht="15">
      <c r="A69" s="593"/>
      <c r="B69" s="1043" t="s">
        <v>690</v>
      </c>
      <c r="C69" s="1043" t="s">
        <v>691</v>
      </c>
      <c r="D69" s="1046"/>
      <c r="E69" s="1043" t="s">
        <v>587</v>
      </c>
      <c r="F69" s="1032">
        <f>VALUE(Data.Sard!G67)</f>
        <v>-8.377463597677999E-2</v>
      </c>
      <c r="G69" s="844">
        <f>Data.Sard!J67</f>
        <v>0.44691379149125565</v>
      </c>
      <c r="H69" s="1043">
        <v>24008999</v>
      </c>
      <c r="I69" s="264">
        <f>VALUE(Data.Sard!L67)</f>
        <v>-6.234</v>
      </c>
      <c r="J69" s="904">
        <f>Data.Sard!N67</f>
        <v>-3.8728551445205602E-2</v>
      </c>
      <c r="K69" s="595">
        <f t="shared" ref="K69:K132" si="37">IFERROR(_xlfn.RANK.EQ(F69,F$3:F$706),"N/A")</f>
        <v>514</v>
      </c>
      <c r="L69" s="591">
        <f t="shared" ref="L69:L132" si="38">IFERROR(_xlfn.RANK.EQ(G69,G$3:G$706),"N/A")</f>
        <v>336</v>
      </c>
      <c r="M69" s="591">
        <f t="shared" ref="M69:M132" si="39">IFERROR(_xlfn.RANK.EQ(H69,H$3:H$706),"N/A")</f>
        <v>370</v>
      </c>
      <c r="N69" s="591">
        <f t="shared" ref="N69:N132" si="40">IFERROR(_xlfn.RANK.EQ(I69,I$3:I$706),"N/A")</f>
        <v>524</v>
      </c>
      <c r="O69" s="591">
        <f t="shared" ref="O69:O132" si="41">IFERROR(_xlfn.RANK.EQ(J69,J$3:J$706),"N/A")</f>
        <v>468</v>
      </c>
      <c r="P69" s="596">
        <f t="shared" si="30"/>
        <v>405</v>
      </c>
      <c r="Q69" s="596">
        <f t="shared" si="31"/>
        <v>126</v>
      </c>
      <c r="R69" s="596">
        <f t="shared" si="32"/>
        <v>361</v>
      </c>
      <c r="S69" s="596">
        <f t="shared" si="33"/>
        <v>421</v>
      </c>
      <c r="T69" s="596">
        <f t="shared" si="34"/>
        <v>452</v>
      </c>
      <c r="U69" s="596">
        <f t="shared" si="35"/>
        <v>1765</v>
      </c>
      <c r="V69" s="591">
        <f t="shared" ref="V69:V132" si="42">_xlfn.RANK.EQ(U69,$U$4:$U$706,1)</f>
        <v>625</v>
      </c>
      <c r="W69" s="596">
        <f t="shared" si="36"/>
        <v>625</v>
      </c>
      <c r="X69" s="583"/>
      <c r="Y69" s="596" t="str">
        <f t="shared" si="28"/>
        <v/>
      </c>
      <c r="Z69" s="598" t="str">
        <f t="shared" si="29"/>
        <v/>
      </c>
      <c r="AA69" s="596"/>
      <c r="AB69" s="596"/>
      <c r="AC69" s="583"/>
      <c r="AD69" s="583"/>
      <c r="AE69" s="583"/>
      <c r="AF69" s="583"/>
      <c r="AG69" s="583"/>
      <c r="AH69" s="583"/>
      <c r="AI69" s="583"/>
      <c r="AJ69" s="583"/>
      <c r="AK69" s="583"/>
      <c r="AL69" s="583"/>
      <c r="AM69" s="583"/>
      <c r="AN69" s="583"/>
    </row>
    <row r="70" spans="1:40" ht="15">
      <c r="A70" s="593"/>
      <c r="B70" s="1043" t="s">
        <v>692</v>
      </c>
      <c r="C70" s="1043" t="s">
        <v>693</v>
      </c>
      <c r="D70" s="1046"/>
      <c r="E70" s="1043" t="s">
        <v>603</v>
      </c>
      <c r="F70" s="1032">
        <f>VALUE(Data.Sard!G68)</f>
        <v>6.6317701804926341E-2</v>
      </c>
      <c r="G70" s="844">
        <f>Data.Sard!J68</f>
        <v>1.3599740604583812</v>
      </c>
      <c r="H70" s="1043">
        <v>158990523</v>
      </c>
      <c r="I70" s="264">
        <f>VALUE(Data.Sard!L68)</f>
        <v>-1.615</v>
      </c>
      <c r="J70" s="904">
        <f>Data.Sard!N68</f>
        <v>0.10043025487817248</v>
      </c>
      <c r="K70" s="595">
        <f t="shared" si="37"/>
        <v>291</v>
      </c>
      <c r="L70" s="591">
        <f t="shared" si="38"/>
        <v>279</v>
      </c>
      <c r="M70" s="591">
        <f t="shared" si="39"/>
        <v>186</v>
      </c>
      <c r="N70" s="591">
        <f t="shared" si="40"/>
        <v>473</v>
      </c>
      <c r="O70" s="591">
        <f t="shared" si="41"/>
        <v>156</v>
      </c>
      <c r="P70" s="596">
        <f t="shared" si="30"/>
        <v>182</v>
      </c>
      <c r="Q70" s="596">
        <f t="shared" si="31"/>
        <v>69</v>
      </c>
      <c r="R70" s="596">
        <f t="shared" si="32"/>
        <v>177</v>
      </c>
      <c r="S70" s="596">
        <f t="shared" si="33"/>
        <v>370</v>
      </c>
      <c r="T70" s="596">
        <f t="shared" si="34"/>
        <v>140</v>
      </c>
      <c r="U70" s="596">
        <f t="shared" si="35"/>
        <v>938</v>
      </c>
      <c r="V70" s="591">
        <f t="shared" si="42"/>
        <v>206</v>
      </c>
      <c r="W70" s="596">
        <f t="shared" si="36"/>
        <v>206</v>
      </c>
      <c r="X70" s="583"/>
      <c r="Y70" s="596" t="str">
        <f t="shared" si="28"/>
        <v/>
      </c>
      <c r="Z70" s="598" t="str">
        <f t="shared" si="29"/>
        <v/>
      </c>
      <c r="AA70" s="596"/>
      <c r="AB70" s="596"/>
      <c r="AC70" s="583"/>
      <c r="AD70" s="583"/>
      <c r="AE70" s="583"/>
      <c r="AF70" s="583"/>
      <c r="AG70" s="583"/>
      <c r="AH70" s="583"/>
      <c r="AI70" s="583"/>
      <c r="AJ70" s="583"/>
      <c r="AK70" s="583"/>
      <c r="AL70" s="583"/>
      <c r="AM70" s="583"/>
      <c r="AN70" s="583"/>
    </row>
    <row r="71" spans="1:40" ht="15">
      <c r="A71" s="593"/>
      <c r="B71" s="996" t="s">
        <v>694</v>
      </c>
      <c r="C71" s="1043" t="s">
        <v>695</v>
      </c>
      <c r="D71" s="1046"/>
      <c r="E71" s="1043" t="s">
        <v>696</v>
      </c>
      <c r="F71" s="1032">
        <f>VALUE(Data.Sard!G69)</f>
        <v>0.14966169819399849</v>
      </c>
      <c r="G71" s="844">
        <f>Data.Sard!J69</f>
        <v>10.1568447779274</v>
      </c>
      <c r="H71" s="1043">
        <v>130210715</v>
      </c>
      <c r="I71" s="264">
        <f>VALUE(Data.Sard!L69)</f>
        <v>4.516</v>
      </c>
      <c r="J71" s="904">
        <f>Data.Sard!N69</f>
        <v>0.25962434454818129</v>
      </c>
      <c r="K71" s="595">
        <f t="shared" si="37"/>
        <v>156</v>
      </c>
      <c r="L71" s="591">
        <f t="shared" si="38"/>
        <v>60</v>
      </c>
      <c r="M71" s="591">
        <f t="shared" si="39"/>
        <v>205</v>
      </c>
      <c r="N71" s="591">
        <f t="shared" si="40"/>
        <v>24</v>
      </c>
      <c r="O71" s="591">
        <f t="shared" si="41"/>
        <v>23</v>
      </c>
      <c r="P71" s="596">
        <f t="shared" si="30"/>
        <v>47</v>
      </c>
      <c r="Q71" s="596">
        <f t="shared" si="31"/>
        <v>150</v>
      </c>
      <c r="R71" s="596">
        <f t="shared" si="32"/>
        <v>196</v>
      </c>
      <c r="S71" s="596">
        <f t="shared" si="33"/>
        <v>79</v>
      </c>
      <c r="T71" s="596">
        <f t="shared" si="34"/>
        <v>7</v>
      </c>
      <c r="U71" s="596">
        <f t="shared" si="35"/>
        <v>479</v>
      </c>
      <c r="V71" s="591">
        <f t="shared" si="42"/>
        <v>32</v>
      </c>
      <c r="W71" s="596">
        <f t="shared" si="36"/>
        <v>32</v>
      </c>
      <c r="X71" s="583"/>
      <c r="Y71" s="596" t="str">
        <f t="shared" si="28"/>
        <v/>
      </c>
      <c r="Z71" s="598" t="str">
        <f t="shared" si="29"/>
        <v/>
      </c>
      <c r="AA71" s="596"/>
      <c r="AB71" s="596"/>
      <c r="AC71" s="583"/>
      <c r="AD71" s="583"/>
      <c r="AE71" s="583"/>
      <c r="AF71" s="583"/>
      <c r="AG71" s="583"/>
      <c r="AH71" s="583"/>
      <c r="AI71" s="583"/>
      <c r="AJ71" s="583"/>
      <c r="AK71" s="583"/>
      <c r="AL71" s="583"/>
      <c r="AM71" s="583"/>
      <c r="AN71" s="583"/>
    </row>
    <row r="72" spans="1:40" ht="15">
      <c r="A72" s="593"/>
      <c r="B72" s="996" t="s">
        <v>697</v>
      </c>
      <c r="C72" s="1043" t="s">
        <v>698</v>
      </c>
      <c r="D72" s="1046"/>
      <c r="E72" s="1043" t="s">
        <v>603</v>
      </c>
      <c r="F72" s="1032">
        <f>VALUE(Data.Sard!G70)</f>
        <v>1.9245687519934197E-2</v>
      </c>
      <c r="G72" s="844"/>
      <c r="H72" s="1043">
        <v>4327634</v>
      </c>
      <c r="I72" s="264">
        <f>VALUE(Data.Sard!L70)</f>
        <v>1.66</v>
      </c>
      <c r="J72" s="904">
        <f>Data.Sard!N70</f>
        <v>1.0914322819011613E-2</v>
      </c>
      <c r="K72" s="595">
        <f t="shared" si="37"/>
        <v>402</v>
      </c>
      <c r="L72" s="591">
        <f t="shared" si="38"/>
        <v>397</v>
      </c>
      <c r="M72" s="591">
        <f t="shared" si="39"/>
        <v>538</v>
      </c>
      <c r="N72" s="591">
        <f t="shared" si="40"/>
        <v>57</v>
      </c>
      <c r="O72" s="591">
        <f t="shared" si="41"/>
        <v>389</v>
      </c>
      <c r="P72" s="596">
        <f t="shared" si="30"/>
        <v>293</v>
      </c>
      <c r="Q72" s="596">
        <f t="shared" si="31"/>
        <v>187</v>
      </c>
      <c r="R72" s="596">
        <f t="shared" si="32"/>
        <v>529</v>
      </c>
      <c r="S72" s="596">
        <f t="shared" si="33"/>
        <v>46</v>
      </c>
      <c r="T72" s="596">
        <f t="shared" si="34"/>
        <v>373</v>
      </c>
      <c r="U72" s="596">
        <f t="shared" si="35"/>
        <v>1428</v>
      </c>
      <c r="V72" s="591">
        <f t="shared" si="42"/>
        <v>423</v>
      </c>
      <c r="W72" s="596">
        <f t="shared" si="36"/>
        <v>423</v>
      </c>
      <c r="X72" s="583"/>
      <c r="Y72" s="596" t="str">
        <f t="shared" si="28"/>
        <v/>
      </c>
      <c r="Z72" s="598" t="str">
        <f t="shared" si="29"/>
        <v/>
      </c>
      <c r="AA72" s="596"/>
      <c r="AB72" s="596"/>
      <c r="AC72" s="583"/>
      <c r="AD72" s="583"/>
      <c r="AE72" s="583"/>
      <c r="AF72" s="583"/>
      <c r="AG72" s="583"/>
      <c r="AH72" s="583"/>
      <c r="AI72" s="583"/>
      <c r="AJ72" s="583"/>
      <c r="AK72" s="583"/>
      <c r="AL72" s="583"/>
      <c r="AM72" s="583"/>
      <c r="AN72" s="583"/>
    </row>
    <row r="73" spans="1:40" ht="15">
      <c r="A73" s="593"/>
      <c r="B73" s="996" t="s">
        <v>699</v>
      </c>
      <c r="C73" s="1043" t="s">
        <v>700</v>
      </c>
      <c r="D73" s="1046"/>
      <c r="E73" s="1043" t="s">
        <v>570</v>
      </c>
      <c r="F73" s="1032"/>
      <c r="G73" s="844">
        <f>Data.Sard!J71</f>
        <v>13.134003305636266</v>
      </c>
      <c r="H73" s="1043">
        <v>897</v>
      </c>
      <c r="I73" s="264">
        <f>VALUE(Data.Sard!L71)</f>
        <v>0.13900000000000001</v>
      </c>
      <c r="J73" s="904"/>
      <c r="K73" s="595">
        <f t="shared" si="37"/>
        <v>442</v>
      </c>
      <c r="L73" s="591">
        <f t="shared" si="38"/>
        <v>48</v>
      </c>
      <c r="M73" s="591">
        <f t="shared" si="39"/>
        <v>664</v>
      </c>
      <c r="N73" s="591">
        <f t="shared" si="40"/>
        <v>252</v>
      </c>
      <c r="O73" s="591">
        <f t="shared" si="41"/>
        <v>419</v>
      </c>
      <c r="P73" s="596">
        <f t="shared" si="30"/>
        <v>333</v>
      </c>
      <c r="Q73" s="596">
        <f t="shared" si="31"/>
        <v>162</v>
      </c>
      <c r="R73" s="596">
        <f t="shared" si="32"/>
        <v>655</v>
      </c>
      <c r="S73" s="596">
        <f t="shared" si="33"/>
        <v>149</v>
      </c>
      <c r="T73" s="596">
        <f t="shared" si="34"/>
        <v>403</v>
      </c>
      <c r="U73" s="596">
        <f t="shared" si="35"/>
        <v>1702</v>
      </c>
      <c r="V73" s="591">
        <f t="shared" si="42"/>
        <v>588</v>
      </c>
      <c r="W73" s="596">
        <f t="shared" si="36"/>
        <v>588</v>
      </c>
      <c r="X73" s="583"/>
      <c r="Y73" s="596" t="str">
        <f t="shared" si="28"/>
        <v/>
      </c>
      <c r="Z73" s="598" t="str">
        <f t="shared" si="29"/>
        <v/>
      </c>
      <c r="AA73" s="596"/>
      <c r="AB73" s="596"/>
      <c r="AC73" s="583"/>
      <c r="AD73" s="583"/>
      <c r="AE73" s="583"/>
      <c r="AF73" s="583"/>
      <c r="AG73" s="583"/>
      <c r="AH73" s="583"/>
      <c r="AI73" s="583"/>
      <c r="AJ73" s="583"/>
      <c r="AK73" s="583"/>
      <c r="AL73" s="583"/>
      <c r="AM73" s="583"/>
      <c r="AN73" s="583"/>
    </row>
    <row r="74" spans="1:40" ht="15">
      <c r="A74" s="593"/>
      <c r="B74" s="1043" t="s">
        <v>701</v>
      </c>
      <c r="C74" s="1043" t="s">
        <v>702</v>
      </c>
      <c r="D74" s="1046"/>
      <c r="E74" s="1043" t="s">
        <v>703</v>
      </c>
      <c r="F74" s="1032">
        <f>VALUE(Data.Sard!G72)</f>
        <v>-1.2624306081232294E-2</v>
      </c>
      <c r="G74" s="844">
        <f>Data.Sard!J72</f>
        <v>-3.8261048580517145</v>
      </c>
      <c r="H74" s="1043">
        <v>25148400</v>
      </c>
      <c r="I74" s="264"/>
      <c r="J74" s="904">
        <f>Data.Sard!N72</f>
        <v>4.2764822610028848E-2</v>
      </c>
      <c r="K74" s="595">
        <f t="shared" si="37"/>
        <v>458</v>
      </c>
      <c r="L74" s="591">
        <f t="shared" si="38"/>
        <v>527</v>
      </c>
      <c r="M74" s="591">
        <f t="shared" si="39"/>
        <v>364</v>
      </c>
      <c r="N74" s="591">
        <f t="shared" si="40"/>
        <v>285</v>
      </c>
      <c r="O74" s="591">
        <f t="shared" si="41"/>
        <v>300</v>
      </c>
      <c r="P74" s="596">
        <f t="shared" si="30"/>
        <v>349</v>
      </c>
      <c r="Q74" s="596">
        <f t="shared" si="31"/>
        <v>317</v>
      </c>
      <c r="R74" s="596">
        <f t="shared" si="32"/>
        <v>355</v>
      </c>
      <c r="S74" s="596">
        <f t="shared" si="33"/>
        <v>182</v>
      </c>
      <c r="T74" s="596">
        <f t="shared" si="34"/>
        <v>284</v>
      </c>
      <c r="U74" s="596">
        <f t="shared" si="35"/>
        <v>1487</v>
      </c>
      <c r="V74" s="591">
        <f t="shared" si="42"/>
        <v>455</v>
      </c>
      <c r="W74" s="596">
        <f t="shared" si="36"/>
        <v>455</v>
      </c>
      <c r="X74" s="583"/>
      <c r="Y74" s="596" t="str">
        <f t="shared" si="28"/>
        <v/>
      </c>
      <c r="Z74" s="598" t="str">
        <f t="shared" si="29"/>
        <v/>
      </c>
      <c r="AA74" s="596"/>
      <c r="AB74" s="596"/>
      <c r="AC74" s="583"/>
      <c r="AD74" s="583"/>
      <c r="AE74" s="583"/>
      <c r="AF74" s="583"/>
      <c r="AG74" s="583"/>
      <c r="AH74" s="583"/>
      <c r="AI74" s="583"/>
      <c r="AJ74" s="583"/>
      <c r="AK74" s="583"/>
      <c r="AL74" s="583"/>
      <c r="AM74" s="583"/>
      <c r="AN74" s="583"/>
    </row>
    <row r="75" spans="1:40" ht="15">
      <c r="A75" s="593"/>
      <c r="B75" s="996" t="s">
        <v>704</v>
      </c>
      <c r="C75" s="1043" t="s">
        <v>705</v>
      </c>
      <c r="D75" s="1046"/>
      <c r="E75" s="1043" t="s">
        <v>706</v>
      </c>
      <c r="F75" s="1032">
        <f>VALUE(Data.Sard!G73)</f>
        <v>-0.61679382293778218</v>
      </c>
      <c r="G75" s="844">
        <f>Data.Sard!J73</f>
        <v>-105.1120111344039</v>
      </c>
      <c r="H75" s="1043">
        <v>29287807</v>
      </c>
      <c r="I75" s="264">
        <f>VALUE(Data.Sard!L73)</f>
        <v>0.82299999999999995</v>
      </c>
      <c r="J75" s="904">
        <f>Data.Sard!N73</f>
        <v>-0.18178108521222172</v>
      </c>
      <c r="K75" s="595">
        <f t="shared" si="37"/>
        <v>585</v>
      </c>
      <c r="L75" s="591">
        <f t="shared" si="38"/>
        <v>598</v>
      </c>
      <c r="M75" s="591">
        <f t="shared" si="39"/>
        <v>345</v>
      </c>
      <c r="N75" s="591">
        <f t="shared" si="40"/>
        <v>124</v>
      </c>
      <c r="O75" s="591">
        <f t="shared" si="41"/>
        <v>530</v>
      </c>
      <c r="P75" s="596">
        <f t="shared" si="30"/>
        <v>476</v>
      </c>
      <c r="Q75" s="596">
        <f t="shared" si="31"/>
        <v>388</v>
      </c>
      <c r="R75" s="596">
        <f t="shared" si="32"/>
        <v>336</v>
      </c>
      <c r="S75" s="596">
        <f t="shared" si="33"/>
        <v>21</v>
      </c>
      <c r="T75" s="596">
        <f t="shared" si="34"/>
        <v>514</v>
      </c>
      <c r="U75" s="596">
        <f t="shared" si="35"/>
        <v>1735</v>
      </c>
      <c r="V75" s="591">
        <f t="shared" si="42"/>
        <v>608</v>
      </c>
      <c r="W75" s="596">
        <f t="shared" si="36"/>
        <v>608</v>
      </c>
      <c r="X75" s="583"/>
      <c r="Y75" s="596" t="str">
        <f t="shared" si="28"/>
        <v/>
      </c>
      <c r="Z75" s="598" t="str">
        <f t="shared" si="29"/>
        <v/>
      </c>
      <c r="AA75" s="596"/>
      <c r="AB75" s="596"/>
      <c r="AC75" s="583"/>
      <c r="AD75" s="583"/>
      <c r="AE75" s="583"/>
      <c r="AF75" s="583"/>
      <c r="AG75" s="583"/>
      <c r="AH75" s="583"/>
      <c r="AI75" s="583"/>
      <c r="AJ75" s="583"/>
      <c r="AK75" s="583"/>
      <c r="AL75" s="583"/>
      <c r="AM75" s="583"/>
      <c r="AN75" s="583"/>
    </row>
    <row r="76" spans="1:40" ht="15">
      <c r="A76" s="593"/>
      <c r="B76" s="996" t="s">
        <v>707</v>
      </c>
      <c r="C76" s="1043" t="s">
        <v>708</v>
      </c>
      <c r="D76" s="1046"/>
      <c r="E76" s="1043" t="s">
        <v>603</v>
      </c>
      <c r="F76" s="1032">
        <f>VALUE(Data.Sard!G74)</f>
        <v>2.3775047901313014E-2</v>
      </c>
      <c r="G76" s="844">
        <f>Data.Sard!J74</f>
        <v>6.353579584689034E-3</v>
      </c>
      <c r="H76" s="1043">
        <v>1930422</v>
      </c>
      <c r="I76" s="264">
        <f>VALUE(Data.Sard!L74)</f>
        <v>-0.42599999999999999</v>
      </c>
      <c r="J76" s="904"/>
      <c r="K76" s="595">
        <f t="shared" si="37"/>
        <v>387</v>
      </c>
      <c r="L76" s="591">
        <f t="shared" si="38"/>
        <v>394</v>
      </c>
      <c r="M76" s="591">
        <f t="shared" si="39"/>
        <v>591</v>
      </c>
      <c r="N76" s="591">
        <f t="shared" si="40"/>
        <v>375</v>
      </c>
      <c r="O76" s="591">
        <f t="shared" si="41"/>
        <v>419</v>
      </c>
      <c r="P76" s="596">
        <f t="shared" si="30"/>
        <v>278</v>
      </c>
      <c r="Q76" s="596">
        <f t="shared" si="31"/>
        <v>184</v>
      </c>
      <c r="R76" s="596">
        <f t="shared" si="32"/>
        <v>582</v>
      </c>
      <c r="S76" s="596">
        <f t="shared" si="33"/>
        <v>272</v>
      </c>
      <c r="T76" s="596">
        <f t="shared" si="34"/>
        <v>403</v>
      </c>
      <c r="U76" s="596">
        <f t="shared" si="35"/>
        <v>1719</v>
      </c>
      <c r="V76" s="591">
        <f t="shared" si="42"/>
        <v>595</v>
      </c>
      <c r="W76" s="596">
        <f t="shared" si="36"/>
        <v>595</v>
      </c>
      <c r="X76" s="583"/>
      <c r="Y76" s="596" t="str">
        <f t="shared" si="28"/>
        <v/>
      </c>
      <c r="Z76" s="598" t="str">
        <f t="shared" si="29"/>
        <v/>
      </c>
      <c r="AA76" s="596"/>
      <c r="AB76" s="596"/>
      <c r="AC76" s="583"/>
      <c r="AD76" s="583"/>
      <c r="AE76" s="583"/>
      <c r="AF76" s="583"/>
      <c r="AG76" s="583"/>
      <c r="AH76" s="583"/>
      <c r="AI76" s="583"/>
      <c r="AJ76" s="583"/>
      <c r="AK76" s="583"/>
      <c r="AL76" s="583"/>
      <c r="AM76" s="583"/>
      <c r="AN76" s="583"/>
    </row>
    <row r="77" spans="1:40" ht="15">
      <c r="A77" s="593"/>
      <c r="B77" s="996" t="s">
        <v>709</v>
      </c>
      <c r="C77" s="1043" t="s">
        <v>710</v>
      </c>
      <c r="D77" s="1046"/>
      <c r="E77" s="1043" t="s">
        <v>603</v>
      </c>
      <c r="F77" s="1032">
        <f>VALUE(Data.Sard!G75)</f>
        <v>0.23003673142812761</v>
      </c>
      <c r="G77" s="844">
        <f>Data.Sard!J75</f>
        <v>4.9581713205124069</v>
      </c>
      <c r="H77" s="1043">
        <v>7693336</v>
      </c>
      <c r="I77" s="264">
        <f>VALUE(Data.Sard!L75)</f>
        <v>0.58299999999999996</v>
      </c>
      <c r="J77" s="904"/>
      <c r="K77" s="595">
        <f t="shared" si="37"/>
        <v>87</v>
      </c>
      <c r="L77" s="591">
        <f t="shared" si="38"/>
        <v>122</v>
      </c>
      <c r="M77" s="591">
        <f t="shared" si="39"/>
        <v>492</v>
      </c>
      <c r="N77" s="591">
        <f t="shared" si="40"/>
        <v>162</v>
      </c>
      <c r="O77" s="591">
        <f t="shared" si="41"/>
        <v>419</v>
      </c>
      <c r="P77" s="596">
        <f t="shared" si="30"/>
        <v>22</v>
      </c>
      <c r="Q77" s="596">
        <f t="shared" si="31"/>
        <v>88</v>
      </c>
      <c r="R77" s="596">
        <f t="shared" si="32"/>
        <v>483</v>
      </c>
      <c r="S77" s="596">
        <f t="shared" si="33"/>
        <v>59</v>
      </c>
      <c r="T77" s="596">
        <f t="shared" si="34"/>
        <v>403</v>
      </c>
      <c r="U77" s="596">
        <f t="shared" si="35"/>
        <v>1055</v>
      </c>
      <c r="V77" s="591">
        <f t="shared" si="42"/>
        <v>259</v>
      </c>
      <c r="W77" s="596">
        <f t="shared" si="36"/>
        <v>259</v>
      </c>
      <c r="X77" s="583"/>
      <c r="Y77" s="596" t="str">
        <f t="shared" si="28"/>
        <v/>
      </c>
      <c r="Z77" s="598" t="str">
        <f t="shared" si="29"/>
        <v/>
      </c>
      <c r="AA77" s="596"/>
      <c r="AB77" s="596"/>
      <c r="AC77" s="583"/>
      <c r="AD77" s="583"/>
      <c r="AE77" s="583"/>
      <c r="AF77" s="583"/>
      <c r="AG77" s="583"/>
      <c r="AH77" s="583"/>
      <c r="AI77" s="583"/>
      <c r="AJ77" s="583"/>
      <c r="AK77" s="583"/>
      <c r="AL77" s="583"/>
      <c r="AM77" s="583"/>
      <c r="AN77" s="583"/>
    </row>
    <row r="78" spans="1:40" ht="15">
      <c r="A78" s="593"/>
      <c r="B78" s="1043" t="s">
        <v>711</v>
      </c>
      <c r="C78" s="1043" t="s">
        <v>712</v>
      </c>
      <c r="D78" s="1046"/>
      <c r="E78" s="1043" t="s">
        <v>596</v>
      </c>
      <c r="F78" s="1032">
        <f>VALUE(Data.Sard!G76)</f>
        <v>0.21420113891647191</v>
      </c>
      <c r="G78" s="844"/>
      <c r="H78" s="1043">
        <v>79754090</v>
      </c>
      <c r="I78" s="264">
        <f>VALUE(Data.Sard!L76)</f>
        <v>0.55100000000000005</v>
      </c>
      <c r="J78" s="904">
        <f>Data.Sard!N76</f>
        <v>0.10666817488007019</v>
      </c>
      <c r="K78" s="595">
        <f t="shared" si="37"/>
        <v>97</v>
      </c>
      <c r="L78" s="591">
        <f t="shared" si="38"/>
        <v>397</v>
      </c>
      <c r="M78" s="591">
        <f t="shared" si="39"/>
        <v>250</v>
      </c>
      <c r="N78" s="591">
        <f t="shared" si="40"/>
        <v>168</v>
      </c>
      <c r="O78" s="591">
        <f t="shared" si="41"/>
        <v>142</v>
      </c>
      <c r="P78" s="596">
        <f t="shared" si="30"/>
        <v>12</v>
      </c>
      <c r="Q78" s="596">
        <f t="shared" si="31"/>
        <v>187</v>
      </c>
      <c r="R78" s="596">
        <f t="shared" si="32"/>
        <v>241</v>
      </c>
      <c r="S78" s="596">
        <f t="shared" si="33"/>
        <v>65</v>
      </c>
      <c r="T78" s="596">
        <f t="shared" si="34"/>
        <v>126</v>
      </c>
      <c r="U78" s="596">
        <f t="shared" si="35"/>
        <v>631</v>
      </c>
      <c r="V78" s="591">
        <f t="shared" si="42"/>
        <v>87</v>
      </c>
      <c r="W78" s="596">
        <f t="shared" si="36"/>
        <v>87</v>
      </c>
      <c r="X78" s="583"/>
      <c r="Y78" s="596" t="str">
        <f t="shared" si="28"/>
        <v/>
      </c>
      <c r="Z78" s="598" t="str">
        <f t="shared" si="29"/>
        <v/>
      </c>
      <c r="AA78" s="596"/>
      <c r="AB78" s="596"/>
      <c r="AC78" s="583"/>
      <c r="AD78" s="583"/>
      <c r="AE78" s="583"/>
      <c r="AF78" s="583"/>
      <c r="AG78" s="583"/>
      <c r="AH78" s="583"/>
      <c r="AI78" s="583"/>
      <c r="AJ78" s="583"/>
      <c r="AK78" s="583"/>
      <c r="AL78" s="583"/>
      <c r="AM78" s="583"/>
      <c r="AN78" s="583"/>
    </row>
    <row r="79" spans="1:40" ht="15">
      <c r="A79" s="593"/>
      <c r="B79" s="996" t="s">
        <v>713</v>
      </c>
      <c r="C79" s="1043" t="s">
        <v>714</v>
      </c>
      <c r="D79" s="1046"/>
      <c r="E79" s="1043" t="s">
        <v>603</v>
      </c>
      <c r="F79" s="1032"/>
      <c r="G79" s="844"/>
      <c r="H79" s="1043">
        <v>2687500</v>
      </c>
      <c r="I79" s="264">
        <f>VALUE(Data.Sard!L77)</f>
        <v>-3.5150000000000001</v>
      </c>
      <c r="J79" s="904"/>
      <c r="K79" s="595">
        <f t="shared" si="37"/>
        <v>442</v>
      </c>
      <c r="L79" s="591">
        <f t="shared" si="38"/>
        <v>397</v>
      </c>
      <c r="M79" s="591">
        <f t="shared" si="39"/>
        <v>570</v>
      </c>
      <c r="N79" s="591">
        <f t="shared" si="40"/>
        <v>508</v>
      </c>
      <c r="O79" s="591">
        <f t="shared" si="41"/>
        <v>419</v>
      </c>
      <c r="P79" s="596">
        <f t="shared" si="30"/>
        <v>333</v>
      </c>
      <c r="Q79" s="596">
        <f t="shared" si="31"/>
        <v>187</v>
      </c>
      <c r="R79" s="596">
        <f t="shared" si="32"/>
        <v>561</v>
      </c>
      <c r="S79" s="596">
        <f t="shared" si="33"/>
        <v>405</v>
      </c>
      <c r="T79" s="596">
        <f t="shared" si="34"/>
        <v>403</v>
      </c>
      <c r="U79" s="596">
        <f t="shared" si="35"/>
        <v>1889</v>
      </c>
      <c r="V79" s="591">
        <f t="shared" si="42"/>
        <v>680</v>
      </c>
      <c r="W79" s="596">
        <f t="shared" si="36"/>
        <v>680</v>
      </c>
      <c r="X79" s="583"/>
      <c r="Y79" s="596" t="str">
        <f t="shared" si="28"/>
        <v/>
      </c>
      <c r="Z79" s="598" t="str">
        <f t="shared" si="29"/>
        <v/>
      </c>
      <c r="AA79" s="596"/>
      <c r="AB79" s="596"/>
      <c r="AC79" s="583"/>
      <c r="AD79" s="583"/>
      <c r="AE79" s="583"/>
      <c r="AF79" s="583"/>
      <c r="AG79" s="583"/>
      <c r="AH79" s="583"/>
      <c r="AI79" s="583"/>
      <c r="AJ79" s="583"/>
      <c r="AK79" s="583"/>
      <c r="AL79" s="583"/>
      <c r="AM79" s="583"/>
      <c r="AN79" s="583"/>
    </row>
    <row r="80" spans="1:40" ht="15">
      <c r="A80" s="593"/>
      <c r="B80" s="996" t="s">
        <v>715</v>
      </c>
      <c r="C80" s="1043" t="s">
        <v>716</v>
      </c>
      <c r="D80" s="1046"/>
      <c r="E80" s="1043" t="s">
        <v>603</v>
      </c>
      <c r="F80" s="1032"/>
      <c r="G80" s="844">
        <f>Data.Sard!J78</f>
        <v>3.3864217984625888</v>
      </c>
      <c r="H80" s="1043">
        <v>245202</v>
      </c>
      <c r="I80" s="264"/>
      <c r="J80" s="904"/>
      <c r="K80" s="595">
        <f t="shared" si="37"/>
        <v>442</v>
      </c>
      <c r="L80" s="591">
        <f t="shared" si="38"/>
        <v>165</v>
      </c>
      <c r="M80" s="591">
        <f t="shared" si="39"/>
        <v>641</v>
      </c>
      <c r="N80" s="591">
        <f t="shared" si="40"/>
        <v>285</v>
      </c>
      <c r="O80" s="591">
        <f t="shared" si="41"/>
        <v>419</v>
      </c>
      <c r="P80" s="596">
        <f t="shared" si="30"/>
        <v>333</v>
      </c>
      <c r="Q80" s="596">
        <f t="shared" si="31"/>
        <v>45</v>
      </c>
      <c r="R80" s="596">
        <f t="shared" si="32"/>
        <v>632</v>
      </c>
      <c r="S80" s="596">
        <f t="shared" si="33"/>
        <v>182</v>
      </c>
      <c r="T80" s="596">
        <f t="shared" si="34"/>
        <v>403</v>
      </c>
      <c r="U80" s="596">
        <f t="shared" si="35"/>
        <v>1595</v>
      </c>
      <c r="V80" s="591">
        <f t="shared" si="42"/>
        <v>523</v>
      </c>
      <c r="W80" s="596">
        <f t="shared" si="36"/>
        <v>523</v>
      </c>
      <c r="X80" s="583"/>
      <c r="Y80" s="596" t="str">
        <f t="shared" si="28"/>
        <v/>
      </c>
      <c r="Z80" s="598" t="str">
        <f t="shared" si="29"/>
        <v/>
      </c>
      <c r="AA80" s="596"/>
      <c r="AB80" s="596"/>
      <c r="AC80" s="583"/>
      <c r="AD80" s="583"/>
      <c r="AE80" s="583"/>
      <c r="AF80" s="583"/>
      <c r="AG80" s="583"/>
      <c r="AH80" s="583"/>
      <c r="AI80" s="583"/>
      <c r="AJ80" s="583"/>
      <c r="AK80" s="583"/>
      <c r="AL80" s="583"/>
      <c r="AM80" s="583"/>
      <c r="AN80" s="583"/>
    </row>
    <row r="81" spans="1:40" ht="15">
      <c r="A81" s="593"/>
      <c r="B81" s="1043" t="s">
        <v>717</v>
      </c>
      <c r="C81" s="1043" t="s">
        <v>718</v>
      </c>
      <c r="D81" s="1046"/>
      <c r="E81" s="1043" t="s">
        <v>603</v>
      </c>
      <c r="F81" s="1032">
        <f>VALUE(Data.Sard!G79)</f>
        <v>5.7242158034818816E-2</v>
      </c>
      <c r="G81" s="844">
        <f>Data.Sard!J79</f>
        <v>0.80796871700299844</v>
      </c>
      <c r="H81" s="1043">
        <v>37138336</v>
      </c>
      <c r="I81" s="264"/>
      <c r="J81" s="904">
        <f>Data.Sard!N79</f>
        <v>0.10842652550997743</v>
      </c>
      <c r="K81" s="595">
        <f t="shared" si="37"/>
        <v>316</v>
      </c>
      <c r="L81" s="591">
        <f t="shared" si="38"/>
        <v>307</v>
      </c>
      <c r="M81" s="591">
        <f t="shared" si="39"/>
        <v>326</v>
      </c>
      <c r="N81" s="591">
        <f t="shared" si="40"/>
        <v>285</v>
      </c>
      <c r="O81" s="591">
        <f t="shared" si="41"/>
        <v>136</v>
      </c>
      <c r="P81" s="596">
        <f t="shared" si="30"/>
        <v>207</v>
      </c>
      <c r="Q81" s="596">
        <f t="shared" si="31"/>
        <v>97</v>
      </c>
      <c r="R81" s="596">
        <f t="shared" si="32"/>
        <v>317</v>
      </c>
      <c r="S81" s="596">
        <f t="shared" si="33"/>
        <v>182</v>
      </c>
      <c r="T81" s="596">
        <f t="shared" si="34"/>
        <v>120</v>
      </c>
      <c r="U81" s="596">
        <f t="shared" si="35"/>
        <v>923</v>
      </c>
      <c r="V81" s="591">
        <f t="shared" si="42"/>
        <v>192</v>
      </c>
      <c r="W81" s="596">
        <f t="shared" si="36"/>
        <v>192</v>
      </c>
      <c r="X81" s="583"/>
      <c r="Y81" s="596" t="str">
        <f t="shared" si="28"/>
        <v/>
      </c>
      <c r="Z81" s="598" t="str">
        <f t="shared" si="29"/>
        <v/>
      </c>
      <c r="AA81" s="596"/>
      <c r="AB81" s="596"/>
      <c r="AC81" s="583"/>
      <c r="AD81" s="583"/>
      <c r="AE81" s="583"/>
      <c r="AF81" s="583"/>
      <c r="AG81" s="583"/>
      <c r="AH81" s="583"/>
      <c r="AI81" s="583"/>
      <c r="AJ81" s="583"/>
      <c r="AK81" s="583"/>
      <c r="AL81" s="583"/>
      <c r="AM81" s="583"/>
      <c r="AN81" s="583"/>
    </row>
    <row r="82" spans="1:40" ht="15">
      <c r="A82" s="593"/>
      <c r="B82" s="1043" t="s">
        <v>719</v>
      </c>
      <c r="C82" s="1043" t="s">
        <v>720</v>
      </c>
      <c r="D82" s="1046"/>
      <c r="E82" s="1043" t="s">
        <v>562</v>
      </c>
      <c r="F82" s="1032">
        <f>VALUE(Data.Sard!G80)</f>
        <v>1.447360645177234E-2</v>
      </c>
      <c r="G82" s="844">
        <f>Data.Sard!J80</f>
        <v>1.8202818500589477</v>
      </c>
      <c r="H82" s="1043">
        <v>106101512</v>
      </c>
      <c r="I82" s="264">
        <f>VALUE(Data.Sard!L80)</f>
        <v>0.63300000000000001</v>
      </c>
      <c r="J82" s="904">
        <f>Data.Sard!N80</f>
        <v>2.0561765603933694E-2</v>
      </c>
      <c r="K82" s="595">
        <f t="shared" si="37"/>
        <v>410</v>
      </c>
      <c r="L82" s="591">
        <f t="shared" si="38"/>
        <v>250</v>
      </c>
      <c r="M82" s="591">
        <f t="shared" si="39"/>
        <v>222</v>
      </c>
      <c r="N82" s="591">
        <f t="shared" si="40"/>
        <v>152</v>
      </c>
      <c r="O82" s="591">
        <f t="shared" si="41"/>
        <v>364</v>
      </c>
      <c r="P82" s="596">
        <f t="shared" si="30"/>
        <v>301</v>
      </c>
      <c r="Q82" s="596">
        <f t="shared" si="31"/>
        <v>40</v>
      </c>
      <c r="R82" s="596">
        <f t="shared" si="32"/>
        <v>213</v>
      </c>
      <c r="S82" s="596">
        <f t="shared" si="33"/>
        <v>49</v>
      </c>
      <c r="T82" s="596">
        <f t="shared" si="34"/>
        <v>348</v>
      </c>
      <c r="U82" s="596">
        <f t="shared" si="35"/>
        <v>951</v>
      </c>
      <c r="V82" s="591">
        <f t="shared" si="42"/>
        <v>213</v>
      </c>
      <c r="W82" s="596">
        <f t="shared" si="36"/>
        <v>213</v>
      </c>
      <c r="X82" s="583"/>
      <c r="Y82" s="596" t="str">
        <f t="shared" si="28"/>
        <v/>
      </c>
      <c r="Z82" s="598" t="str">
        <f t="shared" si="29"/>
        <v/>
      </c>
      <c r="AA82" s="596"/>
      <c r="AB82" s="596"/>
      <c r="AC82" s="583"/>
      <c r="AD82" s="583"/>
      <c r="AE82" s="583"/>
      <c r="AF82" s="583"/>
      <c r="AG82" s="583"/>
      <c r="AH82" s="583"/>
      <c r="AI82" s="583"/>
      <c r="AJ82" s="583"/>
      <c r="AK82" s="583"/>
      <c r="AL82" s="583"/>
      <c r="AM82" s="583"/>
      <c r="AN82" s="583"/>
    </row>
    <row r="83" spans="1:40" ht="15">
      <c r="A83" s="593"/>
      <c r="B83" s="1043" t="s">
        <v>721</v>
      </c>
      <c r="C83" s="1043" t="s">
        <v>722</v>
      </c>
      <c r="D83" s="1046"/>
      <c r="E83" s="1043" t="s">
        <v>706</v>
      </c>
      <c r="F83" s="1032">
        <f>VALUE(Data.Sard!G81)</f>
        <v>0.10307861152201842</v>
      </c>
      <c r="G83" s="844">
        <f>Data.Sard!J81</f>
        <v>2.2028910243182498</v>
      </c>
      <c r="H83" s="1043">
        <v>276758746</v>
      </c>
      <c r="I83" s="264">
        <f>VALUE(Data.Sard!L81)</f>
        <v>-170.90700000000001</v>
      </c>
      <c r="J83" s="904">
        <f>Data.Sard!N81</f>
        <v>7.7180483663278177E-2</v>
      </c>
      <c r="K83" s="595">
        <f t="shared" si="37"/>
        <v>227</v>
      </c>
      <c r="L83" s="591">
        <f t="shared" si="38"/>
        <v>228</v>
      </c>
      <c r="M83" s="591">
        <f t="shared" si="39"/>
        <v>142</v>
      </c>
      <c r="N83" s="591">
        <f t="shared" si="40"/>
        <v>543</v>
      </c>
      <c r="O83" s="591">
        <f t="shared" si="41"/>
        <v>204</v>
      </c>
      <c r="P83" s="596">
        <f t="shared" si="30"/>
        <v>118</v>
      </c>
      <c r="Q83" s="596">
        <f t="shared" si="31"/>
        <v>18</v>
      </c>
      <c r="R83" s="596">
        <f t="shared" si="32"/>
        <v>133</v>
      </c>
      <c r="S83" s="596">
        <f t="shared" si="33"/>
        <v>440</v>
      </c>
      <c r="T83" s="596">
        <f t="shared" si="34"/>
        <v>188</v>
      </c>
      <c r="U83" s="596">
        <f t="shared" si="35"/>
        <v>897</v>
      </c>
      <c r="V83" s="591">
        <f t="shared" si="42"/>
        <v>183</v>
      </c>
      <c r="W83" s="596">
        <f t="shared" si="36"/>
        <v>183</v>
      </c>
      <c r="X83" s="583"/>
      <c r="Y83" s="596" t="str">
        <f t="shared" si="28"/>
        <v/>
      </c>
      <c r="Z83" s="598" t="str">
        <f t="shared" si="29"/>
        <v/>
      </c>
      <c r="AA83" s="596"/>
      <c r="AB83" s="596"/>
      <c r="AC83" s="583"/>
      <c r="AD83" s="583"/>
      <c r="AE83" s="583"/>
      <c r="AF83" s="583"/>
      <c r="AG83" s="583"/>
      <c r="AH83" s="583"/>
      <c r="AI83" s="583"/>
      <c r="AJ83" s="583"/>
      <c r="AK83" s="583"/>
      <c r="AL83" s="583"/>
      <c r="AM83" s="583"/>
      <c r="AN83" s="583"/>
    </row>
    <row r="84" spans="1:40" ht="15">
      <c r="A84" s="593"/>
      <c r="B84" s="1043" t="s">
        <v>723</v>
      </c>
      <c r="C84" s="1043" t="s">
        <v>724</v>
      </c>
      <c r="D84" s="1046"/>
      <c r="E84" s="1043" t="s">
        <v>603</v>
      </c>
      <c r="F84" s="1032">
        <f>VALUE(Data.Sard!G82)</f>
        <v>0.1687096772156525</v>
      </c>
      <c r="G84" s="844">
        <f>Data.Sard!J82</f>
        <v>-17.849043787444693</v>
      </c>
      <c r="H84" s="1043">
        <v>396356983</v>
      </c>
      <c r="I84" s="264">
        <f>VALUE(Data.Sard!L82)</f>
        <v>-0.86699999999999999</v>
      </c>
      <c r="J84" s="904">
        <f>Data.Sard!N82</f>
        <v>9.9939961338303532E-2</v>
      </c>
      <c r="K84" s="595">
        <f t="shared" si="37"/>
        <v>139</v>
      </c>
      <c r="L84" s="591">
        <f t="shared" si="38"/>
        <v>580</v>
      </c>
      <c r="M84" s="591">
        <f t="shared" si="39"/>
        <v>115</v>
      </c>
      <c r="N84" s="591">
        <f t="shared" si="40"/>
        <v>425</v>
      </c>
      <c r="O84" s="591">
        <f t="shared" si="41"/>
        <v>158</v>
      </c>
      <c r="P84" s="596">
        <f t="shared" si="30"/>
        <v>30</v>
      </c>
      <c r="Q84" s="596">
        <f t="shared" si="31"/>
        <v>370</v>
      </c>
      <c r="R84" s="596">
        <f t="shared" si="32"/>
        <v>106</v>
      </c>
      <c r="S84" s="596">
        <f t="shared" si="33"/>
        <v>322</v>
      </c>
      <c r="T84" s="596">
        <f t="shared" si="34"/>
        <v>142</v>
      </c>
      <c r="U84" s="596">
        <f t="shared" si="35"/>
        <v>970</v>
      </c>
      <c r="V84" s="591">
        <f t="shared" si="42"/>
        <v>226</v>
      </c>
      <c r="W84" s="596">
        <f t="shared" si="36"/>
        <v>226</v>
      </c>
      <c r="X84" s="583"/>
      <c r="Y84" s="596" t="str">
        <f t="shared" si="28"/>
        <v/>
      </c>
      <c r="Z84" s="598" t="str">
        <f t="shared" si="29"/>
        <v/>
      </c>
      <c r="AA84" s="596"/>
      <c r="AB84" s="596"/>
      <c r="AC84" s="583"/>
      <c r="AD84" s="583"/>
      <c r="AE84" s="583"/>
      <c r="AF84" s="583"/>
      <c r="AG84" s="583"/>
      <c r="AH84" s="583"/>
      <c r="AI84" s="583"/>
      <c r="AJ84" s="583"/>
      <c r="AK84" s="583"/>
      <c r="AL84" s="583"/>
      <c r="AM84" s="583"/>
      <c r="AN84" s="583"/>
    </row>
    <row r="85" spans="1:40" ht="15">
      <c r="A85" s="593"/>
      <c r="B85" s="996" t="s">
        <v>725</v>
      </c>
      <c r="C85" s="1043" t="s">
        <v>726</v>
      </c>
      <c r="D85" s="1046"/>
      <c r="E85" s="1043" t="s">
        <v>727</v>
      </c>
      <c r="F85" s="1032">
        <f>VALUE(Data.Sard!G83)</f>
        <v>-0.69661572339787314</v>
      </c>
      <c r="G85" s="844">
        <f>Data.Sard!J83</f>
        <v>1.7058953900707687</v>
      </c>
      <c r="H85" s="1043">
        <v>3010563</v>
      </c>
      <c r="I85" s="264">
        <f>VALUE(Data.Sard!L83)</f>
        <v>0.152</v>
      </c>
      <c r="J85" s="904">
        <f>Data.Sard!N83</f>
        <v>-9.4810282924206582E-2</v>
      </c>
      <c r="K85" s="595">
        <f t="shared" si="37"/>
        <v>590</v>
      </c>
      <c r="L85" s="591">
        <f t="shared" si="38"/>
        <v>257</v>
      </c>
      <c r="M85" s="591">
        <f t="shared" si="39"/>
        <v>563</v>
      </c>
      <c r="N85" s="591">
        <f t="shared" si="40"/>
        <v>248</v>
      </c>
      <c r="O85" s="591">
        <f t="shared" si="41"/>
        <v>504</v>
      </c>
      <c r="P85" s="596">
        <f t="shared" si="30"/>
        <v>481</v>
      </c>
      <c r="Q85" s="596">
        <f t="shared" si="31"/>
        <v>47</v>
      </c>
      <c r="R85" s="596">
        <f t="shared" si="32"/>
        <v>554</v>
      </c>
      <c r="S85" s="596">
        <f t="shared" si="33"/>
        <v>145</v>
      </c>
      <c r="T85" s="596">
        <f t="shared" si="34"/>
        <v>488</v>
      </c>
      <c r="U85" s="596">
        <f t="shared" si="35"/>
        <v>1715</v>
      </c>
      <c r="V85" s="591">
        <f t="shared" si="42"/>
        <v>593</v>
      </c>
      <c r="W85" s="596">
        <f t="shared" si="36"/>
        <v>593</v>
      </c>
      <c r="X85" s="583"/>
      <c r="Y85" s="596" t="str">
        <f t="shared" si="28"/>
        <v/>
      </c>
      <c r="Z85" s="598" t="str">
        <f t="shared" si="29"/>
        <v/>
      </c>
      <c r="AA85" s="596"/>
      <c r="AB85" s="596"/>
      <c r="AC85" s="583"/>
      <c r="AD85" s="583"/>
      <c r="AE85" s="583"/>
      <c r="AF85" s="583"/>
      <c r="AG85" s="583"/>
      <c r="AH85" s="583"/>
      <c r="AI85" s="583"/>
      <c r="AJ85" s="583"/>
      <c r="AK85" s="583"/>
      <c r="AL85" s="583"/>
      <c r="AM85" s="583"/>
      <c r="AN85" s="583"/>
    </row>
    <row r="86" spans="1:40" ht="15">
      <c r="A86" s="593"/>
      <c r="B86" s="996" t="s">
        <v>728</v>
      </c>
      <c r="C86" s="1043" t="s">
        <v>729</v>
      </c>
      <c r="D86" s="1046"/>
      <c r="E86" s="1043" t="s">
        <v>579</v>
      </c>
      <c r="F86" s="1032">
        <f>VALUE(Data.Sard!G84)</f>
        <v>0.26143533769273219</v>
      </c>
      <c r="G86" s="844">
        <f>Data.Sard!J84</f>
        <v>1.7070586148794902</v>
      </c>
      <c r="H86" s="1043">
        <v>427142314376</v>
      </c>
      <c r="I86" s="264">
        <f>VALUE(Data.Sard!L84)</f>
        <v>0.82</v>
      </c>
      <c r="J86" s="904">
        <f>Data.Sard!N84</f>
        <v>0.26185971469364855</v>
      </c>
      <c r="K86" s="595">
        <f t="shared" si="37"/>
        <v>78</v>
      </c>
      <c r="L86" s="591">
        <f t="shared" si="38"/>
        <v>256</v>
      </c>
      <c r="M86" s="591">
        <f t="shared" si="39"/>
        <v>1</v>
      </c>
      <c r="N86" s="591">
        <f t="shared" si="40"/>
        <v>126</v>
      </c>
      <c r="O86" s="591">
        <f t="shared" si="41"/>
        <v>21</v>
      </c>
      <c r="P86" s="596">
        <f t="shared" si="30"/>
        <v>31</v>
      </c>
      <c r="Q86" s="596">
        <f t="shared" si="31"/>
        <v>46</v>
      </c>
      <c r="R86" s="596">
        <f t="shared" si="32"/>
        <v>8</v>
      </c>
      <c r="S86" s="596">
        <f t="shared" si="33"/>
        <v>23</v>
      </c>
      <c r="T86" s="596">
        <f t="shared" si="34"/>
        <v>5</v>
      </c>
      <c r="U86" s="596">
        <f t="shared" si="35"/>
        <v>113</v>
      </c>
      <c r="V86" s="591">
        <f t="shared" si="42"/>
        <v>2</v>
      </c>
      <c r="W86" s="596">
        <f t="shared" si="36"/>
        <v>2</v>
      </c>
      <c r="X86" s="583"/>
      <c r="Y86" s="596" t="str">
        <f t="shared" si="28"/>
        <v/>
      </c>
      <c r="Z86" s="598" t="str">
        <f t="shared" si="29"/>
        <v/>
      </c>
      <c r="AA86" s="596"/>
      <c r="AB86" s="596"/>
      <c r="AC86" s="583"/>
      <c r="AD86" s="583"/>
      <c r="AE86" s="583"/>
      <c r="AF86" s="583"/>
      <c r="AG86" s="583"/>
      <c r="AH86" s="583"/>
      <c r="AI86" s="583"/>
      <c r="AJ86" s="583"/>
      <c r="AK86" s="583"/>
      <c r="AL86" s="583"/>
      <c r="AM86" s="583"/>
      <c r="AN86" s="583"/>
    </row>
    <row r="87" spans="1:40" ht="15">
      <c r="A87" s="593"/>
      <c r="B87" s="996" t="s">
        <v>730</v>
      </c>
      <c r="C87" s="1043" t="s">
        <v>731</v>
      </c>
      <c r="D87" s="1046"/>
      <c r="E87" s="1043" t="s">
        <v>579</v>
      </c>
      <c r="F87" s="1032">
        <f>VALUE(Data.Sard!G85)</f>
        <v>0.73958284944524133</v>
      </c>
      <c r="G87" s="844">
        <f>Data.Sard!J85</f>
        <v>0</v>
      </c>
      <c r="H87" s="1043">
        <v>143754454150</v>
      </c>
      <c r="I87" s="264">
        <f>VALUE(Data.Sard!L85)</f>
        <v>-0.11</v>
      </c>
      <c r="J87" s="904">
        <f>Data.Sard!N85</f>
        <v>0.26179007115252662</v>
      </c>
      <c r="K87" s="595">
        <f t="shared" si="37"/>
        <v>20</v>
      </c>
      <c r="L87" s="591">
        <f t="shared" si="38"/>
        <v>397</v>
      </c>
      <c r="M87" s="591">
        <f t="shared" si="39"/>
        <v>3</v>
      </c>
      <c r="N87" s="591">
        <f t="shared" si="40"/>
        <v>322</v>
      </c>
      <c r="O87" s="591">
        <f t="shared" si="41"/>
        <v>22</v>
      </c>
      <c r="P87" s="596">
        <f t="shared" si="30"/>
        <v>89</v>
      </c>
      <c r="Q87" s="596">
        <f t="shared" si="31"/>
        <v>187</v>
      </c>
      <c r="R87" s="596">
        <f t="shared" si="32"/>
        <v>6</v>
      </c>
      <c r="S87" s="596">
        <f t="shared" si="33"/>
        <v>219</v>
      </c>
      <c r="T87" s="596">
        <f t="shared" si="34"/>
        <v>6</v>
      </c>
      <c r="U87" s="596">
        <f t="shared" si="35"/>
        <v>507</v>
      </c>
      <c r="V87" s="591">
        <f t="shared" si="42"/>
        <v>39</v>
      </c>
      <c r="W87" s="596">
        <f t="shared" si="36"/>
        <v>39</v>
      </c>
      <c r="X87" s="583"/>
      <c r="Y87" s="596" t="str">
        <f t="shared" si="28"/>
        <v/>
      </c>
      <c r="Z87" s="598" t="str">
        <f t="shared" si="29"/>
        <v/>
      </c>
      <c r="AA87" s="596"/>
      <c r="AB87" s="596"/>
      <c r="AC87" s="583"/>
      <c r="AD87" s="583"/>
      <c r="AE87" s="583"/>
      <c r="AF87" s="583"/>
      <c r="AG87" s="583"/>
      <c r="AH87" s="583"/>
      <c r="AI87" s="583"/>
      <c r="AJ87" s="583"/>
      <c r="AK87" s="583"/>
      <c r="AL87" s="583"/>
      <c r="AM87" s="583"/>
      <c r="AN87" s="583"/>
    </row>
    <row r="88" spans="1:40" ht="15">
      <c r="A88" s="593"/>
      <c r="B88" s="1043" t="s">
        <v>732</v>
      </c>
      <c r="C88" s="1043" t="s">
        <v>733</v>
      </c>
      <c r="D88" s="1046"/>
      <c r="E88" s="1043" t="s">
        <v>556</v>
      </c>
      <c r="F88" s="1032">
        <f>VALUE(Data.Sard!G86)</f>
        <v>0.11742975169979086</v>
      </c>
      <c r="G88" s="844">
        <f>Data.Sard!J86</f>
        <v>3.0184877571974313</v>
      </c>
      <c r="H88" s="1043">
        <v>196300157</v>
      </c>
      <c r="I88" s="264">
        <f>VALUE(Data.Sard!L86)</f>
        <v>-0.105</v>
      </c>
      <c r="J88" s="904">
        <f>Data.Sard!N86</f>
        <v>0.10392012384260166</v>
      </c>
      <c r="K88" s="595">
        <f t="shared" si="37"/>
        <v>197</v>
      </c>
      <c r="L88" s="591">
        <f t="shared" si="38"/>
        <v>183</v>
      </c>
      <c r="M88" s="591">
        <f t="shared" si="39"/>
        <v>173</v>
      </c>
      <c r="N88" s="591">
        <f t="shared" si="40"/>
        <v>317</v>
      </c>
      <c r="O88" s="591">
        <f t="shared" si="41"/>
        <v>147</v>
      </c>
      <c r="P88" s="596">
        <f t="shared" si="30"/>
        <v>88</v>
      </c>
      <c r="Q88" s="596">
        <f t="shared" si="31"/>
        <v>27</v>
      </c>
      <c r="R88" s="596">
        <f t="shared" si="32"/>
        <v>164</v>
      </c>
      <c r="S88" s="596">
        <f t="shared" si="33"/>
        <v>214</v>
      </c>
      <c r="T88" s="596">
        <f t="shared" si="34"/>
        <v>131</v>
      </c>
      <c r="U88" s="596">
        <f t="shared" si="35"/>
        <v>624</v>
      </c>
      <c r="V88" s="591">
        <f t="shared" si="42"/>
        <v>83</v>
      </c>
      <c r="W88" s="596">
        <f t="shared" si="36"/>
        <v>83</v>
      </c>
      <c r="X88" s="583"/>
      <c r="Y88" s="596" t="str">
        <f t="shared" si="28"/>
        <v/>
      </c>
      <c r="Z88" s="598" t="str">
        <f t="shared" si="29"/>
        <v/>
      </c>
      <c r="AA88" s="596"/>
      <c r="AB88" s="596"/>
      <c r="AC88" s="583"/>
      <c r="AD88" s="583"/>
      <c r="AE88" s="583"/>
      <c r="AF88" s="583"/>
      <c r="AG88" s="583"/>
      <c r="AH88" s="583"/>
      <c r="AI88" s="583"/>
      <c r="AJ88" s="583"/>
      <c r="AK88" s="583"/>
      <c r="AL88" s="583"/>
      <c r="AM88" s="583"/>
      <c r="AN88" s="583"/>
    </row>
    <row r="89" spans="1:40" ht="15">
      <c r="A89" s="593"/>
      <c r="B89" s="996" t="s">
        <v>734</v>
      </c>
      <c r="C89" s="1043" t="s">
        <v>735</v>
      </c>
      <c r="D89" s="1046"/>
      <c r="E89" s="1043" t="s">
        <v>736</v>
      </c>
      <c r="F89" s="1032">
        <f>VALUE(Data.Sard!G87)</f>
        <v>0.22391752672403037</v>
      </c>
      <c r="G89" s="844">
        <f>Data.Sard!J87</f>
        <v>2.2920969279820675</v>
      </c>
      <c r="H89" s="1043">
        <v>4250319786</v>
      </c>
      <c r="I89" s="264">
        <f>VALUE(Data.Sard!L87)</f>
        <v>0.91900000000000004</v>
      </c>
      <c r="J89" s="904">
        <f>Data.Sard!N87</f>
        <v>4.7876892496068899E-2</v>
      </c>
      <c r="K89" s="595">
        <f t="shared" si="37"/>
        <v>89</v>
      </c>
      <c r="L89" s="591">
        <f t="shared" si="38"/>
        <v>225</v>
      </c>
      <c r="M89" s="591">
        <f t="shared" si="39"/>
        <v>29</v>
      </c>
      <c r="N89" s="591">
        <f t="shared" si="40"/>
        <v>114</v>
      </c>
      <c r="O89" s="591">
        <f t="shared" si="41"/>
        <v>286</v>
      </c>
      <c r="P89" s="596">
        <f t="shared" si="30"/>
        <v>20</v>
      </c>
      <c r="Q89" s="596">
        <f t="shared" si="31"/>
        <v>15</v>
      </c>
      <c r="R89" s="596">
        <f t="shared" si="32"/>
        <v>20</v>
      </c>
      <c r="S89" s="596">
        <f t="shared" si="33"/>
        <v>11</v>
      </c>
      <c r="T89" s="596">
        <f t="shared" si="34"/>
        <v>270</v>
      </c>
      <c r="U89" s="596">
        <f t="shared" si="35"/>
        <v>336</v>
      </c>
      <c r="V89" s="591">
        <f t="shared" si="42"/>
        <v>6</v>
      </c>
      <c r="W89" s="596">
        <f t="shared" si="36"/>
        <v>6</v>
      </c>
      <c r="X89" s="583"/>
      <c r="Y89" s="596" t="str">
        <f t="shared" si="28"/>
        <v/>
      </c>
      <c r="Z89" s="598" t="str">
        <f t="shared" si="29"/>
        <v/>
      </c>
      <c r="AA89" s="596"/>
      <c r="AB89" s="596"/>
      <c r="AC89" s="583"/>
      <c r="AD89" s="583"/>
      <c r="AE89" s="583"/>
      <c r="AF89" s="583"/>
      <c r="AG89" s="583"/>
      <c r="AH89" s="583"/>
      <c r="AI89" s="583"/>
      <c r="AJ89" s="583"/>
      <c r="AK89" s="583"/>
      <c r="AL89" s="583"/>
      <c r="AM89" s="583"/>
      <c r="AN89" s="583"/>
    </row>
    <row r="90" spans="1:40" ht="15">
      <c r="A90" s="593"/>
      <c r="B90" s="996" t="s">
        <v>737</v>
      </c>
      <c r="C90" s="1043" t="s">
        <v>738</v>
      </c>
      <c r="D90" s="1046"/>
      <c r="E90" s="1043" t="s">
        <v>706</v>
      </c>
      <c r="F90" s="1032">
        <f>VALUE(Data.Sard!G88)</f>
        <v>8.4206550746309852E-2</v>
      </c>
      <c r="G90" s="844">
        <f>Data.Sard!J88</f>
        <v>4.9278980781775168</v>
      </c>
      <c r="H90" s="1043">
        <v>150446884</v>
      </c>
      <c r="I90" s="264">
        <f>VALUE(Data.Sard!L88)</f>
        <v>0.48499999999999999</v>
      </c>
      <c r="J90" s="904">
        <f>Data.Sard!N88</f>
        <v>4.3998740069596247E-2</v>
      </c>
      <c r="K90" s="595">
        <f t="shared" si="37"/>
        <v>260</v>
      </c>
      <c r="L90" s="591">
        <f t="shared" si="38"/>
        <v>123</v>
      </c>
      <c r="M90" s="591">
        <f t="shared" si="39"/>
        <v>192</v>
      </c>
      <c r="N90" s="591">
        <f t="shared" si="40"/>
        <v>175</v>
      </c>
      <c r="O90" s="591">
        <f t="shared" si="41"/>
        <v>297</v>
      </c>
      <c r="P90" s="596">
        <f t="shared" si="30"/>
        <v>151</v>
      </c>
      <c r="Q90" s="596">
        <f t="shared" si="31"/>
        <v>87</v>
      </c>
      <c r="R90" s="596">
        <f t="shared" si="32"/>
        <v>183</v>
      </c>
      <c r="S90" s="596">
        <f t="shared" si="33"/>
        <v>72</v>
      </c>
      <c r="T90" s="596">
        <f t="shared" si="34"/>
        <v>281</v>
      </c>
      <c r="U90" s="596">
        <f t="shared" si="35"/>
        <v>774</v>
      </c>
      <c r="V90" s="591">
        <f t="shared" si="42"/>
        <v>135</v>
      </c>
      <c r="W90" s="596">
        <f t="shared" si="36"/>
        <v>135</v>
      </c>
      <c r="X90" s="583"/>
      <c r="Y90" s="596" t="str">
        <f t="shared" si="28"/>
        <v/>
      </c>
      <c r="Z90" s="598" t="str">
        <f t="shared" si="29"/>
        <v/>
      </c>
      <c r="AA90" s="596"/>
      <c r="AB90" s="596"/>
      <c r="AC90" s="583"/>
      <c r="AD90" s="583"/>
      <c r="AE90" s="583"/>
      <c r="AF90" s="583"/>
      <c r="AG90" s="583"/>
      <c r="AH90" s="583"/>
      <c r="AI90" s="583"/>
      <c r="AJ90" s="583"/>
      <c r="AK90" s="583"/>
      <c r="AL90" s="583"/>
      <c r="AM90" s="583"/>
      <c r="AN90" s="583"/>
    </row>
    <row r="91" spans="1:40" ht="15">
      <c r="A91" s="593"/>
      <c r="B91" s="996" t="s">
        <v>739</v>
      </c>
      <c r="C91" s="1043" t="s">
        <v>740</v>
      </c>
      <c r="D91" s="1046"/>
      <c r="E91" s="1043" t="s">
        <v>546</v>
      </c>
      <c r="F91" s="1032">
        <f>VALUE(Data.Sard!G89)</f>
        <v>1.518203854924768E-2</v>
      </c>
      <c r="G91" s="844">
        <f>Data.Sard!J89</f>
        <v>16.393341073832072</v>
      </c>
      <c r="H91" s="1043">
        <v>555477466</v>
      </c>
      <c r="I91" s="264">
        <f>VALUE(Data.Sard!L89)</f>
        <v>0.26400000000000001</v>
      </c>
      <c r="J91" s="904">
        <f>Data.Sard!N89</f>
        <v>9.0968467089088276E-2</v>
      </c>
      <c r="K91" s="595">
        <f t="shared" si="37"/>
        <v>409</v>
      </c>
      <c r="L91" s="591">
        <f t="shared" si="38"/>
        <v>36</v>
      </c>
      <c r="M91" s="591">
        <f t="shared" si="39"/>
        <v>93</v>
      </c>
      <c r="N91" s="591">
        <f t="shared" si="40"/>
        <v>219</v>
      </c>
      <c r="O91" s="591">
        <f t="shared" si="41"/>
        <v>175</v>
      </c>
      <c r="P91" s="596">
        <f t="shared" si="30"/>
        <v>300</v>
      </c>
      <c r="Q91" s="596">
        <f t="shared" si="31"/>
        <v>174</v>
      </c>
      <c r="R91" s="596">
        <f t="shared" si="32"/>
        <v>84</v>
      </c>
      <c r="S91" s="596">
        <f t="shared" si="33"/>
        <v>116</v>
      </c>
      <c r="T91" s="596">
        <f t="shared" si="34"/>
        <v>159</v>
      </c>
      <c r="U91" s="596">
        <f t="shared" si="35"/>
        <v>833</v>
      </c>
      <c r="V91" s="591">
        <f t="shared" si="42"/>
        <v>159</v>
      </c>
      <c r="W91" s="596">
        <f t="shared" si="36"/>
        <v>159</v>
      </c>
      <c r="X91" s="583"/>
      <c r="Y91" s="596" t="str">
        <f t="shared" si="28"/>
        <v/>
      </c>
      <c r="Z91" s="598" t="str">
        <f t="shared" si="29"/>
        <v/>
      </c>
      <c r="AA91" s="596"/>
      <c r="AB91" s="596"/>
      <c r="AC91" s="583"/>
      <c r="AD91" s="583"/>
      <c r="AE91" s="583"/>
      <c r="AF91" s="583"/>
      <c r="AG91" s="583"/>
      <c r="AH91" s="583"/>
      <c r="AI91" s="583"/>
      <c r="AJ91" s="583"/>
      <c r="AK91" s="583"/>
      <c r="AL91" s="583"/>
      <c r="AM91" s="583"/>
      <c r="AN91" s="583"/>
    </row>
    <row r="92" spans="1:40" ht="15">
      <c r="A92" s="593"/>
      <c r="B92" s="1043" t="s">
        <v>741</v>
      </c>
      <c r="C92" s="1043" t="s">
        <v>742</v>
      </c>
      <c r="D92" s="1046"/>
      <c r="E92" s="1043" t="s">
        <v>706</v>
      </c>
      <c r="F92" s="1032">
        <f>VALUE(Data.Sard!G90)</f>
        <v>0.15970452631923923</v>
      </c>
      <c r="G92" s="844">
        <f>Data.Sard!J90</f>
        <v>1.5862704444208269</v>
      </c>
      <c r="H92" s="1043">
        <v>110358032</v>
      </c>
      <c r="I92" s="264">
        <f>VALUE(Data.Sard!L90)</f>
        <v>1.427</v>
      </c>
      <c r="J92" s="904">
        <f>Data.Sard!N90</f>
        <v>4.7421728753972811E-2</v>
      </c>
      <c r="K92" s="595">
        <f t="shared" si="37"/>
        <v>148</v>
      </c>
      <c r="L92" s="591">
        <f t="shared" si="38"/>
        <v>264</v>
      </c>
      <c r="M92" s="591">
        <f t="shared" si="39"/>
        <v>219</v>
      </c>
      <c r="N92" s="591">
        <f t="shared" si="40"/>
        <v>66</v>
      </c>
      <c r="O92" s="591">
        <f t="shared" si="41"/>
        <v>288</v>
      </c>
      <c r="P92" s="596">
        <f t="shared" si="30"/>
        <v>39</v>
      </c>
      <c r="Q92" s="596">
        <f t="shared" si="31"/>
        <v>54</v>
      </c>
      <c r="R92" s="596">
        <f t="shared" si="32"/>
        <v>210</v>
      </c>
      <c r="S92" s="596">
        <f t="shared" si="33"/>
        <v>37</v>
      </c>
      <c r="T92" s="596">
        <f t="shared" si="34"/>
        <v>272</v>
      </c>
      <c r="U92" s="596">
        <f t="shared" si="35"/>
        <v>612</v>
      </c>
      <c r="V92" s="591">
        <f t="shared" si="42"/>
        <v>77</v>
      </c>
      <c r="W92" s="596">
        <f t="shared" si="36"/>
        <v>77</v>
      </c>
      <c r="X92" s="583"/>
      <c r="Y92" s="596" t="str">
        <f t="shared" si="28"/>
        <v/>
      </c>
      <c r="Z92" s="598" t="str">
        <f t="shared" si="29"/>
        <v/>
      </c>
      <c r="AA92" s="596"/>
      <c r="AB92" s="596"/>
      <c r="AC92" s="583"/>
      <c r="AD92" s="583"/>
      <c r="AE92" s="583"/>
      <c r="AF92" s="583"/>
      <c r="AG92" s="583"/>
      <c r="AH92" s="583"/>
      <c r="AI92" s="583"/>
      <c r="AJ92" s="583"/>
      <c r="AK92" s="583"/>
      <c r="AL92" s="583"/>
      <c r="AM92" s="583"/>
      <c r="AN92" s="583"/>
    </row>
    <row r="93" spans="1:40" ht="15">
      <c r="A93" s="593"/>
      <c r="B93" s="1043" t="s">
        <v>743</v>
      </c>
      <c r="C93" s="1043" t="s">
        <v>744</v>
      </c>
      <c r="D93" s="1046"/>
      <c r="E93" s="1043" t="s">
        <v>603</v>
      </c>
      <c r="F93" s="1032">
        <f>VALUE(Data.Sard!G91)</f>
        <v>8.7520373875315569E-2</v>
      </c>
      <c r="G93" s="844">
        <f>Data.Sard!J91</f>
        <v>-22.724173179751222</v>
      </c>
      <c r="H93" s="1043">
        <v>752811269</v>
      </c>
      <c r="I93" s="264">
        <f>VALUE(Data.Sard!L91)</f>
        <v>-1.462</v>
      </c>
      <c r="J93" s="904">
        <f>Data.Sard!N91</f>
        <v>4.5291035642974785E-2</v>
      </c>
      <c r="K93" s="595">
        <f t="shared" si="37"/>
        <v>248</v>
      </c>
      <c r="L93" s="591">
        <f t="shared" si="38"/>
        <v>582</v>
      </c>
      <c r="M93" s="591">
        <f t="shared" si="39"/>
        <v>77</v>
      </c>
      <c r="N93" s="591">
        <f t="shared" si="40"/>
        <v>468</v>
      </c>
      <c r="O93" s="591">
        <f t="shared" si="41"/>
        <v>295</v>
      </c>
      <c r="P93" s="596">
        <f t="shared" si="30"/>
        <v>139</v>
      </c>
      <c r="Q93" s="596">
        <f t="shared" si="31"/>
        <v>372</v>
      </c>
      <c r="R93" s="596">
        <f t="shared" si="32"/>
        <v>68</v>
      </c>
      <c r="S93" s="596">
        <f t="shared" si="33"/>
        <v>365</v>
      </c>
      <c r="T93" s="596">
        <f t="shared" si="34"/>
        <v>279</v>
      </c>
      <c r="U93" s="596">
        <f t="shared" si="35"/>
        <v>1223</v>
      </c>
      <c r="V93" s="591">
        <f t="shared" si="42"/>
        <v>323</v>
      </c>
      <c r="W93" s="596">
        <f t="shared" si="36"/>
        <v>323</v>
      </c>
      <c r="X93" s="583"/>
      <c r="Y93" s="596" t="str">
        <f t="shared" si="28"/>
        <v/>
      </c>
      <c r="Z93" s="598" t="str">
        <f t="shared" si="29"/>
        <v/>
      </c>
      <c r="AA93" s="596"/>
      <c r="AB93" s="596"/>
      <c r="AC93" s="583"/>
      <c r="AD93" s="583"/>
      <c r="AE93" s="583"/>
      <c r="AF93" s="583"/>
      <c r="AG93" s="583"/>
      <c r="AH93" s="583"/>
      <c r="AI93" s="583"/>
      <c r="AJ93" s="583"/>
      <c r="AK93" s="583"/>
      <c r="AL93" s="583"/>
      <c r="AM93" s="583"/>
      <c r="AN93" s="583"/>
    </row>
    <row r="94" spans="1:40" ht="15">
      <c r="A94" s="593"/>
      <c r="B94" s="996" t="s">
        <v>745</v>
      </c>
      <c r="C94" s="1043" t="s">
        <v>746</v>
      </c>
      <c r="D94" s="1046"/>
      <c r="E94" s="1043" t="s">
        <v>706</v>
      </c>
      <c r="F94" s="1032">
        <f>VALUE(Data.Sard!G92)</f>
        <v>-5.977580859145408E-2</v>
      </c>
      <c r="G94" s="844">
        <f>Data.Sard!J92</f>
        <v>7.0043000436167926</v>
      </c>
      <c r="H94" s="1043">
        <v>84350106</v>
      </c>
      <c r="I94" s="264">
        <f>VALUE(Data.Sard!L92)</f>
        <v>0.21</v>
      </c>
      <c r="J94" s="904">
        <f>Data.Sard!N92</f>
        <v>-4.0801027190903678E-2</v>
      </c>
      <c r="K94" s="595">
        <f t="shared" si="37"/>
        <v>497</v>
      </c>
      <c r="L94" s="591">
        <f t="shared" si="38"/>
        <v>90</v>
      </c>
      <c r="M94" s="591">
        <f t="shared" si="39"/>
        <v>247</v>
      </c>
      <c r="N94" s="591">
        <f t="shared" si="40"/>
        <v>235</v>
      </c>
      <c r="O94" s="591">
        <f t="shared" si="41"/>
        <v>469</v>
      </c>
      <c r="P94" s="596">
        <f t="shared" si="30"/>
        <v>388</v>
      </c>
      <c r="Q94" s="596">
        <f t="shared" si="31"/>
        <v>120</v>
      </c>
      <c r="R94" s="596">
        <f t="shared" si="32"/>
        <v>238</v>
      </c>
      <c r="S94" s="596">
        <f t="shared" si="33"/>
        <v>132</v>
      </c>
      <c r="T94" s="596">
        <f t="shared" si="34"/>
        <v>453</v>
      </c>
      <c r="U94" s="596">
        <f t="shared" si="35"/>
        <v>1331</v>
      </c>
      <c r="V94" s="591">
        <f t="shared" si="42"/>
        <v>376</v>
      </c>
      <c r="W94" s="596">
        <f t="shared" si="36"/>
        <v>376</v>
      </c>
      <c r="X94" s="583"/>
      <c r="Y94" s="596" t="str">
        <f t="shared" si="28"/>
        <v/>
      </c>
      <c r="Z94" s="598" t="str">
        <f t="shared" si="29"/>
        <v/>
      </c>
      <c r="AA94" s="596"/>
      <c r="AB94" s="596"/>
      <c r="AC94" s="583"/>
      <c r="AD94" s="583"/>
      <c r="AE94" s="583"/>
      <c r="AF94" s="583"/>
      <c r="AG94" s="583"/>
      <c r="AH94" s="583"/>
      <c r="AI94" s="583"/>
      <c r="AJ94" s="583"/>
      <c r="AK94" s="583"/>
      <c r="AL94" s="583"/>
      <c r="AM94" s="583"/>
      <c r="AN94" s="583"/>
    </row>
    <row r="95" spans="1:40" ht="15">
      <c r="A95" s="593"/>
      <c r="B95" s="1043" t="s">
        <v>747</v>
      </c>
      <c r="C95" s="1043" t="s">
        <v>748</v>
      </c>
      <c r="D95" s="1046"/>
      <c r="E95" s="1043" t="s">
        <v>532</v>
      </c>
      <c r="F95" s="1032">
        <f>VALUE(Data.Sard!G93)</f>
        <v>1.0390205688053001E-2</v>
      </c>
      <c r="G95" s="844">
        <f>Data.Sard!J93</f>
        <v>-5.4366262106522125</v>
      </c>
      <c r="H95" s="1043">
        <v>12045165</v>
      </c>
      <c r="I95" s="264">
        <f>VALUE(Data.Sard!L93)</f>
        <v>0.95199999999999996</v>
      </c>
      <c r="J95" s="904">
        <f>Data.Sard!N93</f>
        <v>2.2218919536144202E-2</v>
      </c>
      <c r="K95" s="595">
        <f t="shared" si="37"/>
        <v>421</v>
      </c>
      <c r="L95" s="591">
        <f t="shared" si="38"/>
        <v>542</v>
      </c>
      <c r="M95" s="591">
        <f t="shared" si="39"/>
        <v>449</v>
      </c>
      <c r="N95" s="591">
        <f t="shared" si="40"/>
        <v>107</v>
      </c>
      <c r="O95" s="591">
        <f t="shared" si="41"/>
        <v>358</v>
      </c>
      <c r="P95" s="596">
        <f t="shared" si="30"/>
        <v>312</v>
      </c>
      <c r="Q95" s="596">
        <f t="shared" si="31"/>
        <v>332</v>
      </c>
      <c r="R95" s="596">
        <f t="shared" si="32"/>
        <v>440</v>
      </c>
      <c r="S95" s="596">
        <f t="shared" si="33"/>
        <v>4</v>
      </c>
      <c r="T95" s="596">
        <f t="shared" si="34"/>
        <v>342</v>
      </c>
      <c r="U95" s="596">
        <f t="shared" si="35"/>
        <v>1430</v>
      </c>
      <c r="V95" s="591">
        <f t="shared" si="42"/>
        <v>424</v>
      </c>
      <c r="W95" s="596">
        <f t="shared" si="36"/>
        <v>424</v>
      </c>
      <c r="X95" s="583"/>
      <c r="Y95" s="596" t="str">
        <f t="shared" si="28"/>
        <v/>
      </c>
      <c r="Z95" s="598" t="str">
        <f t="shared" si="29"/>
        <v/>
      </c>
      <c r="AA95" s="596"/>
      <c r="AB95" s="596"/>
      <c r="AC95" s="583"/>
      <c r="AD95" s="583"/>
      <c r="AE95" s="583"/>
      <c r="AF95" s="583"/>
      <c r="AG95" s="583"/>
      <c r="AH95" s="583"/>
      <c r="AI95" s="583"/>
      <c r="AJ95" s="583"/>
      <c r="AK95" s="583"/>
      <c r="AL95" s="583"/>
      <c r="AM95" s="583"/>
      <c r="AN95" s="583"/>
    </row>
    <row r="96" spans="1:40" ht="15">
      <c r="A96" s="593"/>
      <c r="B96" s="1043" t="s">
        <v>749</v>
      </c>
      <c r="C96" s="1043" t="s">
        <v>750</v>
      </c>
      <c r="D96" s="1046"/>
      <c r="E96" s="1043" t="s">
        <v>584</v>
      </c>
      <c r="F96" s="1032">
        <f>VALUE(Data.Sard!G94)</f>
        <v>-7.6771533384751081E-2</v>
      </c>
      <c r="G96" s="844">
        <f>Data.Sard!J94</f>
        <v>-1.9673230817155813</v>
      </c>
      <c r="H96" s="1043">
        <v>30044012</v>
      </c>
      <c r="I96" s="264">
        <f>VALUE(Data.Sard!L94)</f>
        <v>0.13100000000000001</v>
      </c>
      <c r="J96" s="904">
        <f>Data.Sard!N94</f>
        <v>-3.0671182554953613E-2</v>
      </c>
      <c r="K96" s="595">
        <f t="shared" si="37"/>
        <v>507</v>
      </c>
      <c r="L96" s="591">
        <f t="shared" si="38"/>
        <v>505</v>
      </c>
      <c r="M96" s="591">
        <f t="shared" si="39"/>
        <v>342</v>
      </c>
      <c r="N96" s="591">
        <f t="shared" si="40"/>
        <v>253</v>
      </c>
      <c r="O96" s="591">
        <f t="shared" si="41"/>
        <v>461</v>
      </c>
      <c r="P96" s="596">
        <f t="shared" si="30"/>
        <v>398</v>
      </c>
      <c r="Q96" s="596">
        <f t="shared" si="31"/>
        <v>295</v>
      </c>
      <c r="R96" s="596">
        <f t="shared" si="32"/>
        <v>333</v>
      </c>
      <c r="S96" s="596">
        <f t="shared" si="33"/>
        <v>150</v>
      </c>
      <c r="T96" s="596">
        <f t="shared" si="34"/>
        <v>445</v>
      </c>
      <c r="U96" s="596">
        <f t="shared" si="35"/>
        <v>1621</v>
      </c>
      <c r="V96" s="591">
        <f t="shared" si="42"/>
        <v>545</v>
      </c>
      <c r="W96" s="596">
        <f t="shared" si="36"/>
        <v>545</v>
      </c>
      <c r="X96" s="583"/>
      <c r="Y96" s="596" t="str">
        <f t="shared" si="28"/>
        <v/>
      </c>
      <c r="Z96" s="598" t="str">
        <f t="shared" si="29"/>
        <v/>
      </c>
      <c r="AA96" s="596"/>
      <c r="AB96" s="596"/>
      <c r="AC96" s="583"/>
      <c r="AD96" s="583"/>
      <c r="AE96" s="583"/>
      <c r="AF96" s="583"/>
      <c r="AG96" s="583"/>
      <c r="AH96" s="583"/>
      <c r="AI96" s="583"/>
      <c r="AJ96" s="583"/>
      <c r="AK96" s="583"/>
      <c r="AL96" s="583"/>
      <c r="AM96" s="583"/>
      <c r="AN96" s="583"/>
    </row>
    <row r="97" spans="1:40" ht="15">
      <c r="A97" s="593"/>
      <c r="B97" s="996" t="s">
        <v>751</v>
      </c>
      <c r="C97" s="1043" t="s">
        <v>752</v>
      </c>
      <c r="D97" s="1046"/>
      <c r="E97" s="1043" t="s">
        <v>546</v>
      </c>
      <c r="F97" s="1032">
        <f>VALUE(Data.Sard!G95)</f>
        <v>-8.9252547840687591E-2</v>
      </c>
      <c r="G97" s="844">
        <f>Data.Sard!J95</f>
        <v>-3.8080518380978092</v>
      </c>
      <c r="H97" s="1043">
        <v>68967202</v>
      </c>
      <c r="I97" s="264">
        <f>VALUE(Data.Sard!L95)</f>
        <v>-1.5940000000000001</v>
      </c>
      <c r="J97" s="904">
        <f>Data.Sard!N95</f>
        <v>-9.7682777827046027E-2</v>
      </c>
      <c r="K97" s="595">
        <f t="shared" si="37"/>
        <v>518</v>
      </c>
      <c r="L97" s="591">
        <f t="shared" si="38"/>
        <v>525</v>
      </c>
      <c r="M97" s="591">
        <f t="shared" si="39"/>
        <v>263</v>
      </c>
      <c r="N97" s="591">
        <f t="shared" si="40"/>
        <v>472</v>
      </c>
      <c r="O97" s="591">
        <f t="shared" si="41"/>
        <v>505</v>
      </c>
      <c r="P97" s="596">
        <f t="shared" si="30"/>
        <v>409</v>
      </c>
      <c r="Q97" s="596">
        <f t="shared" si="31"/>
        <v>315</v>
      </c>
      <c r="R97" s="596">
        <f t="shared" si="32"/>
        <v>254</v>
      </c>
      <c r="S97" s="596">
        <f t="shared" si="33"/>
        <v>369</v>
      </c>
      <c r="T97" s="596">
        <f t="shared" si="34"/>
        <v>489</v>
      </c>
      <c r="U97" s="596">
        <f t="shared" si="35"/>
        <v>1836</v>
      </c>
      <c r="V97" s="591">
        <f t="shared" si="42"/>
        <v>656</v>
      </c>
      <c r="W97" s="596">
        <f t="shared" si="36"/>
        <v>656</v>
      </c>
      <c r="X97" s="583"/>
      <c r="Y97" s="596" t="str">
        <f t="shared" si="28"/>
        <v/>
      </c>
      <c r="Z97" s="598" t="str">
        <f t="shared" si="29"/>
        <v/>
      </c>
      <c r="AA97" s="596"/>
      <c r="AB97" s="596"/>
      <c r="AC97" s="583"/>
      <c r="AD97" s="583"/>
      <c r="AE97" s="583"/>
      <c r="AF97" s="583"/>
      <c r="AG97" s="583"/>
      <c r="AH97" s="583"/>
      <c r="AI97" s="583"/>
      <c r="AJ97" s="583"/>
      <c r="AK97" s="583"/>
      <c r="AL97" s="583"/>
      <c r="AM97" s="583"/>
      <c r="AN97" s="583"/>
    </row>
    <row r="98" spans="1:40" ht="15">
      <c r="A98" s="593"/>
      <c r="B98" s="1043" t="s">
        <v>753</v>
      </c>
      <c r="C98" s="1043" t="s">
        <v>754</v>
      </c>
      <c r="D98" s="1046"/>
      <c r="E98" s="1043" t="s">
        <v>562</v>
      </c>
      <c r="F98" s="1032">
        <f>VALUE(Data.Sard!G96)</f>
        <v>-1.9657859279049276E-2</v>
      </c>
      <c r="G98" s="844">
        <f>Data.Sard!J96</f>
        <v>4.6521398157183711</v>
      </c>
      <c r="H98" s="1043">
        <v>3914687</v>
      </c>
      <c r="I98" s="264">
        <f>VALUE(Data.Sard!L96)</f>
        <v>-9.3979999999999997</v>
      </c>
      <c r="J98" s="904">
        <f>Data.Sard!N96</f>
        <v>-1.1933351364835434E-2</v>
      </c>
      <c r="K98" s="595">
        <f t="shared" si="37"/>
        <v>461</v>
      </c>
      <c r="L98" s="591">
        <f t="shared" si="38"/>
        <v>128</v>
      </c>
      <c r="M98" s="591">
        <f t="shared" si="39"/>
        <v>547</v>
      </c>
      <c r="N98" s="591">
        <f t="shared" si="40"/>
        <v>530</v>
      </c>
      <c r="O98" s="591">
        <f t="shared" si="41"/>
        <v>444</v>
      </c>
      <c r="P98" s="596">
        <f t="shared" si="30"/>
        <v>352</v>
      </c>
      <c r="Q98" s="596">
        <f t="shared" si="31"/>
        <v>82</v>
      </c>
      <c r="R98" s="596">
        <f t="shared" si="32"/>
        <v>538</v>
      </c>
      <c r="S98" s="596">
        <f t="shared" si="33"/>
        <v>427</v>
      </c>
      <c r="T98" s="596">
        <f t="shared" si="34"/>
        <v>428</v>
      </c>
      <c r="U98" s="596">
        <f t="shared" si="35"/>
        <v>1827</v>
      </c>
      <c r="V98" s="591">
        <f t="shared" si="42"/>
        <v>652</v>
      </c>
      <c r="W98" s="596">
        <f t="shared" si="36"/>
        <v>652</v>
      </c>
      <c r="X98" s="583"/>
      <c r="Y98" s="596" t="str">
        <f t="shared" si="28"/>
        <v/>
      </c>
      <c r="Z98" s="598" t="str">
        <f t="shared" si="29"/>
        <v/>
      </c>
      <c r="AA98" s="596"/>
      <c r="AB98" s="596"/>
      <c r="AC98" s="583"/>
      <c r="AD98" s="583"/>
      <c r="AE98" s="583"/>
      <c r="AF98" s="583"/>
      <c r="AG98" s="583"/>
      <c r="AH98" s="583"/>
      <c r="AI98" s="583"/>
      <c r="AJ98" s="583"/>
      <c r="AK98" s="583"/>
      <c r="AL98" s="583"/>
      <c r="AM98" s="583"/>
      <c r="AN98" s="583"/>
    </row>
    <row r="99" spans="1:40" ht="15">
      <c r="A99" s="593"/>
      <c r="B99" s="996" t="s">
        <v>755</v>
      </c>
      <c r="C99" s="1043" t="s">
        <v>756</v>
      </c>
      <c r="D99" s="1046"/>
      <c r="E99" s="1043" t="s">
        <v>603</v>
      </c>
      <c r="F99" s="1032">
        <f>VALUE(Data.Sard!G97)</f>
        <v>5.7819301769633159E-2</v>
      </c>
      <c r="G99" s="844">
        <f>Data.Sard!J97</f>
        <v>0.39362370010819947</v>
      </c>
      <c r="H99" s="1043">
        <v>151599911</v>
      </c>
      <c r="I99" s="264">
        <f>VALUE(Data.Sard!L97)</f>
        <v>-4.9749999999999996</v>
      </c>
      <c r="J99" s="904">
        <f>Data.Sard!N97</f>
        <v>3.0154023285509614E-2</v>
      </c>
      <c r="K99" s="595">
        <f t="shared" si="37"/>
        <v>313</v>
      </c>
      <c r="L99" s="591">
        <f t="shared" si="38"/>
        <v>344</v>
      </c>
      <c r="M99" s="591">
        <f t="shared" si="39"/>
        <v>189</v>
      </c>
      <c r="N99" s="591">
        <f t="shared" si="40"/>
        <v>520</v>
      </c>
      <c r="O99" s="591">
        <f t="shared" si="41"/>
        <v>336</v>
      </c>
      <c r="P99" s="596">
        <f t="shared" si="30"/>
        <v>204</v>
      </c>
      <c r="Q99" s="596">
        <f t="shared" si="31"/>
        <v>134</v>
      </c>
      <c r="R99" s="596">
        <f t="shared" si="32"/>
        <v>180</v>
      </c>
      <c r="S99" s="596">
        <f t="shared" si="33"/>
        <v>417</v>
      </c>
      <c r="T99" s="596">
        <f t="shared" si="34"/>
        <v>320</v>
      </c>
      <c r="U99" s="596">
        <f t="shared" si="35"/>
        <v>1255</v>
      </c>
      <c r="V99" s="591">
        <f t="shared" si="42"/>
        <v>335</v>
      </c>
      <c r="W99" s="596">
        <f t="shared" si="36"/>
        <v>335</v>
      </c>
      <c r="X99" s="583"/>
      <c r="Y99" s="596" t="str">
        <f t="shared" ref="Y99:Y100" si="43">IF(OR(Z99="Y",AA99="Y"),"Not suitable","")</f>
        <v/>
      </c>
      <c r="Z99" s="598" t="str">
        <f t="shared" si="29"/>
        <v/>
      </c>
      <c r="AA99" s="596"/>
      <c r="AB99" s="596"/>
      <c r="AC99" s="583"/>
      <c r="AD99" s="583"/>
      <c r="AE99" s="583"/>
      <c r="AF99" s="583"/>
      <c r="AG99" s="583"/>
      <c r="AH99" s="583"/>
      <c r="AI99" s="583"/>
      <c r="AJ99" s="583"/>
      <c r="AK99" s="583"/>
      <c r="AL99" s="583"/>
      <c r="AM99" s="583"/>
      <c r="AN99" s="583"/>
    </row>
    <row r="100" spans="1:40" ht="15">
      <c r="A100" s="601"/>
      <c r="B100" s="1043" t="s">
        <v>757</v>
      </c>
      <c r="C100" s="1043" t="s">
        <v>758</v>
      </c>
      <c r="D100" s="1046"/>
      <c r="E100" s="1043" t="s">
        <v>562</v>
      </c>
      <c r="F100" s="1032">
        <f>VALUE(Data.Sard!G98)</f>
        <v>1.738455263412253E-2</v>
      </c>
      <c r="G100" s="844">
        <f>Data.Sard!J98</f>
        <v>2.7011496499655938</v>
      </c>
      <c r="H100" s="1043">
        <v>23974082</v>
      </c>
      <c r="I100" s="264">
        <f>VALUE(Data.Sard!L98)</f>
        <v>0.35499999999999998</v>
      </c>
      <c r="J100" s="904">
        <f>Data.Sard!N98</f>
        <v>3.8098853632287946E-2</v>
      </c>
      <c r="K100" s="595">
        <f t="shared" si="37"/>
        <v>407</v>
      </c>
      <c r="L100" s="591">
        <f t="shared" si="38"/>
        <v>199</v>
      </c>
      <c r="M100" s="591">
        <f t="shared" si="39"/>
        <v>371</v>
      </c>
      <c r="N100" s="591">
        <f t="shared" si="40"/>
        <v>198</v>
      </c>
      <c r="O100" s="591">
        <f t="shared" si="41"/>
        <v>310</v>
      </c>
      <c r="P100" s="1004">
        <f t="shared" si="30"/>
        <v>298</v>
      </c>
      <c r="Q100" s="1004">
        <f t="shared" si="31"/>
        <v>11</v>
      </c>
      <c r="R100" s="1004">
        <f t="shared" si="32"/>
        <v>362</v>
      </c>
      <c r="S100" s="1004">
        <f t="shared" si="33"/>
        <v>95</v>
      </c>
      <c r="T100" s="1004">
        <f t="shared" si="34"/>
        <v>294</v>
      </c>
      <c r="U100" s="1004">
        <f t="shared" ref="U100" si="44">SUM(P100:T100)</f>
        <v>1060</v>
      </c>
      <c r="V100" s="591">
        <f t="shared" si="42"/>
        <v>262</v>
      </c>
      <c r="W100" s="595">
        <f t="shared" ref="W100" si="45">IF(Y100="Not suitable","-",V100)</f>
        <v>262</v>
      </c>
      <c r="X100" s="583"/>
      <c r="Y100" s="599" t="str">
        <f t="shared" si="43"/>
        <v/>
      </c>
      <c r="Z100" s="600" t="str">
        <f t="shared" si="29"/>
        <v/>
      </c>
      <c r="AA100" s="599"/>
      <c r="AB100" s="599"/>
      <c r="AC100" s="583"/>
      <c r="AD100" s="583"/>
      <c r="AE100" s="583"/>
      <c r="AF100" s="583"/>
      <c r="AG100" s="583"/>
      <c r="AH100" s="583"/>
      <c r="AI100" s="583"/>
      <c r="AJ100" s="583"/>
      <c r="AK100" s="583"/>
      <c r="AL100" s="583"/>
      <c r="AM100" s="583"/>
      <c r="AN100" s="583"/>
    </row>
    <row r="101" spans="1:40" ht="15">
      <c r="B101" s="1043" t="s">
        <v>759</v>
      </c>
      <c r="C101" s="1043" t="s">
        <v>760</v>
      </c>
      <c r="D101" s="1046"/>
      <c r="E101" s="1043" t="s">
        <v>562</v>
      </c>
      <c r="F101" s="1032">
        <f>VALUE(Data.Sard!G99)</f>
        <v>3.4516033715061754E-2</v>
      </c>
      <c r="G101" s="844">
        <f>Data.Sard!J99</f>
        <v>0</v>
      </c>
      <c r="H101" s="1043">
        <v>34896996</v>
      </c>
      <c r="I101" s="264">
        <f>VALUE(Data.Sard!L99)</f>
        <v>0.58699999999999997</v>
      </c>
      <c r="J101" s="904">
        <f>Data.Sard!N99</f>
        <v>3.077285593325043E-2</v>
      </c>
      <c r="K101" s="595">
        <f t="shared" si="37"/>
        <v>363</v>
      </c>
      <c r="L101" s="591">
        <f t="shared" si="38"/>
        <v>397</v>
      </c>
      <c r="M101" s="591">
        <f t="shared" si="39"/>
        <v>333</v>
      </c>
      <c r="N101" s="591">
        <f t="shared" si="40"/>
        <v>161</v>
      </c>
      <c r="O101" s="591">
        <f t="shared" si="41"/>
        <v>331</v>
      </c>
      <c r="P101" s="315">
        <f t="shared" ref="P101:P164" si="46">IFERROR(ABS(K$3-K101),"N/A")</f>
        <v>254</v>
      </c>
      <c r="Q101" s="315">
        <f t="shared" ref="Q101:Q164" si="47">IFERROR(ABS(L$3-L101),"N/A")</f>
        <v>187</v>
      </c>
      <c r="R101" s="315">
        <f t="shared" ref="R101:R164" si="48">IFERROR(ABS(M$3-M101),"N/A")</f>
        <v>324</v>
      </c>
      <c r="S101" s="315">
        <f t="shared" ref="S101:S164" si="49">IFERROR(ABS(N$3-N101),"N/A")</f>
        <v>58</v>
      </c>
      <c r="T101" s="315">
        <f t="shared" ref="T101:T164" si="50">IFERROR(ABS(O$3-O101),"N/A")</f>
        <v>315</v>
      </c>
      <c r="U101" s="315">
        <f t="shared" ref="U101:U164" si="51">SUM(P101:T101)</f>
        <v>1138</v>
      </c>
      <c r="V101" s="591">
        <f t="shared" si="42"/>
        <v>289</v>
      </c>
      <c r="W101" s="598">
        <f t="shared" ref="W101:W164" si="52">IF(Y101="Not suitable","-",V101)</f>
        <v>289</v>
      </c>
    </row>
    <row r="102" spans="1:40" ht="15">
      <c r="B102" s="1043" t="s">
        <v>761</v>
      </c>
      <c r="C102" s="1043" t="s">
        <v>762</v>
      </c>
      <c r="D102" s="1046"/>
      <c r="E102" s="1043" t="s">
        <v>562</v>
      </c>
      <c r="F102" s="1032">
        <f>VALUE(Data.Sard!G100)</f>
        <v>-4.4024518017786653E-2</v>
      </c>
      <c r="G102" s="844">
        <f>Data.Sard!J100</f>
        <v>3.0956766278372334</v>
      </c>
      <c r="H102" s="1043">
        <v>9071274</v>
      </c>
      <c r="I102" s="264">
        <f>VALUE(Data.Sard!L100)</f>
        <v>18.649999999999999</v>
      </c>
      <c r="J102" s="904">
        <f>Data.Sard!N100</f>
        <v>-0.11091024603345513</v>
      </c>
      <c r="K102" s="595">
        <f t="shared" si="37"/>
        <v>486</v>
      </c>
      <c r="L102" s="591">
        <f t="shared" si="38"/>
        <v>179</v>
      </c>
      <c r="M102" s="591">
        <f t="shared" si="39"/>
        <v>479</v>
      </c>
      <c r="N102" s="591">
        <f t="shared" si="40"/>
        <v>11</v>
      </c>
      <c r="O102" s="591">
        <f t="shared" si="41"/>
        <v>512</v>
      </c>
      <c r="P102" s="315">
        <f t="shared" si="46"/>
        <v>377</v>
      </c>
      <c r="Q102" s="315">
        <f t="shared" si="47"/>
        <v>31</v>
      </c>
      <c r="R102" s="315">
        <f t="shared" si="48"/>
        <v>470</v>
      </c>
      <c r="S102" s="315">
        <f t="shared" si="49"/>
        <v>92</v>
      </c>
      <c r="T102" s="315">
        <f t="shared" si="50"/>
        <v>496</v>
      </c>
      <c r="U102" s="315">
        <f t="shared" si="51"/>
        <v>1466</v>
      </c>
      <c r="V102" s="591">
        <f t="shared" si="42"/>
        <v>444</v>
      </c>
      <c r="W102" s="598">
        <f t="shared" si="52"/>
        <v>444</v>
      </c>
    </row>
    <row r="103" spans="1:40" ht="15">
      <c r="B103" s="1043" t="s">
        <v>763</v>
      </c>
      <c r="C103" s="1043" t="s">
        <v>764</v>
      </c>
      <c r="D103" s="1046"/>
      <c r="E103" s="1043" t="s">
        <v>584</v>
      </c>
      <c r="F103" s="1032">
        <f>VALUE(Data.Sard!G101)</f>
        <v>0.19674930987442488</v>
      </c>
      <c r="G103" s="844">
        <f>Data.Sard!J101</f>
        <v>9.5730193827794423</v>
      </c>
      <c r="H103" s="1043">
        <v>188185197</v>
      </c>
      <c r="I103" s="264">
        <f>VALUE(Data.Sard!L101)</f>
        <v>-0.55100000000000005</v>
      </c>
      <c r="J103" s="904">
        <f>Data.Sard!N101</f>
        <v>9.1553242724416048E-2</v>
      </c>
      <c r="K103" s="595">
        <f t="shared" si="37"/>
        <v>111</v>
      </c>
      <c r="L103" s="591">
        <f t="shared" si="38"/>
        <v>63</v>
      </c>
      <c r="M103" s="591">
        <f t="shared" si="39"/>
        <v>175</v>
      </c>
      <c r="N103" s="591">
        <f t="shared" si="40"/>
        <v>392</v>
      </c>
      <c r="O103" s="591">
        <f t="shared" si="41"/>
        <v>173</v>
      </c>
      <c r="P103" s="315">
        <f t="shared" si="46"/>
        <v>2</v>
      </c>
      <c r="Q103" s="315">
        <f t="shared" si="47"/>
        <v>147</v>
      </c>
      <c r="R103" s="315">
        <f t="shared" si="48"/>
        <v>166</v>
      </c>
      <c r="S103" s="315">
        <f t="shared" si="49"/>
        <v>289</v>
      </c>
      <c r="T103" s="315">
        <f t="shared" si="50"/>
        <v>157</v>
      </c>
      <c r="U103" s="315">
        <f t="shared" si="51"/>
        <v>761</v>
      </c>
      <c r="V103" s="591">
        <f t="shared" si="42"/>
        <v>130</v>
      </c>
      <c r="W103" s="598">
        <f t="shared" si="52"/>
        <v>130</v>
      </c>
    </row>
    <row r="104" spans="1:40" ht="15">
      <c r="B104" s="1043" t="s">
        <v>765</v>
      </c>
      <c r="C104" s="1043" t="s">
        <v>766</v>
      </c>
      <c r="D104" s="1046"/>
      <c r="E104" s="1043" t="s">
        <v>584</v>
      </c>
      <c r="F104" s="1032">
        <f>VALUE(Data.Sard!G102)</f>
        <v>2.7071078664496848E-2</v>
      </c>
      <c r="G104" s="844">
        <f>Data.Sard!J102</f>
        <v>2.355486165258398</v>
      </c>
      <c r="H104" s="1043">
        <v>95783627</v>
      </c>
      <c r="I104" s="264">
        <f>VALUE(Data.Sard!L102)</f>
        <v>-1.7000000000000001E-2</v>
      </c>
      <c r="J104" s="904">
        <f>Data.Sard!N102</f>
        <v>2.6598319978996126E-2</v>
      </c>
      <c r="K104" s="595">
        <f t="shared" si="37"/>
        <v>378</v>
      </c>
      <c r="L104" s="591">
        <f t="shared" si="38"/>
        <v>218</v>
      </c>
      <c r="M104" s="591">
        <f t="shared" si="39"/>
        <v>230</v>
      </c>
      <c r="N104" s="591">
        <f t="shared" si="40"/>
        <v>289</v>
      </c>
      <c r="O104" s="591">
        <f t="shared" si="41"/>
        <v>348</v>
      </c>
      <c r="P104" s="315">
        <f t="shared" si="46"/>
        <v>269</v>
      </c>
      <c r="Q104" s="315">
        <f t="shared" si="47"/>
        <v>8</v>
      </c>
      <c r="R104" s="315">
        <f t="shared" si="48"/>
        <v>221</v>
      </c>
      <c r="S104" s="315">
        <f t="shared" si="49"/>
        <v>186</v>
      </c>
      <c r="T104" s="315">
        <f t="shared" si="50"/>
        <v>332</v>
      </c>
      <c r="U104" s="315">
        <f t="shared" si="51"/>
        <v>1016</v>
      </c>
      <c r="V104" s="591">
        <f t="shared" si="42"/>
        <v>248</v>
      </c>
      <c r="W104" s="598">
        <f t="shared" si="52"/>
        <v>248</v>
      </c>
    </row>
    <row r="105" spans="1:40" ht="15">
      <c r="B105" s="1043" t="s">
        <v>767</v>
      </c>
      <c r="C105" s="1043" t="s">
        <v>768</v>
      </c>
      <c r="D105" s="1046"/>
      <c r="E105" s="1043" t="s">
        <v>562</v>
      </c>
      <c r="F105" s="1032">
        <f>VALUE(Data.Sard!G103)</f>
        <v>4.9047508614135059E-2</v>
      </c>
      <c r="G105" s="844">
        <f>Data.Sard!J103</f>
        <v>42.794802272862285</v>
      </c>
      <c r="H105" s="1043">
        <v>279621234</v>
      </c>
      <c r="I105" s="264">
        <f>VALUE(Data.Sard!L103)</f>
        <v>0.192</v>
      </c>
      <c r="J105" s="904">
        <f>Data.Sard!N103</f>
        <v>0.5688810965728105</v>
      </c>
      <c r="K105" s="595">
        <f t="shared" si="37"/>
        <v>335</v>
      </c>
      <c r="L105" s="591">
        <f t="shared" si="38"/>
        <v>12</v>
      </c>
      <c r="M105" s="591">
        <f t="shared" si="39"/>
        <v>141</v>
      </c>
      <c r="N105" s="591">
        <f t="shared" si="40"/>
        <v>239</v>
      </c>
      <c r="O105" s="591">
        <f t="shared" si="41"/>
        <v>6</v>
      </c>
      <c r="P105" s="315">
        <f t="shared" si="46"/>
        <v>226</v>
      </c>
      <c r="Q105" s="315">
        <f t="shared" si="47"/>
        <v>198</v>
      </c>
      <c r="R105" s="315">
        <f t="shared" si="48"/>
        <v>132</v>
      </c>
      <c r="S105" s="315">
        <f t="shared" si="49"/>
        <v>136</v>
      </c>
      <c r="T105" s="315">
        <f t="shared" si="50"/>
        <v>10</v>
      </c>
      <c r="U105" s="315">
        <f t="shared" si="51"/>
        <v>702</v>
      </c>
      <c r="V105" s="591">
        <f t="shared" si="42"/>
        <v>112</v>
      </c>
      <c r="W105" s="598">
        <f t="shared" si="52"/>
        <v>112</v>
      </c>
    </row>
    <row r="106" spans="1:40" ht="15">
      <c r="B106" s="996" t="s">
        <v>769</v>
      </c>
      <c r="C106" s="1043" t="s">
        <v>770</v>
      </c>
      <c r="D106" s="1046"/>
      <c r="E106" s="1043" t="s">
        <v>736</v>
      </c>
      <c r="F106" s="1032">
        <f>VALUE(Data.Sard!G104)</f>
        <v>5.4368220857901415E-3</v>
      </c>
      <c r="G106" s="844">
        <f>Data.Sard!J104</f>
        <v>-5.6023600436545884</v>
      </c>
      <c r="H106" s="1043">
        <v>784043573</v>
      </c>
      <c r="I106" s="264">
        <f>VALUE(Data.Sard!L104)</f>
        <v>-0.69699999999999995</v>
      </c>
      <c r="J106" s="904">
        <f>Data.Sard!N104</f>
        <v>8.5306886079393619E-3</v>
      </c>
      <c r="K106" s="595">
        <f t="shared" si="37"/>
        <v>430</v>
      </c>
      <c r="L106" s="591">
        <f t="shared" si="38"/>
        <v>543</v>
      </c>
      <c r="M106" s="591">
        <f t="shared" si="39"/>
        <v>74</v>
      </c>
      <c r="N106" s="591">
        <f t="shared" si="40"/>
        <v>411</v>
      </c>
      <c r="O106" s="591">
        <f t="shared" si="41"/>
        <v>398</v>
      </c>
      <c r="P106" s="315">
        <f t="shared" si="46"/>
        <v>321</v>
      </c>
      <c r="Q106" s="315">
        <f t="shared" si="47"/>
        <v>333</v>
      </c>
      <c r="R106" s="315">
        <f t="shared" si="48"/>
        <v>65</v>
      </c>
      <c r="S106" s="315">
        <f t="shared" si="49"/>
        <v>308</v>
      </c>
      <c r="T106" s="315">
        <f t="shared" si="50"/>
        <v>382</v>
      </c>
      <c r="U106" s="315">
        <f t="shared" si="51"/>
        <v>1409</v>
      </c>
      <c r="V106" s="591">
        <f t="shared" si="42"/>
        <v>416</v>
      </c>
      <c r="W106" s="598">
        <f t="shared" si="52"/>
        <v>416</v>
      </c>
    </row>
    <row r="107" spans="1:40" ht="15">
      <c r="B107" s="1043" t="s">
        <v>771</v>
      </c>
      <c r="C107" s="1043" t="s">
        <v>772</v>
      </c>
      <c r="D107" s="1046"/>
      <c r="E107" s="1043" t="s">
        <v>611</v>
      </c>
      <c r="F107" s="1032">
        <f>VALUE(Data.Sard!G105)</f>
        <v>-8.2494041273949766E-3</v>
      </c>
      <c r="G107" s="844">
        <f>Data.Sard!J105</f>
        <v>1.6528926012515082E-2</v>
      </c>
      <c r="H107" s="1043">
        <v>1363260561</v>
      </c>
      <c r="I107" s="264">
        <f>VALUE(Data.Sard!L105)</f>
        <v>-0.105</v>
      </c>
      <c r="J107" s="904">
        <f>Data.Sard!N105</f>
        <v>-1.9322134556015242E-2</v>
      </c>
      <c r="K107" s="595">
        <f t="shared" si="37"/>
        <v>454</v>
      </c>
      <c r="L107" s="591">
        <f t="shared" si="38"/>
        <v>390</v>
      </c>
      <c r="M107" s="591">
        <f t="shared" si="39"/>
        <v>50</v>
      </c>
      <c r="N107" s="591">
        <f t="shared" si="40"/>
        <v>317</v>
      </c>
      <c r="O107" s="591">
        <f t="shared" si="41"/>
        <v>451</v>
      </c>
      <c r="P107" s="315">
        <f t="shared" si="46"/>
        <v>345</v>
      </c>
      <c r="Q107" s="315">
        <f t="shared" si="47"/>
        <v>180</v>
      </c>
      <c r="R107" s="315">
        <f t="shared" si="48"/>
        <v>41</v>
      </c>
      <c r="S107" s="315">
        <f t="shared" si="49"/>
        <v>214</v>
      </c>
      <c r="T107" s="315">
        <f t="shared" si="50"/>
        <v>435</v>
      </c>
      <c r="U107" s="315">
        <f t="shared" si="51"/>
        <v>1215</v>
      </c>
      <c r="V107" s="591">
        <f t="shared" si="42"/>
        <v>314</v>
      </c>
      <c r="W107" s="598">
        <f t="shared" si="52"/>
        <v>314</v>
      </c>
    </row>
    <row r="108" spans="1:40" ht="15">
      <c r="B108" s="1043" t="s">
        <v>773</v>
      </c>
      <c r="C108" s="1043" t="s">
        <v>774</v>
      </c>
      <c r="D108" s="1046"/>
      <c r="E108" s="1043" t="s">
        <v>611</v>
      </c>
      <c r="F108" s="1032">
        <f>VALUE(Data.Sard!G106)</f>
        <v>3.3708156277518594E-2</v>
      </c>
      <c r="G108" s="844">
        <f>Data.Sard!J106</f>
        <v>6.8896404860328193</v>
      </c>
      <c r="H108" s="1043">
        <v>293573007</v>
      </c>
      <c r="I108" s="264">
        <f>VALUE(Data.Sard!L106)</f>
        <v>1.08</v>
      </c>
      <c r="J108" s="904">
        <f>Data.Sard!N106</f>
        <v>3.6799553949802395E-2</v>
      </c>
      <c r="K108" s="595">
        <f t="shared" si="37"/>
        <v>364</v>
      </c>
      <c r="L108" s="591">
        <f t="shared" si="38"/>
        <v>91</v>
      </c>
      <c r="M108" s="591">
        <f t="shared" si="39"/>
        <v>139</v>
      </c>
      <c r="N108" s="591">
        <f t="shared" si="40"/>
        <v>90</v>
      </c>
      <c r="O108" s="591">
        <f t="shared" si="41"/>
        <v>316</v>
      </c>
      <c r="P108" s="315">
        <f t="shared" si="46"/>
        <v>255</v>
      </c>
      <c r="Q108" s="315">
        <f t="shared" si="47"/>
        <v>119</v>
      </c>
      <c r="R108" s="315">
        <f t="shared" si="48"/>
        <v>130</v>
      </c>
      <c r="S108" s="315">
        <f t="shared" si="49"/>
        <v>13</v>
      </c>
      <c r="T108" s="315">
        <f t="shared" si="50"/>
        <v>300</v>
      </c>
      <c r="U108" s="315">
        <f t="shared" si="51"/>
        <v>817</v>
      </c>
      <c r="V108" s="591">
        <f t="shared" si="42"/>
        <v>155</v>
      </c>
      <c r="W108" s="598">
        <f t="shared" si="52"/>
        <v>155</v>
      </c>
    </row>
    <row r="109" spans="1:40" ht="15">
      <c r="B109" s="1043" t="s">
        <v>775</v>
      </c>
      <c r="C109" s="1043" t="s">
        <v>776</v>
      </c>
      <c r="D109" s="1046"/>
      <c r="E109" s="1043" t="s">
        <v>570</v>
      </c>
      <c r="F109" s="1032">
        <f>VALUE(Data.Sard!G107)</f>
        <v>6.0643819803842126E-2</v>
      </c>
      <c r="G109" s="844">
        <f>Data.Sard!J107</f>
        <v>1.7683641275198396</v>
      </c>
      <c r="H109" s="1043">
        <v>5030593</v>
      </c>
      <c r="I109" s="264">
        <f>VALUE(Data.Sard!L107)</f>
        <v>-7.5999999999999998E-2</v>
      </c>
      <c r="J109" s="904">
        <f>Data.Sard!N107</f>
        <v>4.3517948905250747E-3</v>
      </c>
      <c r="K109" s="595">
        <f t="shared" si="37"/>
        <v>303</v>
      </c>
      <c r="L109" s="591">
        <f t="shared" si="38"/>
        <v>253</v>
      </c>
      <c r="M109" s="591">
        <f t="shared" si="39"/>
        <v>521</v>
      </c>
      <c r="N109" s="591">
        <f t="shared" si="40"/>
        <v>308</v>
      </c>
      <c r="O109" s="591">
        <f t="shared" si="41"/>
        <v>411</v>
      </c>
      <c r="P109" s="315">
        <f t="shared" si="46"/>
        <v>194</v>
      </c>
      <c r="Q109" s="315">
        <f t="shared" si="47"/>
        <v>43</v>
      </c>
      <c r="R109" s="315">
        <f t="shared" si="48"/>
        <v>512</v>
      </c>
      <c r="S109" s="315">
        <f t="shared" si="49"/>
        <v>205</v>
      </c>
      <c r="T109" s="315">
        <f t="shared" si="50"/>
        <v>395</v>
      </c>
      <c r="U109" s="315">
        <f t="shared" si="51"/>
        <v>1349</v>
      </c>
      <c r="V109" s="591">
        <f t="shared" si="42"/>
        <v>388</v>
      </c>
      <c r="W109" s="598">
        <f t="shared" si="52"/>
        <v>388</v>
      </c>
    </row>
    <row r="110" spans="1:40" ht="15">
      <c r="B110" s="1043" t="s">
        <v>777</v>
      </c>
      <c r="C110" s="1043" t="s">
        <v>778</v>
      </c>
      <c r="D110" s="1046"/>
      <c r="E110" s="1043" t="s">
        <v>611</v>
      </c>
      <c r="F110" s="1032">
        <f>VALUE(Data.Sard!G108)</f>
        <v>5.5861012770876572E-2</v>
      </c>
      <c r="G110" s="844">
        <f>Data.Sard!J108</f>
        <v>3.2356096060771882</v>
      </c>
      <c r="H110" s="1043">
        <v>272006201</v>
      </c>
      <c r="I110" s="264">
        <f>VALUE(Data.Sard!L108)</f>
        <v>-3.173</v>
      </c>
      <c r="J110" s="904">
        <f>Data.Sard!N108</f>
        <v>0.1139936299388639</v>
      </c>
      <c r="K110" s="595">
        <f t="shared" si="37"/>
        <v>318</v>
      </c>
      <c r="L110" s="591">
        <f t="shared" si="38"/>
        <v>174</v>
      </c>
      <c r="M110" s="591">
        <f t="shared" si="39"/>
        <v>143</v>
      </c>
      <c r="N110" s="591">
        <f t="shared" si="40"/>
        <v>504</v>
      </c>
      <c r="O110" s="591">
        <f t="shared" si="41"/>
        <v>124</v>
      </c>
      <c r="P110" s="315">
        <f t="shared" si="46"/>
        <v>209</v>
      </c>
      <c r="Q110" s="315">
        <f t="shared" si="47"/>
        <v>36</v>
      </c>
      <c r="R110" s="315">
        <f t="shared" si="48"/>
        <v>134</v>
      </c>
      <c r="S110" s="315">
        <f t="shared" si="49"/>
        <v>401</v>
      </c>
      <c r="T110" s="315">
        <f t="shared" si="50"/>
        <v>108</v>
      </c>
      <c r="U110" s="315">
        <f t="shared" si="51"/>
        <v>888</v>
      </c>
      <c r="V110" s="591">
        <f t="shared" si="42"/>
        <v>181</v>
      </c>
      <c r="W110" s="598">
        <f t="shared" si="52"/>
        <v>181</v>
      </c>
    </row>
    <row r="111" spans="1:40" ht="15">
      <c r="B111" s="1043" t="s">
        <v>779</v>
      </c>
      <c r="C111" s="1043" t="s">
        <v>780</v>
      </c>
      <c r="D111" s="1046"/>
      <c r="E111" s="1043" t="s">
        <v>611</v>
      </c>
      <c r="F111" s="1032">
        <f>VALUE(Data.Sard!G109)</f>
        <v>3.3544279278838712E-2</v>
      </c>
      <c r="G111" s="844">
        <f>Data.Sard!J109</f>
        <v>-13.654222109465488</v>
      </c>
      <c r="H111" s="1043">
        <v>47608938</v>
      </c>
      <c r="I111" s="264">
        <f>VALUE(Data.Sard!L109)</f>
        <v>-0.72</v>
      </c>
      <c r="J111" s="904">
        <f>Data.Sard!N109</f>
        <v>1.4448885080017683E-2</v>
      </c>
      <c r="K111" s="595">
        <f t="shared" si="37"/>
        <v>365</v>
      </c>
      <c r="L111" s="591">
        <f t="shared" si="38"/>
        <v>574</v>
      </c>
      <c r="M111" s="591">
        <f t="shared" si="39"/>
        <v>300</v>
      </c>
      <c r="N111" s="591">
        <f t="shared" si="40"/>
        <v>414</v>
      </c>
      <c r="O111" s="591">
        <f t="shared" si="41"/>
        <v>383</v>
      </c>
      <c r="P111" s="315">
        <f t="shared" si="46"/>
        <v>256</v>
      </c>
      <c r="Q111" s="315">
        <f t="shared" si="47"/>
        <v>364</v>
      </c>
      <c r="R111" s="315">
        <f t="shared" si="48"/>
        <v>291</v>
      </c>
      <c r="S111" s="315">
        <f t="shared" si="49"/>
        <v>311</v>
      </c>
      <c r="T111" s="315">
        <f t="shared" si="50"/>
        <v>367</v>
      </c>
      <c r="U111" s="315">
        <f t="shared" si="51"/>
        <v>1589</v>
      </c>
      <c r="V111" s="591">
        <f t="shared" si="42"/>
        <v>520</v>
      </c>
      <c r="W111" s="598">
        <f t="shared" si="52"/>
        <v>520</v>
      </c>
    </row>
    <row r="112" spans="1:40" ht="15">
      <c r="B112" s="1043" t="s">
        <v>781</v>
      </c>
      <c r="C112" s="1043" t="s">
        <v>782</v>
      </c>
      <c r="D112" s="1046"/>
      <c r="E112" s="1043" t="s">
        <v>584</v>
      </c>
      <c r="F112" s="1032">
        <f>VALUE(Data.Sard!G110)</f>
        <v>4.9370774471387227E-2</v>
      </c>
      <c r="G112" s="844">
        <f>Data.Sard!J110</f>
        <v>2.4989525140723488</v>
      </c>
      <c r="H112" s="1043">
        <v>40427497</v>
      </c>
      <c r="I112" s="264">
        <f>VALUE(Data.Sard!L110)</f>
        <v>-2.887</v>
      </c>
      <c r="J112" s="904">
        <f>Data.Sard!N110</f>
        <v>-1.0875370808666995E-2</v>
      </c>
      <c r="K112" s="595">
        <f t="shared" si="37"/>
        <v>332</v>
      </c>
      <c r="L112" s="591">
        <f t="shared" si="38"/>
        <v>207</v>
      </c>
      <c r="M112" s="591">
        <f t="shared" si="39"/>
        <v>317</v>
      </c>
      <c r="N112" s="591">
        <f t="shared" si="40"/>
        <v>497</v>
      </c>
      <c r="O112" s="591">
        <f t="shared" si="41"/>
        <v>443</v>
      </c>
      <c r="P112" s="315">
        <f t="shared" si="46"/>
        <v>223</v>
      </c>
      <c r="Q112" s="315">
        <f t="shared" si="47"/>
        <v>3</v>
      </c>
      <c r="R112" s="315">
        <f t="shared" si="48"/>
        <v>308</v>
      </c>
      <c r="S112" s="315">
        <f t="shared" si="49"/>
        <v>394</v>
      </c>
      <c r="T112" s="315">
        <f t="shared" si="50"/>
        <v>427</v>
      </c>
      <c r="U112" s="315">
        <f t="shared" si="51"/>
        <v>1355</v>
      </c>
      <c r="V112" s="591">
        <f t="shared" si="42"/>
        <v>390</v>
      </c>
      <c r="W112" s="598">
        <f t="shared" si="52"/>
        <v>390</v>
      </c>
    </row>
    <row r="113" spans="2:23" ht="15">
      <c r="B113" s="1043" t="s">
        <v>783</v>
      </c>
      <c r="C113" s="1043" t="s">
        <v>784</v>
      </c>
      <c r="D113" s="1046"/>
      <c r="E113" s="1043" t="s">
        <v>611</v>
      </c>
      <c r="F113" s="1032">
        <f>VALUE(Data.Sard!G111)</f>
        <v>6.7649483533816654E-2</v>
      </c>
      <c r="G113" s="844">
        <f>Data.Sard!J111</f>
        <v>2.5965371664780066</v>
      </c>
      <c r="H113" s="1043">
        <v>239462325</v>
      </c>
      <c r="I113" s="264">
        <f>VALUE(Data.Sard!L111)</f>
        <v>-1.1240000000000001</v>
      </c>
      <c r="J113" s="904">
        <f>Data.Sard!N111</f>
        <v>4.6680683909964583E-2</v>
      </c>
      <c r="K113" s="595">
        <f t="shared" si="37"/>
        <v>288</v>
      </c>
      <c r="L113" s="591">
        <f t="shared" si="38"/>
        <v>202</v>
      </c>
      <c r="M113" s="591">
        <f t="shared" si="39"/>
        <v>160</v>
      </c>
      <c r="N113" s="591">
        <f t="shared" si="40"/>
        <v>444</v>
      </c>
      <c r="O113" s="591">
        <f t="shared" si="41"/>
        <v>291</v>
      </c>
      <c r="P113" s="315">
        <f t="shared" si="46"/>
        <v>179</v>
      </c>
      <c r="Q113" s="315">
        <f t="shared" si="47"/>
        <v>8</v>
      </c>
      <c r="R113" s="315">
        <f t="shared" si="48"/>
        <v>151</v>
      </c>
      <c r="S113" s="315">
        <f t="shared" si="49"/>
        <v>341</v>
      </c>
      <c r="T113" s="315">
        <f t="shared" si="50"/>
        <v>275</v>
      </c>
      <c r="U113" s="315">
        <f t="shared" si="51"/>
        <v>954</v>
      </c>
      <c r="V113" s="591">
        <f t="shared" si="42"/>
        <v>215</v>
      </c>
      <c r="W113" s="598">
        <f t="shared" si="52"/>
        <v>215</v>
      </c>
    </row>
    <row r="114" spans="2:23" ht="15">
      <c r="B114" s="1043" t="s">
        <v>785</v>
      </c>
      <c r="C114" s="1043" t="s">
        <v>786</v>
      </c>
      <c r="D114" s="1046"/>
      <c r="E114" s="1043" t="s">
        <v>611</v>
      </c>
      <c r="F114" s="1032">
        <f>VALUE(Data.Sard!G112)</f>
        <v>8.5278617519037453E-2</v>
      </c>
      <c r="G114" s="844">
        <f>Data.Sard!J112</f>
        <v>-222.09045101038504</v>
      </c>
      <c r="H114" s="1043">
        <v>22389097</v>
      </c>
      <c r="I114" s="264">
        <f>VALUE(Data.Sard!L112)</f>
        <v>-1.7000000000000001E-2</v>
      </c>
      <c r="J114" s="904">
        <f>Data.Sard!N112</f>
        <v>2.3918049211843869E-2</v>
      </c>
      <c r="K114" s="595">
        <f t="shared" si="37"/>
        <v>259</v>
      </c>
      <c r="L114" s="591">
        <f t="shared" si="38"/>
        <v>601</v>
      </c>
      <c r="M114" s="591">
        <f t="shared" si="39"/>
        <v>380</v>
      </c>
      <c r="N114" s="591">
        <f t="shared" si="40"/>
        <v>289</v>
      </c>
      <c r="O114" s="591">
        <f t="shared" si="41"/>
        <v>355</v>
      </c>
      <c r="P114" s="315">
        <f t="shared" si="46"/>
        <v>150</v>
      </c>
      <c r="Q114" s="315">
        <f t="shared" si="47"/>
        <v>391</v>
      </c>
      <c r="R114" s="315">
        <f t="shared" si="48"/>
        <v>371</v>
      </c>
      <c r="S114" s="315">
        <f t="shared" si="49"/>
        <v>186</v>
      </c>
      <c r="T114" s="315">
        <f t="shared" si="50"/>
        <v>339</v>
      </c>
      <c r="U114" s="315">
        <f t="shared" si="51"/>
        <v>1437</v>
      </c>
      <c r="V114" s="591">
        <f t="shared" si="42"/>
        <v>430</v>
      </c>
      <c r="W114" s="598">
        <f t="shared" si="52"/>
        <v>430</v>
      </c>
    </row>
    <row r="115" spans="2:23" ht="15">
      <c r="B115" s="1043" t="s">
        <v>787</v>
      </c>
      <c r="C115" s="1043" t="s">
        <v>788</v>
      </c>
      <c r="D115" s="1046"/>
      <c r="E115" s="1043" t="s">
        <v>611</v>
      </c>
      <c r="F115" s="1032">
        <f>VALUE(Data.Sard!G113)</f>
        <v>5.4649680980206981E-3</v>
      </c>
      <c r="G115" s="844">
        <f>Data.Sard!J113</f>
        <v>-2.2097446714063902</v>
      </c>
      <c r="H115" s="1043">
        <v>31991229</v>
      </c>
      <c r="I115" s="264">
        <f>VALUE(Data.Sard!L113)</f>
        <v>7.2999999999999995E-2</v>
      </c>
      <c r="J115" s="904">
        <f>Data.Sard!N113</f>
        <v>-2.8266819909232594E-3</v>
      </c>
      <c r="K115" s="595">
        <f t="shared" si="37"/>
        <v>429</v>
      </c>
      <c r="L115" s="591">
        <f t="shared" si="38"/>
        <v>509</v>
      </c>
      <c r="M115" s="591">
        <f t="shared" si="39"/>
        <v>336</v>
      </c>
      <c r="N115" s="591">
        <f t="shared" si="40"/>
        <v>268</v>
      </c>
      <c r="O115" s="591">
        <f t="shared" si="41"/>
        <v>430</v>
      </c>
      <c r="P115" s="315">
        <f t="shared" si="46"/>
        <v>320</v>
      </c>
      <c r="Q115" s="315">
        <f t="shared" si="47"/>
        <v>299</v>
      </c>
      <c r="R115" s="315">
        <f t="shared" si="48"/>
        <v>327</v>
      </c>
      <c r="S115" s="315">
        <f t="shared" si="49"/>
        <v>165</v>
      </c>
      <c r="T115" s="315">
        <f t="shared" si="50"/>
        <v>414</v>
      </c>
      <c r="U115" s="315">
        <f t="shared" si="51"/>
        <v>1525</v>
      </c>
      <c r="V115" s="591">
        <f t="shared" si="42"/>
        <v>476</v>
      </c>
      <c r="W115" s="598">
        <f t="shared" si="52"/>
        <v>476</v>
      </c>
    </row>
    <row r="116" spans="2:23" ht="15">
      <c r="B116" s="996" t="s">
        <v>789</v>
      </c>
      <c r="C116" s="1043" t="s">
        <v>790</v>
      </c>
      <c r="D116" s="1046"/>
      <c r="E116" s="1043" t="s">
        <v>736</v>
      </c>
      <c r="F116" s="1032">
        <f>VALUE(Data.Sard!G114)</f>
        <v>-0.18972296632799793</v>
      </c>
      <c r="G116" s="844">
        <f>Data.Sard!J114</f>
        <v>-5.2520402403668021</v>
      </c>
      <c r="H116" s="1043">
        <v>210689046</v>
      </c>
      <c r="I116" s="264">
        <f>VALUE(Data.Sard!L114)</f>
        <v>-3.0129999999999999</v>
      </c>
      <c r="J116" s="904">
        <f>Data.Sard!N114</f>
        <v>-0.28089509136826124</v>
      </c>
      <c r="K116" s="595">
        <f t="shared" si="37"/>
        <v>544</v>
      </c>
      <c r="L116" s="591">
        <f t="shared" si="38"/>
        <v>540</v>
      </c>
      <c r="M116" s="591">
        <f t="shared" si="39"/>
        <v>170</v>
      </c>
      <c r="N116" s="591">
        <f t="shared" si="40"/>
        <v>502</v>
      </c>
      <c r="O116" s="591">
        <f t="shared" si="41"/>
        <v>545</v>
      </c>
      <c r="P116" s="315">
        <f t="shared" si="46"/>
        <v>435</v>
      </c>
      <c r="Q116" s="315">
        <f t="shared" si="47"/>
        <v>330</v>
      </c>
      <c r="R116" s="315">
        <f t="shared" si="48"/>
        <v>161</v>
      </c>
      <c r="S116" s="315">
        <f t="shared" si="49"/>
        <v>399</v>
      </c>
      <c r="T116" s="315">
        <f t="shared" si="50"/>
        <v>529</v>
      </c>
      <c r="U116" s="315">
        <f t="shared" si="51"/>
        <v>1854</v>
      </c>
      <c r="V116" s="591">
        <f t="shared" si="42"/>
        <v>665</v>
      </c>
      <c r="W116" s="598">
        <f t="shared" si="52"/>
        <v>665</v>
      </c>
    </row>
    <row r="117" spans="2:23" ht="15">
      <c r="B117" s="996" t="s">
        <v>791</v>
      </c>
      <c r="C117" s="1043" t="s">
        <v>792</v>
      </c>
      <c r="D117" s="1046"/>
      <c r="E117" s="1043" t="s">
        <v>706</v>
      </c>
      <c r="F117" s="1032">
        <f>VALUE(Data.Sard!G115)</f>
        <v>-2.5568786475717292E-2</v>
      </c>
      <c r="G117" s="844">
        <f>Data.Sard!J115</f>
        <v>2.3428638204929184</v>
      </c>
      <c r="H117" s="1043">
        <v>65952028</v>
      </c>
      <c r="I117" s="264">
        <f>VALUE(Data.Sard!L115)</f>
        <v>1.206</v>
      </c>
      <c r="J117" s="904">
        <f>Data.Sard!N115</f>
        <v>-7.182501007443888E-2</v>
      </c>
      <c r="K117" s="595">
        <f t="shared" si="37"/>
        <v>466</v>
      </c>
      <c r="L117" s="591">
        <f t="shared" si="38"/>
        <v>221</v>
      </c>
      <c r="M117" s="591">
        <f t="shared" si="39"/>
        <v>267</v>
      </c>
      <c r="N117" s="591">
        <f t="shared" si="40"/>
        <v>77</v>
      </c>
      <c r="O117" s="591">
        <f t="shared" si="41"/>
        <v>491</v>
      </c>
      <c r="P117" s="315">
        <f t="shared" si="46"/>
        <v>357</v>
      </c>
      <c r="Q117" s="315">
        <f t="shared" si="47"/>
        <v>11</v>
      </c>
      <c r="R117" s="315">
        <f t="shared" si="48"/>
        <v>258</v>
      </c>
      <c r="S117" s="315">
        <f t="shared" si="49"/>
        <v>26</v>
      </c>
      <c r="T117" s="315">
        <f t="shared" si="50"/>
        <v>475</v>
      </c>
      <c r="U117" s="315">
        <f t="shared" si="51"/>
        <v>1127</v>
      </c>
      <c r="V117" s="591">
        <f t="shared" si="42"/>
        <v>283</v>
      </c>
      <c r="W117" s="598">
        <f t="shared" si="52"/>
        <v>283</v>
      </c>
    </row>
    <row r="118" spans="2:23" ht="15">
      <c r="B118" s="1043" t="s">
        <v>793</v>
      </c>
      <c r="C118" s="1043" t="s">
        <v>794</v>
      </c>
      <c r="D118" s="1046"/>
      <c r="E118" s="1043" t="s">
        <v>562</v>
      </c>
      <c r="F118" s="1032">
        <f>VALUE(Data.Sard!G116)</f>
        <v>7.1692327890085797E-2</v>
      </c>
      <c r="G118" s="844">
        <f>Data.Sard!J116</f>
        <v>7.2173114492222048</v>
      </c>
      <c r="H118" s="1043">
        <v>13390929</v>
      </c>
      <c r="I118" s="264">
        <f>VALUE(Data.Sard!L116)</f>
        <v>-2.9249999999999998</v>
      </c>
      <c r="J118" s="904">
        <f>Data.Sard!N116</f>
        <v>9.4417025046380262E-2</v>
      </c>
      <c r="K118" s="595">
        <f t="shared" si="37"/>
        <v>283</v>
      </c>
      <c r="L118" s="591">
        <f t="shared" si="38"/>
        <v>88</v>
      </c>
      <c r="M118" s="591">
        <f t="shared" si="39"/>
        <v>441</v>
      </c>
      <c r="N118" s="591">
        <f t="shared" si="40"/>
        <v>499</v>
      </c>
      <c r="O118" s="591">
        <f t="shared" si="41"/>
        <v>169</v>
      </c>
      <c r="P118" s="315">
        <f t="shared" si="46"/>
        <v>174</v>
      </c>
      <c r="Q118" s="315">
        <f t="shared" si="47"/>
        <v>122</v>
      </c>
      <c r="R118" s="315">
        <f t="shared" si="48"/>
        <v>432</v>
      </c>
      <c r="S118" s="315">
        <f t="shared" si="49"/>
        <v>396</v>
      </c>
      <c r="T118" s="315">
        <f t="shared" si="50"/>
        <v>153</v>
      </c>
      <c r="U118" s="315">
        <f t="shared" si="51"/>
        <v>1277</v>
      </c>
      <c r="V118" s="591">
        <f t="shared" si="42"/>
        <v>350</v>
      </c>
      <c r="W118" s="598">
        <f t="shared" si="52"/>
        <v>350</v>
      </c>
    </row>
    <row r="119" spans="2:23" ht="15">
      <c r="B119" s="996" t="s">
        <v>795</v>
      </c>
      <c r="C119" s="1043" t="s">
        <v>796</v>
      </c>
      <c r="D119" s="1046"/>
      <c r="E119" s="1043" t="s">
        <v>706</v>
      </c>
      <c r="F119" s="1032">
        <f>VALUE(Data.Sard!G117)</f>
        <v>0.10620882625769654</v>
      </c>
      <c r="G119" s="844">
        <f>Data.Sard!J117</f>
        <v>0.63392134572513148</v>
      </c>
      <c r="H119" s="1043">
        <v>124654474</v>
      </c>
      <c r="I119" s="264">
        <f>VALUE(Data.Sard!L117)</f>
        <v>-0.73299999999999998</v>
      </c>
      <c r="J119" s="904">
        <f>Data.Sard!N117</f>
        <v>5.6888301739891421E-2</v>
      </c>
      <c r="K119" s="595">
        <f t="shared" si="37"/>
        <v>223</v>
      </c>
      <c r="L119" s="591">
        <f t="shared" si="38"/>
        <v>319</v>
      </c>
      <c r="M119" s="591">
        <f t="shared" si="39"/>
        <v>210</v>
      </c>
      <c r="N119" s="591">
        <f t="shared" si="40"/>
        <v>415</v>
      </c>
      <c r="O119" s="591">
        <f t="shared" si="41"/>
        <v>257</v>
      </c>
      <c r="P119" s="315">
        <f t="shared" si="46"/>
        <v>114</v>
      </c>
      <c r="Q119" s="315">
        <f t="shared" si="47"/>
        <v>109</v>
      </c>
      <c r="R119" s="315">
        <f t="shared" si="48"/>
        <v>201</v>
      </c>
      <c r="S119" s="315">
        <f t="shared" si="49"/>
        <v>312</v>
      </c>
      <c r="T119" s="315">
        <f t="shared" si="50"/>
        <v>241</v>
      </c>
      <c r="U119" s="315">
        <f t="shared" si="51"/>
        <v>977</v>
      </c>
      <c r="V119" s="591">
        <f t="shared" si="42"/>
        <v>231</v>
      </c>
      <c r="W119" s="598">
        <f t="shared" si="52"/>
        <v>231</v>
      </c>
    </row>
    <row r="120" spans="2:23" ht="15">
      <c r="B120" s="1043" t="s">
        <v>797</v>
      </c>
      <c r="C120" s="1043" t="s">
        <v>798</v>
      </c>
      <c r="D120" s="1046"/>
      <c r="E120" s="1043" t="s">
        <v>562</v>
      </c>
      <c r="F120" s="1032">
        <f>VALUE(Data.Sard!G118)</f>
        <v>3.0823801941091737E-2</v>
      </c>
      <c r="G120" s="844">
        <f>Data.Sard!J118</f>
        <v>-8.207934280612264E-2</v>
      </c>
      <c r="H120" s="1043">
        <v>406055495</v>
      </c>
      <c r="I120" s="264">
        <f>VALUE(Data.Sard!L118)</f>
        <v>2.2250000000000001</v>
      </c>
      <c r="J120" s="904">
        <f>Data.Sard!N118</f>
        <v>0.10762360989146934</v>
      </c>
      <c r="K120" s="595">
        <f t="shared" si="37"/>
        <v>370</v>
      </c>
      <c r="L120" s="591">
        <f t="shared" si="38"/>
        <v>448</v>
      </c>
      <c r="M120" s="591">
        <f t="shared" si="39"/>
        <v>114</v>
      </c>
      <c r="N120" s="591">
        <f t="shared" si="40"/>
        <v>42</v>
      </c>
      <c r="O120" s="591">
        <f t="shared" si="41"/>
        <v>139</v>
      </c>
      <c r="P120" s="315">
        <f t="shared" si="46"/>
        <v>261</v>
      </c>
      <c r="Q120" s="315">
        <f t="shared" si="47"/>
        <v>238</v>
      </c>
      <c r="R120" s="315">
        <f t="shared" si="48"/>
        <v>105</v>
      </c>
      <c r="S120" s="315">
        <f t="shared" si="49"/>
        <v>61</v>
      </c>
      <c r="T120" s="315">
        <f t="shared" si="50"/>
        <v>123</v>
      </c>
      <c r="U120" s="315">
        <f t="shared" si="51"/>
        <v>788</v>
      </c>
      <c r="V120" s="591">
        <f t="shared" si="42"/>
        <v>142</v>
      </c>
      <c r="W120" s="598">
        <f t="shared" si="52"/>
        <v>142</v>
      </c>
    </row>
    <row r="121" spans="2:23" ht="15">
      <c r="B121" s="1043" t="s">
        <v>799</v>
      </c>
      <c r="C121" s="1043" t="s">
        <v>800</v>
      </c>
      <c r="D121" s="1046"/>
      <c r="E121" s="1043" t="s">
        <v>611</v>
      </c>
      <c r="F121" s="1032">
        <f>VALUE(Data.Sard!G119)</f>
        <v>-4.1559025059354923E-2</v>
      </c>
      <c r="G121" s="844">
        <f>Data.Sard!J119</f>
        <v>17.135418719787069</v>
      </c>
      <c r="H121" s="1043">
        <v>50912431</v>
      </c>
      <c r="I121" s="264">
        <f>VALUE(Data.Sard!L119)</f>
        <v>-0.996</v>
      </c>
      <c r="J121" s="904">
        <f>Data.Sard!N119</f>
        <v>-5.5149000373059254E-2</v>
      </c>
      <c r="K121" s="595">
        <f t="shared" si="37"/>
        <v>482</v>
      </c>
      <c r="L121" s="591">
        <f t="shared" si="38"/>
        <v>33</v>
      </c>
      <c r="M121" s="591">
        <f t="shared" si="39"/>
        <v>293</v>
      </c>
      <c r="N121" s="591">
        <f t="shared" si="40"/>
        <v>436</v>
      </c>
      <c r="O121" s="591">
        <f t="shared" si="41"/>
        <v>477</v>
      </c>
      <c r="P121" s="315">
        <f t="shared" si="46"/>
        <v>373</v>
      </c>
      <c r="Q121" s="315">
        <f t="shared" si="47"/>
        <v>177</v>
      </c>
      <c r="R121" s="315">
        <f t="shared" si="48"/>
        <v>284</v>
      </c>
      <c r="S121" s="315">
        <f t="shared" si="49"/>
        <v>333</v>
      </c>
      <c r="T121" s="315">
        <f t="shared" si="50"/>
        <v>461</v>
      </c>
      <c r="U121" s="315">
        <f t="shared" si="51"/>
        <v>1628</v>
      </c>
      <c r="V121" s="591">
        <f t="shared" si="42"/>
        <v>550</v>
      </c>
      <c r="W121" s="598">
        <f t="shared" si="52"/>
        <v>550</v>
      </c>
    </row>
    <row r="122" spans="2:23" ht="15">
      <c r="B122" s="996" t="s">
        <v>801</v>
      </c>
      <c r="C122" s="1043" t="s">
        <v>802</v>
      </c>
      <c r="D122" s="1046"/>
      <c r="E122" s="1043" t="s">
        <v>576</v>
      </c>
      <c r="F122" s="1032">
        <f>VALUE(Data.Sard!G120)</f>
        <v>9.2185125924825525E-3</v>
      </c>
      <c r="G122" s="844"/>
      <c r="H122" s="1043">
        <v>45263288</v>
      </c>
      <c r="I122" s="264">
        <f>VALUE(Data.Sard!L120)</f>
        <v>0.375</v>
      </c>
      <c r="J122" s="904">
        <f>Data.Sard!N120</f>
        <v>2.5926691110804884E-2</v>
      </c>
      <c r="K122" s="595">
        <f t="shared" si="37"/>
        <v>422</v>
      </c>
      <c r="L122" s="591">
        <f t="shared" si="38"/>
        <v>397</v>
      </c>
      <c r="M122" s="591">
        <f t="shared" si="39"/>
        <v>305</v>
      </c>
      <c r="N122" s="591">
        <f t="shared" si="40"/>
        <v>190</v>
      </c>
      <c r="O122" s="591">
        <f t="shared" si="41"/>
        <v>350</v>
      </c>
      <c r="P122" s="315">
        <f t="shared" si="46"/>
        <v>313</v>
      </c>
      <c r="Q122" s="315">
        <f t="shared" si="47"/>
        <v>187</v>
      </c>
      <c r="R122" s="315">
        <f t="shared" si="48"/>
        <v>296</v>
      </c>
      <c r="S122" s="315">
        <f t="shared" si="49"/>
        <v>87</v>
      </c>
      <c r="T122" s="315">
        <f t="shared" si="50"/>
        <v>334</v>
      </c>
      <c r="U122" s="315">
        <f t="shared" si="51"/>
        <v>1217</v>
      </c>
      <c r="V122" s="591">
        <f t="shared" si="42"/>
        <v>317</v>
      </c>
      <c r="W122" s="598">
        <f t="shared" si="52"/>
        <v>317</v>
      </c>
    </row>
    <row r="123" spans="2:23" ht="15">
      <c r="B123" s="996" t="s">
        <v>803</v>
      </c>
      <c r="C123" s="1043" t="s">
        <v>804</v>
      </c>
      <c r="D123" s="1046"/>
      <c r="E123" s="1043" t="s">
        <v>805</v>
      </c>
      <c r="F123" s="1032"/>
      <c r="G123" s="844">
        <f>Data.Sard!J121</f>
        <v>-1.450546761382705</v>
      </c>
      <c r="H123" s="1043">
        <v>40523161</v>
      </c>
      <c r="I123" s="264">
        <f>VALUE(Data.Sard!L121)</f>
        <v>0.16500000000000001</v>
      </c>
      <c r="J123" s="904">
        <f>Data.Sard!N121</f>
        <v>0</v>
      </c>
      <c r="K123" s="595">
        <f t="shared" si="37"/>
        <v>442</v>
      </c>
      <c r="L123" s="591">
        <f t="shared" si="38"/>
        <v>494</v>
      </c>
      <c r="M123" s="591">
        <f t="shared" si="39"/>
        <v>316</v>
      </c>
      <c r="N123" s="591">
        <f t="shared" si="40"/>
        <v>246</v>
      </c>
      <c r="O123" s="591">
        <f t="shared" si="41"/>
        <v>419</v>
      </c>
      <c r="P123" s="315">
        <f t="shared" si="46"/>
        <v>333</v>
      </c>
      <c r="Q123" s="315">
        <f t="shared" si="47"/>
        <v>284</v>
      </c>
      <c r="R123" s="315">
        <f t="shared" si="48"/>
        <v>307</v>
      </c>
      <c r="S123" s="315">
        <f t="shared" si="49"/>
        <v>143</v>
      </c>
      <c r="T123" s="315">
        <f t="shared" si="50"/>
        <v>403</v>
      </c>
      <c r="U123" s="315">
        <f t="shared" si="51"/>
        <v>1470</v>
      </c>
      <c r="V123" s="591">
        <f t="shared" si="42"/>
        <v>446</v>
      </c>
      <c r="W123" s="598">
        <f t="shared" si="52"/>
        <v>446</v>
      </c>
    </row>
    <row r="124" spans="2:23" ht="15">
      <c r="B124" s="1043" t="s">
        <v>806</v>
      </c>
      <c r="C124" s="1043" t="s">
        <v>807</v>
      </c>
      <c r="D124" s="1046"/>
      <c r="E124" s="1043" t="s">
        <v>570</v>
      </c>
      <c r="F124" s="1032">
        <f>VALUE(Data.Sard!G122)</f>
        <v>-0.61620488372824822</v>
      </c>
      <c r="G124" s="844">
        <f>Data.Sard!J122</f>
        <v>-2.293537262814934</v>
      </c>
      <c r="H124" s="1043">
        <v>43909315</v>
      </c>
      <c r="I124" s="264"/>
      <c r="J124" s="904">
        <f>Data.Sard!N122</f>
        <v>-0.10126424541767678</v>
      </c>
      <c r="K124" s="595">
        <f t="shared" si="37"/>
        <v>584</v>
      </c>
      <c r="L124" s="591">
        <f t="shared" si="38"/>
        <v>513</v>
      </c>
      <c r="M124" s="591">
        <f t="shared" si="39"/>
        <v>307</v>
      </c>
      <c r="N124" s="591">
        <f t="shared" si="40"/>
        <v>285</v>
      </c>
      <c r="O124" s="591">
        <f t="shared" si="41"/>
        <v>506</v>
      </c>
      <c r="P124" s="315">
        <f t="shared" si="46"/>
        <v>475</v>
      </c>
      <c r="Q124" s="315">
        <f t="shared" si="47"/>
        <v>303</v>
      </c>
      <c r="R124" s="315">
        <f t="shared" si="48"/>
        <v>298</v>
      </c>
      <c r="S124" s="315">
        <f t="shared" si="49"/>
        <v>182</v>
      </c>
      <c r="T124" s="315">
        <f t="shared" si="50"/>
        <v>490</v>
      </c>
      <c r="U124" s="315">
        <f t="shared" si="51"/>
        <v>1748</v>
      </c>
      <c r="V124" s="591">
        <f t="shared" si="42"/>
        <v>616</v>
      </c>
      <c r="W124" s="598">
        <f t="shared" si="52"/>
        <v>616</v>
      </c>
    </row>
    <row r="125" spans="2:23" ht="15">
      <c r="B125" s="996" t="s">
        <v>808</v>
      </c>
      <c r="C125" s="1043" t="s">
        <v>809</v>
      </c>
      <c r="D125" s="1046"/>
      <c r="E125" s="1043" t="s">
        <v>546</v>
      </c>
      <c r="F125" s="1032">
        <f>VALUE(Data.Sard!G123)</f>
        <v>-0.21052067172036759</v>
      </c>
      <c r="G125" s="844">
        <f>Data.Sard!J123</f>
        <v>1.0120956391025098</v>
      </c>
      <c r="H125" s="1043">
        <v>12296491</v>
      </c>
      <c r="I125" s="264">
        <f>VALUE(Data.Sard!L123)</f>
        <v>-1.9610000000000001</v>
      </c>
      <c r="J125" s="904">
        <f>Data.Sard!N123</f>
        <v>-6.6225362816394087E-2</v>
      </c>
      <c r="K125" s="595">
        <f t="shared" si="37"/>
        <v>547</v>
      </c>
      <c r="L125" s="591">
        <f t="shared" si="38"/>
        <v>293</v>
      </c>
      <c r="M125" s="591">
        <f t="shared" si="39"/>
        <v>447</v>
      </c>
      <c r="N125" s="591">
        <f t="shared" si="40"/>
        <v>484</v>
      </c>
      <c r="O125" s="591">
        <f t="shared" si="41"/>
        <v>484</v>
      </c>
      <c r="P125" s="315">
        <f t="shared" si="46"/>
        <v>438</v>
      </c>
      <c r="Q125" s="315">
        <f t="shared" si="47"/>
        <v>83</v>
      </c>
      <c r="R125" s="315">
        <f t="shared" si="48"/>
        <v>438</v>
      </c>
      <c r="S125" s="315">
        <f t="shared" si="49"/>
        <v>381</v>
      </c>
      <c r="T125" s="315">
        <f t="shared" si="50"/>
        <v>468</v>
      </c>
      <c r="U125" s="315">
        <f t="shared" si="51"/>
        <v>1808</v>
      </c>
      <c r="V125" s="591">
        <f t="shared" si="42"/>
        <v>649</v>
      </c>
      <c r="W125" s="598">
        <f t="shared" si="52"/>
        <v>649</v>
      </c>
    </row>
    <row r="126" spans="2:23" ht="15">
      <c r="B126" s="996" t="s">
        <v>810</v>
      </c>
      <c r="C126" s="1043" t="s">
        <v>811</v>
      </c>
      <c r="D126" s="1046"/>
      <c r="E126" s="1043" t="s">
        <v>603</v>
      </c>
      <c r="F126" s="1032">
        <f>VALUE(Data.Sard!G124)</f>
        <v>0.76867151366319308</v>
      </c>
      <c r="G126" s="844">
        <f>Data.Sard!J124</f>
        <v>0.43489496310512843</v>
      </c>
      <c r="H126" s="1043">
        <v>165121551</v>
      </c>
      <c r="I126" s="264">
        <f>VALUE(Data.Sard!L124)</f>
        <v>0.45600000000000002</v>
      </c>
      <c r="J126" s="904">
        <f>Data.Sard!N124</f>
        <v>9.2710914142328613E-2</v>
      </c>
      <c r="K126" s="595">
        <f t="shared" si="37"/>
        <v>19</v>
      </c>
      <c r="L126" s="591">
        <f t="shared" si="38"/>
        <v>337</v>
      </c>
      <c r="M126" s="591">
        <f t="shared" si="39"/>
        <v>183</v>
      </c>
      <c r="N126" s="591">
        <f t="shared" si="40"/>
        <v>176</v>
      </c>
      <c r="O126" s="591">
        <f t="shared" si="41"/>
        <v>170</v>
      </c>
      <c r="P126" s="315">
        <f t="shared" si="46"/>
        <v>90</v>
      </c>
      <c r="Q126" s="315">
        <f t="shared" si="47"/>
        <v>127</v>
      </c>
      <c r="R126" s="315">
        <f t="shared" si="48"/>
        <v>174</v>
      </c>
      <c r="S126" s="315">
        <f t="shared" si="49"/>
        <v>73</v>
      </c>
      <c r="T126" s="315">
        <f t="shared" si="50"/>
        <v>154</v>
      </c>
      <c r="U126" s="315">
        <f t="shared" si="51"/>
        <v>618</v>
      </c>
      <c r="V126" s="591">
        <f t="shared" si="42"/>
        <v>80</v>
      </c>
      <c r="W126" s="598">
        <f t="shared" si="52"/>
        <v>80</v>
      </c>
    </row>
    <row r="127" spans="2:23" ht="15">
      <c r="B127" s="996" t="s">
        <v>812</v>
      </c>
      <c r="C127" s="1043" t="s">
        <v>813</v>
      </c>
      <c r="D127" s="1046"/>
      <c r="E127" s="1043" t="s">
        <v>546</v>
      </c>
      <c r="F127" s="1032">
        <f>VALUE(Data.Sard!G125)</f>
        <v>2.6372355026395691E-2</v>
      </c>
      <c r="G127" s="844">
        <f>Data.Sard!J125</f>
        <v>7.4077263612230988</v>
      </c>
      <c r="H127" s="1043">
        <v>125545022</v>
      </c>
      <c r="I127" s="264">
        <f>VALUE(Data.Sard!L125)</f>
        <v>0.82099999999999995</v>
      </c>
      <c r="J127" s="904">
        <f>Data.Sard!N125</f>
        <v>7.6438124868240795E-2</v>
      </c>
      <c r="K127" s="595">
        <f t="shared" si="37"/>
        <v>381</v>
      </c>
      <c r="L127" s="591">
        <f t="shared" si="38"/>
        <v>87</v>
      </c>
      <c r="M127" s="591">
        <f t="shared" si="39"/>
        <v>208</v>
      </c>
      <c r="N127" s="591">
        <f t="shared" si="40"/>
        <v>125</v>
      </c>
      <c r="O127" s="591">
        <f t="shared" si="41"/>
        <v>207</v>
      </c>
      <c r="P127" s="315">
        <f t="shared" si="46"/>
        <v>272</v>
      </c>
      <c r="Q127" s="315">
        <f t="shared" si="47"/>
        <v>123</v>
      </c>
      <c r="R127" s="315">
        <f t="shared" si="48"/>
        <v>199</v>
      </c>
      <c r="S127" s="315">
        <f t="shared" si="49"/>
        <v>22</v>
      </c>
      <c r="T127" s="315">
        <f t="shared" si="50"/>
        <v>191</v>
      </c>
      <c r="U127" s="315">
        <f t="shared" si="51"/>
        <v>807</v>
      </c>
      <c r="V127" s="591">
        <f t="shared" si="42"/>
        <v>148</v>
      </c>
      <c r="W127" s="598">
        <f t="shared" si="52"/>
        <v>148</v>
      </c>
    </row>
    <row r="128" spans="2:23" ht="15">
      <c r="B128" s="996" t="s">
        <v>814</v>
      </c>
      <c r="C128" s="1043" t="s">
        <v>815</v>
      </c>
      <c r="D128" s="1046"/>
      <c r="E128" s="1043" t="s">
        <v>546</v>
      </c>
      <c r="F128" s="1032">
        <f>VALUE(Data.Sard!G126)</f>
        <v>3.6118891759710746E-2</v>
      </c>
      <c r="G128" s="844">
        <f>Data.Sard!J126</f>
        <v>-9.9524764024700688E-2</v>
      </c>
      <c r="H128" s="1043">
        <v>56953030</v>
      </c>
      <c r="I128" s="264">
        <f>VALUE(Data.Sard!L126)</f>
        <v>-0.47299999999999998</v>
      </c>
      <c r="J128" s="904">
        <f>Data.Sard!N126</f>
        <v>6.7420307107042485E-2</v>
      </c>
      <c r="K128" s="595">
        <f t="shared" si="37"/>
        <v>357</v>
      </c>
      <c r="L128" s="591">
        <f t="shared" si="38"/>
        <v>451</v>
      </c>
      <c r="M128" s="591">
        <f t="shared" si="39"/>
        <v>282</v>
      </c>
      <c r="N128" s="591">
        <f t="shared" si="40"/>
        <v>383</v>
      </c>
      <c r="O128" s="591">
        <f t="shared" si="41"/>
        <v>221</v>
      </c>
      <c r="P128" s="315">
        <f t="shared" si="46"/>
        <v>248</v>
      </c>
      <c r="Q128" s="315">
        <f t="shared" si="47"/>
        <v>241</v>
      </c>
      <c r="R128" s="315">
        <f t="shared" si="48"/>
        <v>273</v>
      </c>
      <c r="S128" s="315">
        <f t="shared" si="49"/>
        <v>280</v>
      </c>
      <c r="T128" s="315">
        <f t="shared" si="50"/>
        <v>205</v>
      </c>
      <c r="U128" s="315">
        <f t="shared" si="51"/>
        <v>1247</v>
      </c>
      <c r="V128" s="591">
        <f t="shared" si="42"/>
        <v>331</v>
      </c>
      <c r="W128" s="598">
        <f t="shared" si="52"/>
        <v>331</v>
      </c>
    </row>
    <row r="129" spans="2:23" ht="15">
      <c r="B129" s="996" t="s">
        <v>816</v>
      </c>
      <c r="C129" s="1043" t="s">
        <v>817</v>
      </c>
      <c r="D129" s="1046"/>
      <c r="E129" s="1043" t="s">
        <v>706</v>
      </c>
      <c r="F129" s="1032">
        <f>VALUE(Data.Sard!G127)</f>
        <v>-5.2515015627325849E-2</v>
      </c>
      <c r="G129" s="844"/>
      <c r="H129" s="1043">
        <v>127677345</v>
      </c>
      <c r="I129" s="264">
        <f>VALUE(Data.Sard!L127)</f>
        <v>-0.28899999999999998</v>
      </c>
      <c r="J129" s="904">
        <f>Data.Sard!N127</f>
        <v>-7.3264268051692671E-2</v>
      </c>
      <c r="K129" s="595">
        <f t="shared" si="37"/>
        <v>490</v>
      </c>
      <c r="L129" s="591">
        <f t="shared" si="38"/>
        <v>397</v>
      </c>
      <c r="M129" s="591">
        <f t="shared" si="39"/>
        <v>207</v>
      </c>
      <c r="N129" s="591">
        <f t="shared" si="40"/>
        <v>355</v>
      </c>
      <c r="O129" s="591">
        <f t="shared" si="41"/>
        <v>493</v>
      </c>
      <c r="P129" s="315">
        <f t="shared" si="46"/>
        <v>381</v>
      </c>
      <c r="Q129" s="315">
        <f t="shared" si="47"/>
        <v>187</v>
      </c>
      <c r="R129" s="315">
        <f t="shared" si="48"/>
        <v>198</v>
      </c>
      <c r="S129" s="315">
        <f t="shared" si="49"/>
        <v>252</v>
      </c>
      <c r="T129" s="315">
        <f t="shared" si="50"/>
        <v>477</v>
      </c>
      <c r="U129" s="315">
        <f t="shared" si="51"/>
        <v>1495</v>
      </c>
      <c r="V129" s="591">
        <f t="shared" si="42"/>
        <v>463</v>
      </c>
      <c r="W129" s="598">
        <f t="shared" si="52"/>
        <v>463</v>
      </c>
    </row>
    <row r="130" spans="2:23" ht="15">
      <c r="B130" s="996" t="s">
        <v>818</v>
      </c>
      <c r="C130" s="1043" t="s">
        <v>819</v>
      </c>
      <c r="D130" s="1046"/>
      <c r="E130" s="1043" t="s">
        <v>736</v>
      </c>
      <c r="F130" s="1032"/>
      <c r="G130" s="844">
        <f>Data.Sard!J128</f>
        <v>2.8507322922173404</v>
      </c>
      <c r="H130" s="1043">
        <v>10373</v>
      </c>
      <c r="I130" s="264">
        <f>VALUE(Data.Sard!L128)</f>
        <v>-1.9450000000000001</v>
      </c>
      <c r="J130" s="904"/>
      <c r="K130" s="595">
        <f t="shared" si="37"/>
        <v>442</v>
      </c>
      <c r="L130" s="591">
        <f t="shared" si="38"/>
        <v>190</v>
      </c>
      <c r="M130" s="591">
        <f t="shared" si="39"/>
        <v>660</v>
      </c>
      <c r="N130" s="591">
        <f t="shared" si="40"/>
        <v>483</v>
      </c>
      <c r="O130" s="591">
        <f t="shared" si="41"/>
        <v>419</v>
      </c>
      <c r="P130" s="315">
        <f t="shared" si="46"/>
        <v>333</v>
      </c>
      <c r="Q130" s="315">
        <f t="shared" si="47"/>
        <v>20</v>
      </c>
      <c r="R130" s="315">
        <f t="shared" si="48"/>
        <v>651</v>
      </c>
      <c r="S130" s="315">
        <f t="shared" si="49"/>
        <v>380</v>
      </c>
      <c r="T130" s="315">
        <f t="shared" si="50"/>
        <v>403</v>
      </c>
      <c r="U130" s="315">
        <f t="shared" si="51"/>
        <v>1787</v>
      </c>
      <c r="V130" s="591">
        <f t="shared" si="42"/>
        <v>641</v>
      </c>
      <c r="W130" s="598">
        <f t="shared" si="52"/>
        <v>641</v>
      </c>
    </row>
    <row r="131" spans="2:23" ht="15">
      <c r="B131" s="996" t="s">
        <v>820</v>
      </c>
      <c r="C131" s="1043" t="s">
        <v>821</v>
      </c>
      <c r="D131" s="1046"/>
      <c r="E131" s="1043" t="s">
        <v>736</v>
      </c>
      <c r="F131" s="1032">
        <f>VALUE(Data.Sard!G129)</f>
        <v>0.45051411875463027</v>
      </c>
      <c r="G131" s="844">
        <f>Data.Sard!J129</f>
        <v>3.9838536058204115</v>
      </c>
      <c r="H131" s="1043">
        <v>1587261901</v>
      </c>
      <c r="I131" s="264"/>
      <c r="J131" s="904">
        <f>Data.Sard!N129</f>
        <v>3.0205850107462358E-2</v>
      </c>
      <c r="K131" s="595">
        <f t="shared" si="37"/>
        <v>32</v>
      </c>
      <c r="L131" s="591">
        <f t="shared" si="38"/>
        <v>147</v>
      </c>
      <c r="M131" s="591">
        <f t="shared" si="39"/>
        <v>47</v>
      </c>
      <c r="N131" s="591">
        <f t="shared" si="40"/>
        <v>285</v>
      </c>
      <c r="O131" s="591">
        <f t="shared" si="41"/>
        <v>335</v>
      </c>
      <c r="P131" s="315">
        <f t="shared" si="46"/>
        <v>77</v>
      </c>
      <c r="Q131" s="315">
        <f t="shared" si="47"/>
        <v>63</v>
      </c>
      <c r="R131" s="315">
        <f t="shared" si="48"/>
        <v>38</v>
      </c>
      <c r="S131" s="315">
        <f t="shared" si="49"/>
        <v>182</v>
      </c>
      <c r="T131" s="315">
        <f t="shared" si="50"/>
        <v>319</v>
      </c>
      <c r="U131" s="315">
        <f t="shared" si="51"/>
        <v>679</v>
      </c>
      <c r="V131" s="591">
        <f t="shared" si="42"/>
        <v>103</v>
      </c>
      <c r="W131" s="598">
        <f t="shared" si="52"/>
        <v>103</v>
      </c>
    </row>
    <row r="132" spans="2:23" ht="15">
      <c r="B132" s="1043" t="s">
        <v>822</v>
      </c>
      <c r="C132" s="1043" t="s">
        <v>823</v>
      </c>
      <c r="D132" s="1046"/>
      <c r="E132" s="1043" t="s">
        <v>611</v>
      </c>
      <c r="F132" s="1032">
        <f>VALUE(Data.Sard!G130)</f>
        <v>7.1434796491881739E-2</v>
      </c>
      <c r="G132" s="844">
        <f>Data.Sard!J130</f>
        <v>5.6823186447431208E-2</v>
      </c>
      <c r="H132" s="1043">
        <v>151279197</v>
      </c>
      <c r="I132" s="264">
        <f>VALUE(Data.Sard!L130)</f>
        <v>4.2000000000000003E-2</v>
      </c>
      <c r="J132" s="904">
        <f>Data.Sard!N130</f>
        <v>5.0238846330259643E-2</v>
      </c>
      <c r="K132" s="595">
        <f t="shared" si="37"/>
        <v>284</v>
      </c>
      <c r="L132" s="591">
        <f t="shared" si="38"/>
        <v>384</v>
      </c>
      <c r="M132" s="591">
        <f t="shared" si="39"/>
        <v>190</v>
      </c>
      <c r="N132" s="591">
        <f t="shared" si="40"/>
        <v>277</v>
      </c>
      <c r="O132" s="591">
        <f t="shared" si="41"/>
        <v>277</v>
      </c>
      <c r="P132" s="315">
        <f t="shared" si="46"/>
        <v>175</v>
      </c>
      <c r="Q132" s="315">
        <f t="shared" si="47"/>
        <v>174</v>
      </c>
      <c r="R132" s="315">
        <f t="shared" si="48"/>
        <v>181</v>
      </c>
      <c r="S132" s="315">
        <f t="shared" si="49"/>
        <v>174</v>
      </c>
      <c r="T132" s="315">
        <f t="shared" si="50"/>
        <v>261</v>
      </c>
      <c r="U132" s="315">
        <f t="shared" si="51"/>
        <v>965</v>
      </c>
      <c r="V132" s="591">
        <f t="shared" si="42"/>
        <v>221</v>
      </c>
      <c r="W132" s="598">
        <f t="shared" si="52"/>
        <v>221</v>
      </c>
    </row>
    <row r="133" spans="2:23" ht="15">
      <c r="B133" s="1043" t="s">
        <v>824</v>
      </c>
      <c r="C133" s="1043" t="s">
        <v>825</v>
      </c>
      <c r="D133" s="1046"/>
      <c r="E133" s="1043" t="s">
        <v>611</v>
      </c>
      <c r="F133" s="1032">
        <f>VALUE(Data.Sard!G131)</f>
        <v>2.3270791002132734E-2</v>
      </c>
      <c r="G133" s="844">
        <f>Data.Sard!J131</f>
        <v>-1.0358966867528006</v>
      </c>
      <c r="H133" s="1043">
        <v>16525230</v>
      </c>
      <c r="I133" s="264">
        <f>VALUE(Data.Sard!L131)</f>
        <v>1.004</v>
      </c>
      <c r="J133" s="904">
        <f>Data.Sard!N131</f>
        <v>3.3329258613029912E-2</v>
      </c>
      <c r="K133" s="595">
        <f t="shared" ref="K133:K196" si="53">IFERROR(_xlfn.RANK.EQ(F133,F$3:F$706),"N/A")</f>
        <v>388</v>
      </c>
      <c r="L133" s="591">
        <f t="shared" ref="L133:L196" si="54">IFERROR(_xlfn.RANK.EQ(G133,G$3:G$706),"N/A")</f>
        <v>483</v>
      </c>
      <c r="M133" s="591">
        <f t="shared" ref="M133:M196" si="55">IFERROR(_xlfn.RANK.EQ(H133,H$3:H$706),"N/A")</f>
        <v>423</v>
      </c>
      <c r="N133" s="591">
        <f t="shared" ref="N133:N196" si="56">IFERROR(_xlfn.RANK.EQ(I133,I$3:I$706),"N/A")</f>
        <v>102</v>
      </c>
      <c r="O133" s="591">
        <f t="shared" ref="O133:O196" si="57">IFERROR(_xlfn.RANK.EQ(J133,J$3:J$706),"N/A")</f>
        <v>328</v>
      </c>
      <c r="P133" s="315">
        <f t="shared" si="46"/>
        <v>279</v>
      </c>
      <c r="Q133" s="315">
        <f t="shared" si="47"/>
        <v>273</v>
      </c>
      <c r="R133" s="315">
        <f t="shared" si="48"/>
        <v>414</v>
      </c>
      <c r="S133" s="315">
        <f t="shared" si="49"/>
        <v>1</v>
      </c>
      <c r="T133" s="315">
        <f t="shared" si="50"/>
        <v>312</v>
      </c>
      <c r="U133" s="315">
        <f t="shared" si="51"/>
        <v>1279</v>
      </c>
      <c r="V133" s="591">
        <f t="shared" ref="V133:V196" si="58">_xlfn.RANK.EQ(U133,$U$4:$U$706,1)</f>
        <v>351</v>
      </c>
      <c r="W133" s="598">
        <f t="shared" si="52"/>
        <v>351</v>
      </c>
    </row>
    <row r="134" spans="2:23" ht="15">
      <c r="B134" s="996" t="s">
        <v>826</v>
      </c>
      <c r="C134" s="1043" t="s">
        <v>827</v>
      </c>
      <c r="D134" s="1046"/>
      <c r="E134" s="1043" t="s">
        <v>736</v>
      </c>
      <c r="F134" s="1032">
        <f>VALUE(Data.Sard!G132)</f>
        <v>-0.74905866985493252</v>
      </c>
      <c r="G134" s="844"/>
      <c r="H134" s="1043">
        <v>466803544</v>
      </c>
      <c r="I134" s="264">
        <f>VALUE(Data.Sard!L132)</f>
        <v>-8.782</v>
      </c>
      <c r="J134" s="904">
        <f>Data.Sard!N132</f>
        <v>-0.23235702277387008</v>
      </c>
      <c r="K134" s="595">
        <f t="shared" si="53"/>
        <v>592</v>
      </c>
      <c r="L134" s="591">
        <f t="shared" si="54"/>
        <v>397</v>
      </c>
      <c r="M134" s="591">
        <f t="shared" si="55"/>
        <v>104</v>
      </c>
      <c r="N134" s="591">
        <f t="shared" si="56"/>
        <v>529</v>
      </c>
      <c r="O134" s="591">
        <f t="shared" si="57"/>
        <v>540</v>
      </c>
      <c r="P134" s="315">
        <f t="shared" si="46"/>
        <v>483</v>
      </c>
      <c r="Q134" s="315">
        <f t="shared" si="47"/>
        <v>187</v>
      </c>
      <c r="R134" s="315">
        <f t="shared" si="48"/>
        <v>95</v>
      </c>
      <c r="S134" s="315">
        <f t="shared" si="49"/>
        <v>426</v>
      </c>
      <c r="T134" s="315">
        <f t="shared" si="50"/>
        <v>524</v>
      </c>
      <c r="U134" s="315">
        <f t="shared" si="51"/>
        <v>1715</v>
      </c>
      <c r="V134" s="591">
        <f t="shared" si="58"/>
        <v>593</v>
      </c>
      <c r="W134" s="598">
        <f t="shared" si="52"/>
        <v>593</v>
      </c>
    </row>
    <row r="135" spans="2:23" ht="15">
      <c r="B135" s="996" t="s">
        <v>828</v>
      </c>
      <c r="C135" s="1043" t="s">
        <v>829</v>
      </c>
      <c r="D135" s="1046"/>
      <c r="E135" s="1043" t="s">
        <v>736</v>
      </c>
      <c r="F135" s="1032">
        <f>VALUE(Data.Sard!G133)</f>
        <v>0</v>
      </c>
      <c r="G135" s="844">
        <f>Data.Sard!J133</f>
        <v>-2.0052844264843022</v>
      </c>
      <c r="H135" s="1043">
        <v>176459154</v>
      </c>
      <c r="I135" s="264">
        <f>VALUE(Data.Sard!L133)</f>
        <v>0.68400000000000005</v>
      </c>
      <c r="J135" s="904">
        <f>Data.Sard!N133</f>
        <v>0</v>
      </c>
      <c r="K135" s="595">
        <f t="shared" si="53"/>
        <v>442</v>
      </c>
      <c r="L135" s="591">
        <f t="shared" si="54"/>
        <v>506</v>
      </c>
      <c r="M135" s="591">
        <f t="shared" si="55"/>
        <v>181</v>
      </c>
      <c r="N135" s="591">
        <f t="shared" si="56"/>
        <v>142</v>
      </c>
      <c r="O135" s="591">
        <f t="shared" si="57"/>
        <v>419</v>
      </c>
      <c r="P135" s="315">
        <f t="shared" si="46"/>
        <v>333</v>
      </c>
      <c r="Q135" s="315">
        <f t="shared" si="47"/>
        <v>296</v>
      </c>
      <c r="R135" s="315">
        <f t="shared" si="48"/>
        <v>172</v>
      </c>
      <c r="S135" s="315">
        <f t="shared" si="49"/>
        <v>39</v>
      </c>
      <c r="T135" s="315">
        <f t="shared" si="50"/>
        <v>403</v>
      </c>
      <c r="U135" s="315">
        <f t="shared" si="51"/>
        <v>1243</v>
      </c>
      <c r="V135" s="591">
        <f t="shared" si="58"/>
        <v>330</v>
      </c>
      <c r="W135" s="598">
        <f t="shared" si="52"/>
        <v>330</v>
      </c>
    </row>
    <row r="136" spans="2:23" ht="15">
      <c r="B136" s="996" t="s">
        <v>830</v>
      </c>
      <c r="C136" s="1043" t="s">
        <v>831</v>
      </c>
      <c r="D136" s="1046"/>
      <c r="E136" s="1043" t="s">
        <v>570</v>
      </c>
      <c r="F136" s="1032">
        <f>VALUE(Data.Sard!G134)</f>
        <v>0.61589277166108181</v>
      </c>
      <c r="G136" s="844">
        <f>Data.Sard!J134</f>
        <v>2.3725736290723169</v>
      </c>
      <c r="H136" s="1043">
        <v>1250</v>
      </c>
      <c r="I136" s="264"/>
      <c r="J136" s="904">
        <f>Data.Sard!N134</f>
        <v>-2.4851293935882581</v>
      </c>
      <c r="K136" s="595">
        <f t="shared" si="53"/>
        <v>23</v>
      </c>
      <c r="L136" s="591">
        <f t="shared" si="54"/>
        <v>216</v>
      </c>
      <c r="M136" s="591">
        <f t="shared" si="55"/>
        <v>663</v>
      </c>
      <c r="N136" s="591">
        <f t="shared" si="56"/>
        <v>285</v>
      </c>
      <c r="O136" s="591">
        <f t="shared" si="57"/>
        <v>588</v>
      </c>
      <c r="P136" s="315">
        <f t="shared" si="46"/>
        <v>86</v>
      </c>
      <c r="Q136" s="315">
        <f t="shared" si="47"/>
        <v>6</v>
      </c>
      <c r="R136" s="315">
        <f t="shared" si="48"/>
        <v>654</v>
      </c>
      <c r="S136" s="315">
        <f t="shared" si="49"/>
        <v>182</v>
      </c>
      <c r="T136" s="315">
        <f t="shared" si="50"/>
        <v>572</v>
      </c>
      <c r="U136" s="315">
        <f t="shared" si="51"/>
        <v>1500</v>
      </c>
      <c r="V136" s="591">
        <f t="shared" si="58"/>
        <v>465</v>
      </c>
      <c r="W136" s="598">
        <f t="shared" si="52"/>
        <v>465</v>
      </c>
    </row>
    <row r="137" spans="2:23" ht="15">
      <c r="B137" s="1043" t="s">
        <v>832</v>
      </c>
      <c r="C137" s="1043" t="s">
        <v>833</v>
      </c>
      <c r="D137" s="1046"/>
      <c r="E137" s="1043" t="s">
        <v>611</v>
      </c>
      <c r="F137" s="1032">
        <f>VALUE(Data.Sard!G135)</f>
        <v>0.18878732747477245</v>
      </c>
      <c r="G137" s="844">
        <f>Data.Sard!J135</f>
        <v>0</v>
      </c>
      <c r="H137" s="1043">
        <v>178270136</v>
      </c>
      <c r="I137" s="264"/>
      <c r="J137" s="904">
        <f>Data.Sard!N135</f>
        <v>0.13263585810340478</v>
      </c>
      <c r="K137" s="595">
        <f t="shared" si="53"/>
        <v>119</v>
      </c>
      <c r="L137" s="591">
        <f t="shared" si="54"/>
        <v>397</v>
      </c>
      <c r="M137" s="591">
        <f t="shared" si="55"/>
        <v>178</v>
      </c>
      <c r="N137" s="591">
        <f t="shared" si="56"/>
        <v>285</v>
      </c>
      <c r="O137" s="591">
        <f t="shared" si="57"/>
        <v>107</v>
      </c>
      <c r="P137" s="315">
        <f t="shared" si="46"/>
        <v>10</v>
      </c>
      <c r="Q137" s="315">
        <f t="shared" si="47"/>
        <v>187</v>
      </c>
      <c r="R137" s="315">
        <f t="shared" si="48"/>
        <v>169</v>
      </c>
      <c r="S137" s="315">
        <f t="shared" si="49"/>
        <v>182</v>
      </c>
      <c r="T137" s="315">
        <f t="shared" si="50"/>
        <v>91</v>
      </c>
      <c r="U137" s="315">
        <f t="shared" si="51"/>
        <v>639</v>
      </c>
      <c r="V137" s="591">
        <f t="shared" si="58"/>
        <v>89</v>
      </c>
      <c r="W137" s="598">
        <f t="shared" si="52"/>
        <v>89</v>
      </c>
    </row>
    <row r="138" spans="2:23" ht="15">
      <c r="B138" s="996" t="s">
        <v>834</v>
      </c>
      <c r="C138" s="1043" t="s">
        <v>835</v>
      </c>
      <c r="D138" s="1046"/>
      <c r="E138" s="1043" t="s">
        <v>546</v>
      </c>
      <c r="F138" s="1032">
        <f>VALUE(Data.Sard!G136)</f>
        <v>-0.42621698531411895</v>
      </c>
      <c r="G138" s="844">
        <f>Data.Sard!J136</f>
        <v>14.199902473084311</v>
      </c>
      <c r="H138" s="1043">
        <v>10472804</v>
      </c>
      <c r="I138" s="264">
        <f>VALUE(Data.Sard!L136)</f>
        <v>-0.53500000000000003</v>
      </c>
      <c r="J138" s="904">
        <f>Data.Sard!N136</f>
        <v>-1.6408496139090478</v>
      </c>
      <c r="K138" s="595">
        <f t="shared" si="53"/>
        <v>568</v>
      </c>
      <c r="L138" s="591">
        <f t="shared" si="54"/>
        <v>40</v>
      </c>
      <c r="M138" s="591">
        <f t="shared" si="55"/>
        <v>466</v>
      </c>
      <c r="N138" s="591">
        <f t="shared" si="56"/>
        <v>391</v>
      </c>
      <c r="O138" s="591">
        <f t="shared" si="57"/>
        <v>582</v>
      </c>
      <c r="P138" s="315">
        <f t="shared" si="46"/>
        <v>459</v>
      </c>
      <c r="Q138" s="315">
        <f t="shared" si="47"/>
        <v>170</v>
      </c>
      <c r="R138" s="315">
        <f t="shared" si="48"/>
        <v>457</v>
      </c>
      <c r="S138" s="315">
        <f t="shared" si="49"/>
        <v>288</v>
      </c>
      <c r="T138" s="315">
        <f t="shared" si="50"/>
        <v>566</v>
      </c>
      <c r="U138" s="315">
        <f t="shared" si="51"/>
        <v>1940</v>
      </c>
      <c r="V138" s="591">
        <f t="shared" si="58"/>
        <v>690</v>
      </c>
      <c r="W138" s="598">
        <f t="shared" si="52"/>
        <v>690</v>
      </c>
    </row>
    <row r="139" spans="2:23" ht="15">
      <c r="B139" s="996" t="s">
        <v>836</v>
      </c>
      <c r="C139" s="1043" t="s">
        <v>837</v>
      </c>
      <c r="D139" s="1046"/>
      <c r="E139" s="1043" t="s">
        <v>706</v>
      </c>
      <c r="F139" s="1032">
        <f>VALUE(Data.Sard!G137)</f>
        <v>3.3084176531875037E-2</v>
      </c>
      <c r="G139" s="844">
        <f>Data.Sard!J137</f>
        <v>52.368415811820022</v>
      </c>
      <c r="H139" s="1043">
        <v>216200498</v>
      </c>
      <c r="I139" s="264">
        <f>VALUE(Data.Sard!L137)</f>
        <v>-61.444000000000003</v>
      </c>
      <c r="J139" s="904">
        <f>Data.Sard!N137</f>
        <v>6.6484546862486888E-3</v>
      </c>
      <c r="K139" s="595">
        <f t="shared" si="53"/>
        <v>367</v>
      </c>
      <c r="L139" s="591">
        <f t="shared" si="54"/>
        <v>9</v>
      </c>
      <c r="M139" s="591">
        <f t="shared" si="55"/>
        <v>168</v>
      </c>
      <c r="N139" s="591">
        <f t="shared" si="56"/>
        <v>540</v>
      </c>
      <c r="O139" s="591">
        <f t="shared" si="57"/>
        <v>404</v>
      </c>
      <c r="P139" s="315">
        <f t="shared" si="46"/>
        <v>258</v>
      </c>
      <c r="Q139" s="315">
        <f t="shared" si="47"/>
        <v>201</v>
      </c>
      <c r="R139" s="315">
        <f t="shared" si="48"/>
        <v>159</v>
      </c>
      <c r="S139" s="315">
        <f t="shared" si="49"/>
        <v>437</v>
      </c>
      <c r="T139" s="315">
        <f t="shared" si="50"/>
        <v>388</v>
      </c>
      <c r="U139" s="315">
        <f t="shared" si="51"/>
        <v>1443</v>
      </c>
      <c r="V139" s="591">
        <f t="shared" si="58"/>
        <v>433</v>
      </c>
      <c r="W139" s="598">
        <f t="shared" si="52"/>
        <v>433</v>
      </c>
    </row>
    <row r="140" spans="2:23" ht="15">
      <c r="B140" s="1043" t="s">
        <v>838</v>
      </c>
      <c r="C140" s="1043" t="s">
        <v>839</v>
      </c>
      <c r="D140" s="1046"/>
      <c r="E140" s="1043" t="s">
        <v>584</v>
      </c>
      <c r="F140" s="1032">
        <f>VALUE(Data.Sard!G138)</f>
        <v>1.8980211769386458E-2</v>
      </c>
      <c r="G140" s="844">
        <f>Data.Sard!J138</f>
        <v>-38.824493333537561</v>
      </c>
      <c r="H140" s="1043">
        <v>253962598</v>
      </c>
      <c r="I140" s="264">
        <f>VALUE(Data.Sard!L138)</f>
        <v>-5.0439999999999996</v>
      </c>
      <c r="J140" s="904">
        <f>Data.Sard!N138</f>
        <v>2.5542508437394022E-2</v>
      </c>
      <c r="K140" s="595">
        <f t="shared" si="53"/>
        <v>405</v>
      </c>
      <c r="L140" s="591">
        <f t="shared" si="54"/>
        <v>591</v>
      </c>
      <c r="M140" s="591">
        <f t="shared" si="55"/>
        <v>153</v>
      </c>
      <c r="N140" s="591">
        <f t="shared" si="56"/>
        <v>521</v>
      </c>
      <c r="O140" s="591">
        <f t="shared" si="57"/>
        <v>351</v>
      </c>
      <c r="P140" s="315">
        <f t="shared" si="46"/>
        <v>296</v>
      </c>
      <c r="Q140" s="315">
        <f t="shared" si="47"/>
        <v>381</v>
      </c>
      <c r="R140" s="315">
        <f t="shared" si="48"/>
        <v>144</v>
      </c>
      <c r="S140" s="315">
        <f t="shared" si="49"/>
        <v>418</v>
      </c>
      <c r="T140" s="315">
        <f t="shared" si="50"/>
        <v>335</v>
      </c>
      <c r="U140" s="315">
        <f t="shared" si="51"/>
        <v>1574</v>
      </c>
      <c r="V140" s="591">
        <f t="shared" si="58"/>
        <v>515</v>
      </c>
      <c r="W140" s="598">
        <f t="shared" si="52"/>
        <v>515</v>
      </c>
    </row>
    <row r="141" spans="2:23" ht="15">
      <c r="B141" s="1043" t="s">
        <v>840</v>
      </c>
      <c r="C141" s="1043" t="s">
        <v>841</v>
      </c>
      <c r="D141" s="1046"/>
      <c r="E141" s="1043" t="s">
        <v>584</v>
      </c>
      <c r="F141" s="1032">
        <f>VALUE(Data.Sard!G139)</f>
        <v>-0.14146883636506374</v>
      </c>
      <c r="G141" s="844">
        <f>Data.Sard!J139</f>
        <v>0.36460176991195575</v>
      </c>
      <c r="H141" s="1043">
        <v>23798634</v>
      </c>
      <c r="I141" s="264">
        <f>VALUE(Data.Sard!L139)</f>
        <v>0.58099999999999996</v>
      </c>
      <c r="J141" s="904">
        <f>Data.Sard!N139</f>
        <v>-1.9027335105819953E-2</v>
      </c>
      <c r="K141" s="595">
        <f t="shared" si="53"/>
        <v>530</v>
      </c>
      <c r="L141" s="591">
        <f t="shared" si="54"/>
        <v>346</v>
      </c>
      <c r="M141" s="591">
        <f t="shared" si="55"/>
        <v>372</v>
      </c>
      <c r="N141" s="591">
        <f t="shared" si="56"/>
        <v>164</v>
      </c>
      <c r="O141" s="591">
        <f t="shared" si="57"/>
        <v>450</v>
      </c>
      <c r="P141" s="315">
        <f t="shared" si="46"/>
        <v>421</v>
      </c>
      <c r="Q141" s="315">
        <f t="shared" si="47"/>
        <v>136</v>
      </c>
      <c r="R141" s="315">
        <f t="shared" si="48"/>
        <v>363</v>
      </c>
      <c r="S141" s="315">
        <f t="shared" si="49"/>
        <v>61</v>
      </c>
      <c r="T141" s="315">
        <f t="shared" si="50"/>
        <v>434</v>
      </c>
      <c r="U141" s="315">
        <f t="shared" si="51"/>
        <v>1415</v>
      </c>
      <c r="V141" s="591">
        <f t="shared" si="58"/>
        <v>420</v>
      </c>
      <c r="W141" s="598">
        <f t="shared" si="52"/>
        <v>420</v>
      </c>
    </row>
    <row r="142" spans="2:23" ht="15">
      <c r="B142" s="996" t="s">
        <v>842</v>
      </c>
      <c r="C142" s="1043" t="s">
        <v>843</v>
      </c>
      <c r="D142" s="1046"/>
      <c r="E142" s="1043" t="s">
        <v>579</v>
      </c>
      <c r="F142" s="1032">
        <f>VALUE(Data.Sard!G140)</f>
        <v>0.27741595947632175</v>
      </c>
      <c r="G142" s="844">
        <f>Data.Sard!J140</f>
        <v>0.83105688122707477</v>
      </c>
      <c r="H142" s="1043">
        <v>264876748873</v>
      </c>
      <c r="I142" s="264">
        <f>VALUE(Data.Sard!L140)</f>
        <v>0.35899999999999999</v>
      </c>
      <c r="J142" s="904">
        <f>Data.Sard!N140</f>
        <v>0.42079392269322646</v>
      </c>
      <c r="K142" s="595">
        <f t="shared" si="53"/>
        <v>68</v>
      </c>
      <c r="L142" s="591">
        <f t="shared" si="54"/>
        <v>306</v>
      </c>
      <c r="M142" s="591">
        <f t="shared" si="55"/>
        <v>2</v>
      </c>
      <c r="N142" s="591">
        <f t="shared" si="56"/>
        <v>196</v>
      </c>
      <c r="O142" s="591">
        <f t="shared" si="57"/>
        <v>10</v>
      </c>
      <c r="P142" s="315">
        <f t="shared" si="46"/>
        <v>41</v>
      </c>
      <c r="Q142" s="315">
        <f t="shared" si="47"/>
        <v>96</v>
      </c>
      <c r="R142" s="315">
        <f t="shared" si="48"/>
        <v>7</v>
      </c>
      <c r="S142" s="315">
        <f t="shared" si="49"/>
        <v>93</v>
      </c>
      <c r="T142" s="315">
        <f t="shared" si="50"/>
        <v>6</v>
      </c>
      <c r="U142" s="315">
        <f t="shared" si="51"/>
        <v>243</v>
      </c>
      <c r="V142" s="591">
        <f t="shared" si="58"/>
        <v>3</v>
      </c>
      <c r="W142" s="598">
        <f t="shared" si="52"/>
        <v>3</v>
      </c>
    </row>
    <row r="143" spans="2:23" ht="15">
      <c r="B143" s="996" t="s">
        <v>844</v>
      </c>
      <c r="C143" s="1043" t="s">
        <v>845</v>
      </c>
      <c r="D143" s="1046"/>
      <c r="E143" s="1043" t="s">
        <v>736</v>
      </c>
      <c r="F143" s="1032">
        <f>VALUE(Data.Sard!G141)</f>
        <v>9.9939266111372813E-2</v>
      </c>
      <c r="G143" s="844">
        <f>Data.Sard!J141</f>
        <v>3.4920071049263814</v>
      </c>
      <c r="H143" s="1043">
        <v>594149731</v>
      </c>
      <c r="I143" s="264">
        <f>VALUE(Data.Sard!L141)</f>
        <v>0.20699999999999999</v>
      </c>
      <c r="J143" s="904">
        <f>Data.Sard!N141</f>
        <v>9.4775251715791042E-2</v>
      </c>
      <c r="K143" s="595">
        <f t="shared" si="53"/>
        <v>232</v>
      </c>
      <c r="L143" s="591">
        <f t="shared" si="54"/>
        <v>163</v>
      </c>
      <c r="M143" s="591">
        <f t="shared" si="55"/>
        <v>88</v>
      </c>
      <c r="N143" s="591">
        <f t="shared" si="56"/>
        <v>236</v>
      </c>
      <c r="O143" s="591">
        <f t="shared" si="57"/>
        <v>168</v>
      </c>
      <c r="P143" s="315">
        <f t="shared" si="46"/>
        <v>123</v>
      </c>
      <c r="Q143" s="315">
        <f t="shared" si="47"/>
        <v>47</v>
      </c>
      <c r="R143" s="315">
        <f t="shared" si="48"/>
        <v>79</v>
      </c>
      <c r="S143" s="315">
        <f t="shared" si="49"/>
        <v>133</v>
      </c>
      <c r="T143" s="315">
        <f t="shared" si="50"/>
        <v>152</v>
      </c>
      <c r="U143" s="315">
        <f t="shared" si="51"/>
        <v>534</v>
      </c>
      <c r="V143" s="591">
        <f t="shared" si="58"/>
        <v>45</v>
      </c>
      <c r="W143" s="598">
        <f t="shared" si="52"/>
        <v>45</v>
      </c>
    </row>
    <row r="144" spans="2:23" ht="15">
      <c r="B144" s="996" t="s">
        <v>846</v>
      </c>
      <c r="C144" s="1043" t="s">
        <v>847</v>
      </c>
      <c r="D144" s="1046"/>
      <c r="E144" s="1043" t="s">
        <v>579</v>
      </c>
      <c r="F144" s="1032">
        <f>VALUE(Data.Sard!G142)</f>
        <v>0.15943824865963566</v>
      </c>
      <c r="G144" s="844">
        <f>Data.Sard!J142</f>
        <v>-1.2684879879701143</v>
      </c>
      <c r="H144" s="1043">
        <v>646016492</v>
      </c>
      <c r="I144" s="264">
        <f>VALUE(Data.Sard!L142)</f>
        <v>0.86099999999999999</v>
      </c>
      <c r="J144" s="904">
        <f>Data.Sard!N142</f>
        <v>0.13385639561767546</v>
      </c>
      <c r="K144" s="595">
        <f t="shared" si="53"/>
        <v>149</v>
      </c>
      <c r="L144" s="591">
        <f t="shared" si="54"/>
        <v>490</v>
      </c>
      <c r="M144" s="591">
        <f t="shared" si="55"/>
        <v>84</v>
      </c>
      <c r="N144" s="591">
        <f t="shared" si="56"/>
        <v>120</v>
      </c>
      <c r="O144" s="591">
        <f t="shared" si="57"/>
        <v>104</v>
      </c>
      <c r="P144" s="315">
        <f t="shared" si="46"/>
        <v>40</v>
      </c>
      <c r="Q144" s="315">
        <f t="shared" si="47"/>
        <v>280</v>
      </c>
      <c r="R144" s="315">
        <f t="shared" si="48"/>
        <v>75</v>
      </c>
      <c r="S144" s="315">
        <f t="shared" si="49"/>
        <v>17</v>
      </c>
      <c r="T144" s="315">
        <f t="shared" si="50"/>
        <v>88</v>
      </c>
      <c r="U144" s="315">
        <f t="shared" si="51"/>
        <v>500</v>
      </c>
      <c r="V144" s="591">
        <f t="shared" si="58"/>
        <v>36</v>
      </c>
      <c r="W144" s="598">
        <f t="shared" si="52"/>
        <v>36</v>
      </c>
    </row>
    <row r="145" spans="2:23" ht="15">
      <c r="B145" s="996" t="s">
        <v>848</v>
      </c>
      <c r="C145" s="1043" t="s">
        <v>849</v>
      </c>
      <c r="D145" s="1046"/>
      <c r="E145" s="1043" t="s">
        <v>546</v>
      </c>
      <c r="F145" s="1032">
        <f>VALUE(Data.Sard!G143)</f>
        <v>-2.8107664495872036</v>
      </c>
      <c r="G145" s="844">
        <f>Data.Sard!J143</f>
        <v>0.73931483975781709</v>
      </c>
      <c r="H145" s="1043">
        <v>39804585</v>
      </c>
      <c r="I145" s="264"/>
      <c r="J145" s="904">
        <f>Data.Sard!N143</f>
        <v>-0.49724262767238081</v>
      </c>
      <c r="K145" s="595">
        <f t="shared" si="53"/>
        <v>601</v>
      </c>
      <c r="L145" s="591">
        <f t="shared" si="54"/>
        <v>313</v>
      </c>
      <c r="M145" s="591">
        <f t="shared" si="55"/>
        <v>319</v>
      </c>
      <c r="N145" s="591">
        <f t="shared" si="56"/>
        <v>285</v>
      </c>
      <c r="O145" s="591">
        <f t="shared" si="57"/>
        <v>556</v>
      </c>
      <c r="P145" s="315">
        <f t="shared" si="46"/>
        <v>492</v>
      </c>
      <c r="Q145" s="315">
        <f t="shared" si="47"/>
        <v>103</v>
      </c>
      <c r="R145" s="315">
        <f t="shared" si="48"/>
        <v>310</v>
      </c>
      <c r="S145" s="315">
        <f t="shared" si="49"/>
        <v>182</v>
      </c>
      <c r="T145" s="315">
        <f t="shared" si="50"/>
        <v>540</v>
      </c>
      <c r="U145" s="315">
        <f t="shared" si="51"/>
        <v>1627</v>
      </c>
      <c r="V145" s="591">
        <f t="shared" si="58"/>
        <v>548</v>
      </c>
      <c r="W145" s="598">
        <f t="shared" si="52"/>
        <v>548</v>
      </c>
    </row>
    <row r="146" spans="2:23" ht="15">
      <c r="B146" s="1043" t="s">
        <v>850</v>
      </c>
      <c r="C146" s="1043" t="s">
        <v>851</v>
      </c>
      <c r="D146" s="1046"/>
      <c r="E146" s="1043" t="s">
        <v>584</v>
      </c>
      <c r="F146" s="1032">
        <f>VALUE(Data.Sard!G144)</f>
        <v>0.30513683922124357</v>
      </c>
      <c r="G146" s="844">
        <f>Data.Sard!J144</f>
        <v>0.36070772817540697</v>
      </c>
      <c r="H146" s="1043">
        <v>836179925</v>
      </c>
      <c r="I146" s="264">
        <f>VALUE(Data.Sard!L144)</f>
        <v>0.245</v>
      </c>
      <c r="J146" s="904">
        <f>Data.Sard!N144</f>
        <v>0.19919382883756212</v>
      </c>
      <c r="K146" s="595">
        <f t="shared" si="53"/>
        <v>57</v>
      </c>
      <c r="L146" s="591">
        <f t="shared" si="54"/>
        <v>348</v>
      </c>
      <c r="M146" s="591">
        <f t="shared" si="55"/>
        <v>70</v>
      </c>
      <c r="N146" s="591">
        <f t="shared" si="56"/>
        <v>223</v>
      </c>
      <c r="O146" s="591">
        <f t="shared" si="57"/>
        <v>50</v>
      </c>
      <c r="P146" s="315">
        <f t="shared" si="46"/>
        <v>52</v>
      </c>
      <c r="Q146" s="315">
        <f t="shared" si="47"/>
        <v>138</v>
      </c>
      <c r="R146" s="315">
        <f t="shared" si="48"/>
        <v>61</v>
      </c>
      <c r="S146" s="315">
        <f t="shared" si="49"/>
        <v>120</v>
      </c>
      <c r="T146" s="315">
        <f t="shared" si="50"/>
        <v>34</v>
      </c>
      <c r="U146" s="315">
        <f t="shared" si="51"/>
        <v>405</v>
      </c>
      <c r="V146" s="591">
        <f t="shared" si="58"/>
        <v>16</v>
      </c>
      <c r="W146" s="598">
        <f t="shared" si="52"/>
        <v>16</v>
      </c>
    </row>
    <row r="147" spans="2:23" ht="15">
      <c r="B147" s="996" t="s">
        <v>852</v>
      </c>
      <c r="C147" s="1043" t="s">
        <v>853</v>
      </c>
      <c r="D147" s="1046"/>
      <c r="E147" s="1043" t="s">
        <v>854</v>
      </c>
      <c r="F147" s="1032">
        <f>VALUE(Data.Sard!G145)</f>
        <v>0.20522912048645875</v>
      </c>
      <c r="G147" s="844">
        <f>Data.Sard!J145</f>
        <v>-42.890422476015743</v>
      </c>
      <c r="H147" s="1043">
        <v>41614728</v>
      </c>
      <c r="I147" s="264">
        <f>VALUE(Data.Sard!L145)</f>
        <v>-0.33300000000000002</v>
      </c>
      <c r="J147" s="904">
        <f>Data.Sard!N145</f>
        <v>0.30672218717457883</v>
      </c>
      <c r="K147" s="595">
        <f t="shared" si="53"/>
        <v>104</v>
      </c>
      <c r="L147" s="591">
        <f t="shared" si="54"/>
        <v>592</v>
      </c>
      <c r="M147" s="591">
        <f t="shared" si="55"/>
        <v>313</v>
      </c>
      <c r="N147" s="591">
        <f t="shared" si="56"/>
        <v>360</v>
      </c>
      <c r="O147" s="591">
        <f t="shared" si="57"/>
        <v>14</v>
      </c>
      <c r="P147" s="315">
        <f t="shared" si="46"/>
        <v>5</v>
      </c>
      <c r="Q147" s="315">
        <f t="shared" si="47"/>
        <v>382</v>
      </c>
      <c r="R147" s="315">
        <f t="shared" si="48"/>
        <v>304</v>
      </c>
      <c r="S147" s="315">
        <f t="shared" si="49"/>
        <v>257</v>
      </c>
      <c r="T147" s="315">
        <f t="shared" si="50"/>
        <v>2</v>
      </c>
      <c r="U147" s="315">
        <f t="shared" si="51"/>
        <v>950</v>
      </c>
      <c r="V147" s="591">
        <f t="shared" si="58"/>
        <v>211</v>
      </c>
      <c r="W147" s="598">
        <f t="shared" si="52"/>
        <v>211</v>
      </c>
    </row>
    <row r="148" spans="2:23" ht="15">
      <c r="B148" s="996" t="s">
        <v>855</v>
      </c>
      <c r="C148" s="1043" t="s">
        <v>856</v>
      </c>
      <c r="D148" s="1046"/>
      <c r="E148" s="1043" t="s">
        <v>706</v>
      </c>
      <c r="F148" s="1032">
        <f>VALUE(Data.Sard!G146)</f>
        <v>-0.14482488526828777</v>
      </c>
      <c r="G148" s="844">
        <f>Data.Sard!J146</f>
        <v>-5.8496719110034741E-2</v>
      </c>
      <c r="H148" s="1043">
        <v>91722615</v>
      </c>
      <c r="I148" s="264">
        <f>VALUE(Data.Sard!L146)</f>
        <v>52.823999999999998</v>
      </c>
      <c r="J148" s="904">
        <f>Data.Sard!N146</f>
        <v>-6.9679737560165997E-3</v>
      </c>
      <c r="K148" s="595">
        <f t="shared" si="53"/>
        <v>531</v>
      </c>
      <c r="L148" s="591">
        <f t="shared" si="54"/>
        <v>444</v>
      </c>
      <c r="M148" s="591">
        <f t="shared" si="55"/>
        <v>237</v>
      </c>
      <c r="N148" s="591">
        <f t="shared" si="56"/>
        <v>4</v>
      </c>
      <c r="O148" s="591">
        <f t="shared" si="57"/>
        <v>436</v>
      </c>
      <c r="P148" s="315">
        <f t="shared" si="46"/>
        <v>422</v>
      </c>
      <c r="Q148" s="315">
        <f t="shared" si="47"/>
        <v>234</v>
      </c>
      <c r="R148" s="315">
        <f t="shared" si="48"/>
        <v>228</v>
      </c>
      <c r="S148" s="315">
        <f t="shared" si="49"/>
        <v>99</v>
      </c>
      <c r="T148" s="315">
        <f t="shared" si="50"/>
        <v>420</v>
      </c>
      <c r="U148" s="315">
        <f t="shared" si="51"/>
        <v>1403</v>
      </c>
      <c r="V148" s="591">
        <f t="shared" si="58"/>
        <v>411</v>
      </c>
      <c r="W148" s="598">
        <f t="shared" si="52"/>
        <v>411</v>
      </c>
    </row>
    <row r="149" spans="2:23" ht="15">
      <c r="B149" s="996" t="s">
        <v>857</v>
      </c>
      <c r="C149" s="1043" t="s">
        <v>858</v>
      </c>
      <c r="D149" s="994"/>
      <c r="E149" s="1043" t="s">
        <v>859</v>
      </c>
      <c r="F149" s="1032">
        <f>VALUE(Data.Sard!G147)</f>
        <v>-1.2684585936379715</v>
      </c>
      <c r="G149" s="844">
        <f>Data.Sard!J147</f>
        <v>9.7988948528373504E-2</v>
      </c>
      <c r="H149" s="1003">
        <v>0</v>
      </c>
      <c r="I149" s="264">
        <f>VALUE(Data.Sard!L147)</f>
        <v>1.018</v>
      </c>
      <c r="J149" s="904">
        <f>Data.Sard!N147</f>
        <v>-0.54292469883021466</v>
      </c>
      <c r="K149" s="595">
        <f t="shared" si="53"/>
        <v>599</v>
      </c>
      <c r="L149" s="591">
        <f t="shared" si="54"/>
        <v>377</v>
      </c>
      <c r="M149" s="591">
        <f t="shared" si="55"/>
        <v>677</v>
      </c>
      <c r="N149" s="591">
        <f t="shared" si="56"/>
        <v>100</v>
      </c>
      <c r="O149" s="591">
        <f t="shared" si="57"/>
        <v>559</v>
      </c>
      <c r="P149" s="315">
        <f t="shared" si="46"/>
        <v>490</v>
      </c>
      <c r="Q149" s="315">
        <f t="shared" si="47"/>
        <v>167</v>
      </c>
      <c r="R149" s="315">
        <f t="shared" si="48"/>
        <v>668</v>
      </c>
      <c r="S149" s="315">
        <f t="shared" si="49"/>
        <v>3</v>
      </c>
      <c r="T149" s="315">
        <f t="shared" si="50"/>
        <v>543</v>
      </c>
      <c r="U149" s="315">
        <f t="shared" si="51"/>
        <v>1871</v>
      </c>
      <c r="V149" s="591">
        <f t="shared" si="58"/>
        <v>673</v>
      </c>
      <c r="W149" s="598">
        <f t="shared" si="52"/>
        <v>673</v>
      </c>
    </row>
    <row r="150" spans="2:23" ht="15">
      <c r="B150" s="996" t="s">
        <v>860</v>
      </c>
      <c r="C150" s="1043" t="s">
        <v>861</v>
      </c>
      <c r="D150" s="1046"/>
      <c r="E150" s="1043" t="s">
        <v>736</v>
      </c>
      <c r="F150" s="1032">
        <f>VALUE(Data.Sard!G148)</f>
        <v>5.831544594670432E-2</v>
      </c>
      <c r="G150" s="844">
        <f>Data.Sard!J148</f>
        <v>-6.5927021720306849</v>
      </c>
      <c r="H150" s="1043">
        <v>486665188</v>
      </c>
      <c r="I150" s="264"/>
      <c r="J150" s="904">
        <f>Data.Sard!N148</f>
        <v>3.3498462589447657E-2</v>
      </c>
      <c r="K150" s="595">
        <f t="shared" si="53"/>
        <v>310</v>
      </c>
      <c r="L150" s="591">
        <f t="shared" si="54"/>
        <v>549</v>
      </c>
      <c r="M150" s="591">
        <f t="shared" si="55"/>
        <v>101</v>
      </c>
      <c r="N150" s="591">
        <f t="shared" si="56"/>
        <v>285</v>
      </c>
      <c r="O150" s="591">
        <f t="shared" si="57"/>
        <v>326</v>
      </c>
      <c r="P150" s="315">
        <f t="shared" si="46"/>
        <v>201</v>
      </c>
      <c r="Q150" s="315">
        <f t="shared" si="47"/>
        <v>339</v>
      </c>
      <c r="R150" s="315">
        <f t="shared" si="48"/>
        <v>92</v>
      </c>
      <c r="S150" s="315">
        <f t="shared" si="49"/>
        <v>182</v>
      </c>
      <c r="T150" s="315">
        <f t="shared" si="50"/>
        <v>310</v>
      </c>
      <c r="U150" s="315">
        <f t="shared" si="51"/>
        <v>1124</v>
      </c>
      <c r="V150" s="591">
        <f t="shared" si="58"/>
        <v>281</v>
      </c>
      <c r="W150" s="598">
        <f t="shared" si="52"/>
        <v>281</v>
      </c>
    </row>
    <row r="151" spans="2:23" ht="15">
      <c r="B151" s="1043" t="s">
        <v>862</v>
      </c>
      <c r="C151" s="1043" t="s">
        <v>863</v>
      </c>
      <c r="D151" s="994"/>
      <c r="E151" s="1043" t="s">
        <v>678</v>
      </c>
      <c r="F151" s="1032">
        <f>VALUE(Data.Sard!G149)</f>
        <v>0.26973691996554078</v>
      </c>
      <c r="G151" s="844">
        <f>Data.Sard!J149</f>
        <v>1.0620355384828002</v>
      </c>
      <c r="H151" s="1003">
        <v>0</v>
      </c>
      <c r="I151" s="264">
        <f>VALUE(Data.Sard!L149)</f>
        <v>3.03</v>
      </c>
      <c r="J151" s="904"/>
      <c r="K151" s="595">
        <f t="shared" si="53"/>
        <v>74</v>
      </c>
      <c r="L151" s="591">
        <f t="shared" si="54"/>
        <v>290</v>
      </c>
      <c r="M151" s="591">
        <f t="shared" si="55"/>
        <v>677</v>
      </c>
      <c r="N151" s="591">
        <f t="shared" si="56"/>
        <v>34</v>
      </c>
      <c r="O151" s="591">
        <f t="shared" si="57"/>
        <v>419</v>
      </c>
      <c r="P151" s="315">
        <f t="shared" si="46"/>
        <v>35</v>
      </c>
      <c r="Q151" s="315">
        <f t="shared" si="47"/>
        <v>80</v>
      </c>
      <c r="R151" s="315">
        <f t="shared" si="48"/>
        <v>668</v>
      </c>
      <c r="S151" s="315">
        <f t="shared" si="49"/>
        <v>69</v>
      </c>
      <c r="T151" s="315">
        <f t="shared" si="50"/>
        <v>403</v>
      </c>
      <c r="U151" s="315">
        <f t="shared" si="51"/>
        <v>1255</v>
      </c>
      <c r="V151" s="591">
        <f t="shared" si="58"/>
        <v>335</v>
      </c>
      <c r="W151" s="598">
        <f t="shared" si="52"/>
        <v>335</v>
      </c>
    </row>
    <row r="152" spans="2:23" ht="15">
      <c r="B152" s="1043" t="s">
        <v>864</v>
      </c>
      <c r="C152" s="1043" t="s">
        <v>865</v>
      </c>
      <c r="D152" s="1046"/>
      <c r="E152" s="1043" t="s">
        <v>584</v>
      </c>
      <c r="F152" s="1032">
        <f>VALUE(Data.Sard!G150)</f>
        <v>4.424578285115708E-2</v>
      </c>
      <c r="G152" s="844">
        <f>Data.Sard!J150</f>
        <v>8.6762302639974989E-2</v>
      </c>
      <c r="H152" s="1043">
        <v>201603889</v>
      </c>
      <c r="I152" s="264">
        <f>VALUE(Data.Sard!L150)</f>
        <v>-1.099</v>
      </c>
      <c r="J152" s="904">
        <f>Data.Sard!N150</f>
        <v>0.16329064986266703</v>
      </c>
      <c r="K152" s="595">
        <f t="shared" si="53"/>
        <v>344</v>
      </c>
      <c r="L152" s="591">
        <f t="shared" si="54"/>
        <v>379</v>
      </c>
      <c r="M152" s="591">
        <f t="shared" si="55"/>
        <v>172</v>
      </c>
      <c r="N152" s="591">
        <f t="shared" si="56"/>
        <v>442</v>
      </c>
      <c r="O152" s="591">
        <f t="shared" si="57"/>
        <v>81</v>
      </c>
      <c r="P152" s="315">
        <f t="shared" si="46"/>
        <v>235</v>
      </c>
      <c r="Q152" s="315">
        <f t="shared" si="47"/>
        <v>169</v>
      </c>
      <c r="R152" s="315">
        <f t="shared" si="48"/>
        <v>163</v>
      </c>
      <c r="S152" s="315">
        <f t="shared" si="49"/>
        <v>339</v>
      </c>
      <c r="T152" s="315">
        <f t="shared" si="50"/>
        <v>65</v>
      </c>
      <c r="U152" s="315">
        <f t="shared" si="51"/>
        <v>971</v>
      </c>
      <c r="V152" s="591">
        <f t="shared" si="58"/>
        <v>228</v>
      </c>
      <c r="W152" s="598">
        <f t="shared" si="52"/>
        <v>228</v>
      </c>
    </row>
    <row r="153" spans="2:23" ht="15">
      <c r="B153" s="1043" t="s">
        <v>866</v>
      </c>
      <c r="C153" s="1043" t="s">
        <v>867</v>
      </c>
      <c r="D153" s="1046"/>
      <c r="E153" s="1043" t="s">
        <v>584</v>
      </c>
      <c r="F153" s="1032">
        <f>VALUE(Data.Sard!G151)</f>
        <v>8.9386219904724534E-2</v>
      </c>
      <c r="G153" s="844">
        <f>Data.Sard!J151</f>
        <v>12.772992669918473</v>
      </c>
      <c r="H153" s="1043">
        <v>62083279</v>
      </c>
      <c r="I153" s="264">
        <f>VALUE(Data.Sard!L151)</f>
        <v>0.496</v>
      </c>
      <c r="J153" s="904">
        <f>Data.Sard!N151</f>
        <v>7.2237384502643692E-2</v>
      </c>
      <c r="K153" s="595">
        <f t="shared" si="53"/>
        <v>246</v>
      </c>
      <c r="L153" s="591">
        <f t="shared" si="54"/>
        <v>51</v>
      </c>
      <c r="M153" s="591">
        <f t="shared" si="55"/>
        <v>272</v>
      </c>
      <c r="N153" s="591">
        <f t="shared" si="56"/>
        <v>174</v>
      </c>
      <c r="O153" s="591">
        <f t="shared" si="57"/>
        <v>214</v>
      </c>
      <c r="P153" s="315">
        <f t="shared" si="46"/>
        <v>137</v>
      </c>
      <c r="Q153" s="315">
        <f t="shared" si="47"/>
        <v>159</v>
      </c>
      <c r="R153" s="315">
        <f t="shared" si="48"/>
        <v>263</v>
      </c>
      <c r="S153" s="315">
        <f t="shared" si="49"/>
        <v>71</v>
      </c>
      <c r="T153" s="315">
        <f t="shared" si="50"/>
        <v>198</v>
      </c>
      <c r="U153" s="315">
        <f t="shared" si="51"/>
        <v>828</v>
      </c>
      <c r="V153" s="591">
        <f t="shared" si="58"/>
        <v>157</v>
      </c>
      <c r="W153" s="598">
        <f t="shared" si="52"/>
        <v>157</v>
      </c>
    </row>
    <row r="154" spans="2:23" ht="15">
      <c r="B154" s="996" t="s">
        <v>868</v>
      </c>
      <c r="C154" s="1043" t="s">
        <v>869</v>
      </c>
      <c r="D154" s="1046"/>
      <c r="E154" s="1043" t="s">
        <v>870</v>
      </c>
      <c r="F154" s="1032">
        <f>VALUE(Data.Sard!G152)</f>
        <v>9.7264437716531413E-2</v>
      </c>
      <c r="G154" s="844">
        <f>Data.Sard!J152</f>
        <v>2.0824873451427695</v>
      </c>
      <c r="H154" s="1043">
        <v>4194500</v>
      </c>
      <c r="I154" s="264">
        <f>VALUE(Data.Sard!L152)</f>
        <v>-6.8000000000000005E-2</v>
      </c>
      <c r="J154" s="904">
        <f>Data.Sard!N152</f>
        <v>7.7664399249720018E-2</v>
      </c>
      <c r="K154" s="595">
        <f t="shared" si="53"/>
        <v>239</v>
      </c>
      <c r="L154" s="591">
        <f t="shared" si="54"/>
        <v>238</v>
      </c>
      <c r="M154" s="591">
        <f t="shared" si="55"/>
        <v>543</v>
      </c>
      <c r="N154" s="591">
        <f t="shared" si="56"/>
        <v>305</v>
      </c>
      <c r="O154" s="591">
        <f t="shared" si="57"/>
        <v>199</v>
      </c>
      <c r="P154" s="315">
        <f t="shared" si="46"/>
        <v>130</v>
      </c>
      <c r="Q154" s="315">
        <f t="shared" si="47"/>
        <v>28</v>
      </c>
      <c r="R154" s="315">
        <f t="shared" si="48"/>
        <v>534</v>
      </c>
      <c r="S154" s="315">
        <f t="shared" si="49"/>
        <v>202</v>
      </c>
      <c r="T154" s="315">
        <f t="shared" si="50"/>
        <v>183</v>
      </c>
      <c r="U154" s="315">
        <f t="shared" si="51"/>
        <v>1077</v>
      </c>
      <c r="V154" s="591">
        <f t="shared" si="58"/>
        <v>266</v>
      </c>
      <c r="W154" s="598">
        <f t="shared" si="52"/>
        <v>266</v>
      </c>
    </row>
    <row r="155" spans="2:23" ht="15">
      <c r="B155" s="1043" t="s">
        <v>871</v>
      </c>
      <c r="C155" s="1043" t="s">
        <v>872</v>
      </c>
      <c r="D155" s="1046"/>
      <c r="E155" s="1043" t="s">
        <v>584</v>
      </c>
      <c r="F155" s="1032">
        <f>VALUE(Data.Sard!G153)</f>
        <v>1.3696586204756086E-2</v>
      </c>
      <c r="G155" s="844">
        <f>Data.Sard!J153</f>
        <v>-1.8121601246185677</v>
      </c>
      <c r="H155" s="1043">
        <v>60828083</v>
      </c>
      <c r="I155" s="264">
        <f>VALUE(Data.Sard!L153)</f>
        <v>-2.6749999999999998</v>
      </c>
      <c r="J155" s="904">
        <f>Data.Sard!N153</f>
        <v>1.0638849961831228E-2</v>
      </c>
      <c r="K155" s="595">
        <f t="shared" si="53"/>
        <v>413</v>
      </c>
      <c r="L155" s="591">
        <f t="shared" si="54"/>
        <v>501</v>
      </c>
      <c r="M155" s="591">
        <f t="shared" si="55"/>
        <v>277</v>
      </c>
      <c r="N155" s="591">
        <f t="shared" si="56"/>
        <v>490</v>
      </c>
      <c r="O155" s="591">
        <f t="shared" si="57"/>
        <v>390</v>
      </c>
      <c r="P155" s="315">
        <f t="shared" si="46"/>
        <v>304</v>
      </c>
      <c r="Q155" s="315">
        <f t="shared" si="47"/>
        <v>291</v>
      </c>
      <c r="R155" s="315">
        <f t="shared" si="48"/>
        <v>268</v>
      </c>
      <c r="S155" s="315">
        <f t="shared" si="49"/>
        <v>387</v>
      </c>
      <c r="T155" s="315">
        <f t="shared" si="50"/>
        <v>374</v>
      </c>
      <c r="U155" s="315">
        <f t="shared" si="51"/>
        <v>1624</v>
      </c>
      <c r="V155" s="591">
        <f t="shared" si="58"/>
        <v>547</v>
      </c>
      <c r="W155" s="598">
        <f t="shared" si="52"/>
        <v>547</v>
      </c>
    </row>
    <row r="156" spans="2:23" ht="15">
      <c r="B156" s="996" t="s">
        <v>873</v>
      </c>
      <c r="C156" s="1043" t="s">
        <v>874</v>
      </c>
      <c r="D156" s="1046"/>
      <c r="E156" s="1043" t="s">
        <v>875</v>
      </c>
      <c r="F156" s="1032">
        <f>VALUE(Data.Sard!G154)</f>
        <v>-0.14510316985626134</v>
      </c>
      <c r="G156" s="844">
        <f>Data.Sard!J154</f>
        <v>6.297229218808989E-2</v>
      </c>
      <c r="H156" s="1043">
        <v>847351</v>
      </c>
      <c r="I156" s="264">
        <f>VALUE(Data.Sard!L154)</f>
        <v>-1.198</v>
      </c>
      <c r="J156" s="904">
        <f>Data.Sard!N154</f>
        <v>-0.59683694159787326</v>
      </c>
      <c r="K156" s="595">
        <f t="shared" si="53"/>
        <v>532</v>
      </c>
      <c r="L156" s="591">
        <f t="shared" si="54"/>
        <v>383</v>
      </c>
      <c r="M156" s="591">
        <f t="shared" si="55"/>
        <v>617</v>
      </c>
      <c r="N156" s="591">
        <f t="shared" si="56"/>
        <v>449</v>
      </c>
      <c r="O156" s="591">
        <f t="shared" si="57"/>
        <v>564</v>
      </c>
      <c r="P156" s="315">
        <f t="shared" si="46"/>
        <v>423</v>
      </c>
      <c r="Q156" s="315">
        <f t="shared" si="47"/>
        <v>173</v>
      </c>
      <c r="R156" s="315">
        <f t="shared" si="48"/>
        <v>608</v>
      </c>
      <c r="S156" s="315">
        <f t="shared" si="49"/>
        <v>346</v>
      </c>
      <c r="T156" s="315">
        <f t="shared" si="50"/>
        <v>548</v>
      </c>
      <c r="U156" s="315">
        <f t="shared" si="51"/>
        <v>2098</v>
      </c>
      <c r="V156" s="591">
        <f t="shared" si="58"/>
        <v>699</v>
      </c>
      <c r="W156" s="598">
        <f t="shared" si="52"/>
        <v>699</v>
      </c>
    </row>
    <row r="157" spans="2:23" ht="15">
      <c r="B157" s="1043" t="s">
        <v>876</v>
      </c>
      <c r="C157" s="1043" t="s">
        <v>877</v>
      </c>
      <c r="D157" s="1046"/>
      <c r="E157" s="1043" t="s">
        <v>606</v>
      </c>
      <c r="F157" s="1032">
        <f>VALUE(Data.Sard!G155)</f>
        <v>7.2968762810396853E-2</v>
      </c>
      <c r="G157" s="844">
        <f>Data.Sard!J155</f>
        <v>16.502772922836272</v>
      </c>
      <c r="H157" s="1043">
        <v>11095553068</v>
      </c>
      <c r="I157" s="264">
        <f>VALUE(Data.Sard!L155)</f>
        <v>-53.18</v>
      </c>
      <c r="J157" s="904">
        <f>Data.Sard!N155</f>
        <v>0.15098884381324434</v>
      </c>
      <c r="K157" s="595">
        <f t="shared" si="53"/>
        <v>282</v>
      </c>
      <c r="L157" s="591">
        <f t="shared" si="54"/>
        <v>35</v>
      </c>
      <c r="M157" s="591">
        <f t="shared" si="55"/>
        <v>14</v>
      </c>
      <c r="N157" s="591">
        <f t="shared" si="56"/>
        <v>539</v>
      </c>
      <c r="O157" s="591">
        <f t="shared" si="57"/>
        <v>94</v>
      </c>
      <c r="P157" s="315">
        <f t="shared" si="46"/>
        <v>173</v>
      </c>
      <c r="Q157" s="315">
        <f t="shared" si="47"/>
        <v>175</v>
      </c>
      <c r="R157" s="315">
        <f t="shared" si="48"/>
        <v>5</v>
      </c>
      <c r="S157" s="315">
        <f t="shared" si="49"/>
        <v>436</v>
      </c>
      <c r="T157" s="315">
        <f t="shared" si="50"/>
        <v>78</v>
      </c>
      <c r="U157" s="315">
        <f t="shared" si="51"/>
        <v>867</v>
      </c>
      <c r="V157" s="591">
        <f t="shared" si="58"/>
        <v>174</v>
      </c>
      <c r="W157" s="598">
        <f t="shared" si="52"/>
        <v>174</v>
      </c>
    </row>
    <row r="158" spans="2:23" ht="15">
      <c r="B158" s="1043" t="s">
        <v>878</v>
      </c>
      <c r="C158" s="1043" t="s">
        <v>879</v>
      </c>
      <c r="D158" s="1046"/>
      <c r="E158" s="1043" t="s">
        <v>584</v>
      </c>
      <c r="F158" s="1032">
        <f>VALUE(Data.Sard!G156)</f>
        <v>-8.9673918163397939E-2</v>
      </c>
      <c r="G158" s="844">
        <f>Data.Sard!J156</f>
        <v>-16.115707764716319</v>
      </c>
      <c r="H158" s="1043">
        <v>21785926</v>
      </c>
      <c r="I158" s="264">
        <f>VALUE(Data.Sard!L156)</f>
        <v>-0.22800000000000001</v>
      </c>
      <c r="J158" s="904">
        <f>Data.Sard!N156</f>
        <v>2.186444524143133E-2</v>
      </c>
      <c r="K158" s="595">
        <f t="shared" si="53"/>
        <v>519</v>
      </c>
      <c r="L158" s="591">
        <f t="shared" si="54"/>
        <v>577</v>
      </c>
      <c r="M158" s="591">
        <f t="shared" si="55"/>
        <v>383</v>
      </c>
      <c r="N158" s="591">
        <f t="shared" si="56"/>
        <v>346</v>
      </c>
      <c r="O158" s="591">
        <f t="shared" si="57"/>
        <v>361</v>
      </c>
      <c r="P158" s="315">
        <f t="shared" si="46"/>
        <v>410</v>
      </c>
      <c r="Q158" s="315">
        <f t="shared" si="47"/>
        <v>367</v>
      </c>
      <c r="R158" s="315">
        <f t="shared" si="48"/>
        <v>374</v>
      </c>
      <c r="S158" s="315">
        <f t="shared" si="49"/>
        <v>243</v>
      </c>
      <c r="T158" s="315">
        <f t="shared" si="50"/>
        <v>345</v>
      </c>
      <c r="U158" s="315">
        <f t="shared" si="51"/>
        <v>1739</v>
      </c>
      <c r="V158" s="591">
        <f t="shared" si="58"/>
        <v>609</v>
      </c>
      <c r="W158" s="598">
        <f t="shared" si="52"/>
        <v>609</v>
      </c>
    </row>
    <row r="159" spans="2:23" ht="15">
      <c r="B159" s="1043" t="s">
        <v>880</v>
      </c>
      <c r="C159" s="1043" t="s">
        <v>881</v>
      </c>
      <c r="D159" s="1046"/>
      <c r="E159" s="1043" t="s">
        <v>584</v>
      </c>
      <c r="F159" s="1032">
        <f>VALUE(Data.Sard!G157)</f>
        <v>-4.1746685050800661E-2</v>
      </c>
      <c r="G159" s="844">
        <f>Data.Sard!J157</f>
        <v>0</v>
      </c>
      <c r="H159" s="1043">
        <v>37090136</v>
      </c>
      <c r="I159" s="264">
        <f>VALUE(Data.Sard!L157)</f>
        <v>-3.363</v>
      </c>
      <c r="J159" s="904">
        <f>Data.Sard!N157</f>
        <v>-2.1331549153973946E-2</v>
      </c>
      <c r="K159" s="595">
        <f t="shared" si="53"/>
        <v>484</v>
      </c>
      <c r="L159" s="591">
        <f t="shared" si="54"/>
        <v>397</v>
      </c>
      <c r="M159" s="591">
        <f t="shared" si="55"/>
        <v>327</v>
      </c>
      <c r="N159" s="591">
        <f t="shared" si="56"/>
        <v>507</v>
      </c>
      <c r="O159" s="591">
        <f t="shared" si="57"/>
        <v>455</v>
      </c>
      <c r="P159" s="315">
        <f t="shared" si="46"/>
        <v>375</v>
      </c>
      <c r="Q159" s="315">
        <f t="shared" si="47"/>
        <v>187</v>
      </c>
      <c r="R159" s="315">
        <f t="shared" si="48"/>
        <v>318</v>
      </c>
      <c r="S159" s="315">
        <f t="shared" si="49"/>
        <v>404</v>
      </c>
      <c r="T159" s="315">
        <f t="shared" si="50"/>
        <v>439</v>
      </c>
      <c r="U159" s="315">
        <f t="shared" si="51"/>
        <v>1723</v>
      </c>
      <c r="V159" s="591">
        <f t="shared" si="58"/>
        <v>599</v>
      </c>
      <c r="W159" s="598">
        <f t="shared" si="52"/>
        <v>599</v>
      </c>
    </row>
    <row r="160" spans="2:23" ht="15">
      <c r="B160" s="1043" t="s">
        <v>882</v>
      </c>
      <c r="C160" s="1043" t="s">
        <v>883</v>
      </c>
      <c r="D160" s="1046"/>
      <c r="E160" s="1043" t="s">
        <v>678</v>
      </c>
      <c r="F160" s="1032">
        <f>VALUE(Data.Sard!G158)</f>
        <v>-0.16617868984981723</v>
      </c>
      <c r="G160" s="844">
        <f>Data.Sard!J158</f>
        <v>2.8529401810076118</v>
      </c>
      <c r="H160" s="1043">
        <v>214101</v>
      </c>
      <c r="I160" s="264">
        <f>VALUE(Data.Sard!L158)</f>
        <v>4.4930000000000003</v>
      </c>
      <c r="J160" s="904">
        <f>Data.Sard!N158</f>
        <v>-0.2380520989945771</v>
      </c>
      <c r="K160" s="595">
        <f t="shared" si="53"/>
        <v>538</v>
      </c>
      <c r="L160" s="591">
        <f t="shared" si="54"/>
        <v>189</v>
      </c>
      <c r="M160" s="591">
        <f t="shared" si="55"/>
        <v>644</v>
      </c>
      <c r="N160" s="591">
        <f t="shared" si="56"/>
        <v>26</v>
      </c>
      <c r="O160" s="591">
        <f t="shared" si="57"/>
        <v>542</v>
      </c>
      <c r="P160" s="315">
        <f t="shared" si="46"/>
        <v>429</v>
      </c>
      <c r="Q160" s="315">
        <f t="shared" si="47"/>
        <v>21</v>
      </c>
      <c r="R160" s="315">
        <f t="shared" si="48"/>
        <v>635</v>
      </c>
      <c r="S160" s="315">
        <f t="shared" si="49"/>
        <v>77</v>
      </c>
      <c r="T160" s="315">
        <f t="shared" si="50"/>
        <v>526</v>
      </c>
      <c r="U160" s="315">
        <f t="shared" si="51"/>
        <v>1688</v>
      </c>
      <c r="V160" s="591">
        <f t="shared" si="58"/>
        <v>583</v>
      </c>
      <c r="W160" s="598">
        <f t="shared" si="52"/>
        <v>583</v>
      </c>
    </row>
    <row r="161" spans="2:23" ht="15">
      <c r="B161" s="996" t="s">
        <v>884</v>
      </c>
      <c r="C161" s="1043" t="s">
        <v>885</v>
      </c>
      <c r="D161" s="1046"/>
      <c r="E161" s="1043" t="s">
        <v>736</v>
      </c>
      <c r="F161" s="1032">
        <f>VALUE(Data.Sard!G159)</f>
        <v>6.7665246519428651E-2</v>
      </c>
      <c r="G161" s="844">
        <f>Data.Sard!J159</f>
        <v>1.5529940678720555</v>
      </c>
      <c r="H161" s="1043">
        <v>699540475</v>
      </c>
      <c r="I161" s="264">
        <f>VALUE(Data.Sard!L159)</f>
        <v>0.33200000000000002</v>
      </c>
      <c r="J161" s="904">
        <f>Data.Sard!N159</f>
        <v>1.4886457440041986E-2</v>
      </c>
      <c r="K161" s="595">
        <f t="shared" si="53"/>
        <v>287</v>
      </c>
      <c r="L161" s="591">
        <f t="shared" si="54"/>
        <v>265</v>
      </c>
      <c r="M161" s="591">
        <f t="shared" si="55"/>
        <v>82</v>
      </c>
      <c r="N161" s="591">
        <f t="shared" si="56"/>
        <v>207</v>
      </c>
      <c r="O161" s="591">
        <f t="shared" si="57"/>
        <v>382</v>
      </c>
      <c r="P161" s="315">
        <f t="shared" si="46"/>
        <v>178</v>
      </c>
      <c r="Q161" s="315">
        <f t="shared" si="47"/>
        <v>55</v>
      </c>
      <c r="R161" s="315">
        <f t="shared" si="48"/>
        <v>73</v>
      </c>
      <c r="S161" s="315">
        <f t="shared" si="49"/>
        <v>104</v>
      </c>
      <c r="T161" s="315">
        <f t="shared" si="50"/>
        <v>366</v>
      </c>
      <c r="U161" s="315">
        <f t="shared" si="51"/>
        <v>776</v>
      </c>
      <c r="V161" s="591">
        <f t="shared" si="58"/>
        <v>137</v>
      </c>
      <c r="W161" s="598">
        <f t="shared" si="52"/>
        <v>137</v>
      </c>
    </row>
    <row r="162" spans="2:23" ht="15">
      <c r="B162" s="996" t="s">
        <v>886</v>
      </c>
      <c r="C162" s="1043" t="s">
        <v>887</v>
      </c>
      <c r="D162" s="1046"/>
      <c r="E162" s="1043" t="s">
        <v>736</v>
      </c>
      <c r="F162" s="1032">
        <f>VALUE(Data.Sard!G160)</f>
        <v>6.9480714764849891E-2</v>
      </c>
      <c r="G162" s="844">
        <f>Data.Sard!J160</f>
        <v>-0.27337149086944673</v>
      </c>
      <c r="H162" s="1043">
        <v>811398219</v>
      </c>
      <c r="I162" s="264">
        <f>VALUE(Data.Sard!L160)</f>
        <v>-0.35299999999999998</v>
      </c>
      <c r="J162" s="904">
        <f>Data.Sard!N160</f>
        <v>8.200154604965984E-2</v>
      </c>
      <c r="K162" s="595">
        <f t="shared" si="53"/>
        <v>286</v>
      </c>
      <c r="L162" s="591">
        <f t="shared" si="54"/>
        <v>461</v>
      </c>
      <c r="M162" s="591">
        <f t="shared" si="55"/>
        <v>71</v>
      </c>
      <c r="N162" s="591">
        <f t="shared" si="56"/>
        <v>363</v>
      </c>
      <c r="O162" s="591">
        <f t="shared" si="57"/>
        <v>191</v>
      </c>
      <c r="P162" s="315">
        <f t="shared" si="46"/>
        <v>177</v>
      </c>
      <c r="Q162" s="315">
        <f t="shared" si="47"/>
        <v>251</v>
      </c>
      <c r="R162" s="315">
        <f t="shared" si="48"/>
        <v>62</v>
      </c>
      <c r="S162" s="315">
        <f t="shared" si="49"/>
        <v>260</v>
      </c>
      <c r="T162" s="315">
        <f t="shared" si="50"/>
        <v>175</v>
      </c>
      <c r="U162" s="315">
        <f t="shared" si="51"/>
        <v>925</v>
      </c>
      <c r="V162" s="591">
        <f t="shared" si="58"/>
        <v>194</v>
      </c>
      <c r="W162" s="598">
        <f t="shared" si="52"/>
        <v>194</v>
      </c>
    </row>
    <row r="163" spans="2:23" ht="15">
      <c r="B163" s="996" t="s">
        <v>888</v>
      </c>
      <c r="C163" s="1043" t="s">
        <v>889</v>
      </c>
      <c r="D163" s="1046"/>
      <c r="E163" s="1043" t="s">
        <v>570</v>
      </c>
      <c r="F163" s="1032">
        <f>VALUE(Data.Sard!G161)</f>
        <v>-0.66588432523051133</v>
      </c>
      <c r="G163" s="844">
        <f>Data.Sard!J161</f>
        <v>0</v>
      </c>
      <c r="H163" s="1043">
        <v>42351</v>
      </c>
      <c r="I163" s="264">
        <f>VALUE(Data.Sard!L161)</f>
        <v>1.0840000000000001</v>
      </c>
      <c r="J163" s="904">
        <f>Data.Sard!N161</f>
        <v>-0.19694041867954912</v>
      </c>
      <c r="K163" s="595">
        <f t="shared" si="53"/>
        <v>588</v>
      </c>
      <c r="L163" s="591">
        <f t="shared" si="54"/>
        <v>397</v>
      </c>
      <c r="M163" s="591">
        <f t="shared" si="55"/>
        <v>655</v>
      </c>
      <c r="N163" s="591">
        <f t="shared" si="56"/>
        <v>89</v>
      </c>
      <c r="O163" s="591">
        <f t="shared" si="57"/>
        <v>536</v>
      </c>
      <c r="P163" s="315">
        <f t="shared" si="46"/>
        <v>479</v>
      </c>
      <c r="Q163" s="315">
        <f t="shared" si="47"/>
        <v>187</v>
      </c>
      <c r="R163" s="315">
        <f t="shared" si="48"/>
        <v>646</v>
      </c>
      <c r="S163" s="315">
        <f t="shared" si="49"/>
        <v>14</v>
      </c>
      <c r="T163" s="315">
        <f t="shared" si="50"/>
        <v>520</v>
      </c>
      <c r="U163" s="315">
        <f t="shared" si="51"/>
        <v>1846</v>
      </c>
      <c r="V163" s="591">
        <f t="shared" si="58"/>
        <v>660</v>
      </c>
      <c r="W163" s="598">
        <f t="shared" si="52"/>
        <v>660</v>
      </c>
    </row>
    <row r="164" spans="2:23" ht="15">
      <c r="B164" s="1043" t="s">
        <v>890</v>
      </c>
      <c r="C164" s="1043" t="s">
        <v>891</v>
      </c>
      <c r="D164" s="1046"/>
      <c r="E164" s="1043" t="s">
        <v>570</v>
      </c>
      <c r="F164" s="1032">
        <f>VALUE(Data.Sard!G162)</f>
        <v>9.1991455075290537E-2</v>
      </c>
      <c r="G164" s="844">
        <f>Data.Sard!J162</f>
        <v>2.0932973587049135</v>
      </c>
      <c r="H164" s="1043">
        <v>414707389</v>
      </c>
      <c r="I164" s="264"/>
      <c r="J164" s="904">
        <f>Data.Sard!N162</f>
        <v>8.1333509762846021E-2</v>
      </c>
      <c r="K164" s="595">
        <f t="shared" si="53"/>
        <v>245</v>
      </c>
      <c r="L164" s="591">
        <f t="shared" si="54"/>
        <v>235</v>
      </c>
      <c r="M164" s="591">
        <f t="shared" si="55"/>
        <v>110</v>
      </c>
      <c r="N164" s="591">
        <f t="shared" si="56"/>
        <v>285</v>
      </c>
      <c r="O164" s="591">
        <f t="shared" si="57"/>
        <v>192</v>
      </c>
      <c r="P164" s="315">
        <f t="shared" si="46"/>
        <v>136</v>
      </c>
      <c r="Q164" s="315">
        <f t="shared" si="47"/>
        <v>25</v>
      </c>
      <c r="R164" s="315">
        <f t="shared" si="48"/>
        <v>101</v>
      </c>
      <c r="S164" s="315">
        <f t="shared" si="49"/>
        <v>182</v>
      </c>
      <c r="T164" s="315">
        <f t="shared" si="50"/>
        <v>176</v>
      </c>
      <c r="U164" s="315">
        <f t="shared" si="51"/>
        <v>620</v>
      </c>
      <c r="V164" s="591">
        <f t="shared" si="58"/>
        <v>82</v>
      </c>
      <c r="W164" s="598">
        <f t="shared" si="52"/>
        <v>82</v>
      </c>
    </row>
    <row r="165" spans="2:23" ht="15">
      <c r="B165" s="1043" t="s">
        <v>892</v>
      </c>
      <c r="C165" s="1043" t="s">
        <v>312</v>
      </c>
      <c r="D165" s="1046"/>
      <c r="E165" s="1043" t="s">
        <v>570</v>
      </c>
      <c r="F165" s="1032">
        <f>VALUE(Data.Sard!G163)</f>
        <v>0.21505862991154084</v>
      </c>
      <c r="G165" s="844">
        <f>Data.Sard!J163</f>
        <v>0.3021926912100536</v>
      </c>
      <c r="H165" s="1043">
        <v>10744607452</v>
      </c>
      <c r="I165" s="264">
        <f>VALUE(Data.Sard!L163)</f>
        <v>-0.46400000000000002</v>
      </c>
      <c r="J165" s="904">
        <f>Data.Sard!N163</f>
        <v>0.10928673412378173</v>
      </c>
      <c r="K165" s="595">
        <f t="shared" si="53"/>
        <v>96</v>
      </c>
      <c r="L165" s="591">
        <f t="shared" si="54"/>
        <v>352</v>
      </c>
      <c r="M165" s="591">
        <f t="shared" si="55"/>
        <v>15</v>
      </c>
      <c r="N165" s="591">
        <f t="shared" si="56"/>
        <v>380</v>
      </c>
      <c r="O165" s="591">
        <f t="shared" si="57"/>
        <v>134</v>
      </c>
      <c r="P165" s="315">
        <f t="shared" ref="P165:P228" si="59">IFERROR(ABS(K$3-K165),"N/A")</f>
        <v>13</v>
      </c>
      <c r="Q165" s="315">
        <f t="shared" ref="Q165:Q228" si="60">IFERROR(ABS(L$3-L165),"N/A")</f>
        <v>142</v>
      </c>
      <c r="R165" s="315">
        <f t="shared" ref="R165:R228" si="61">IFERROR(ABS(M$3-M165),"N/A")</f>
        <v>6</v>
      </c>
      <c r="S165" s="315">
        <f t="shared" ref="S165:S228" si="62">IFERROR(ABS(N$3-N165),"N/A")</f>
        <v>277</v>
      </c>
      <c r="T165" s="315">
        <f t="shared" ref="T165:T228" si="63">IFERROR(ABS(O$3-O165),"N/A")</f>
        <v>118</v>
      </c>
      <c r="U165" s="315">
        <f t="shared" ref="U165:U228" si="64">SUM(P165:T165)</f>
        <v>556</v>
      </c>
      <c r="V165" s="591">
        <f t="shared" si="58"/>
        <v>51</v>
      </c>
      <c r="W165" s="598">
        <f t="shared" ref="W165:W228" si="65">IF(Y165="Not suitable","-",V165)</f>
        <v>51</v>
      </c>
    </row>
    <row r="166" spans="2:23" ht="15">
      <c r="B166" s="1043" t="s">
        <v>893</v>
      </c>
      <c r="C166" s="1043" t="s">
        <v>894</v>
      </c>
      <c r="D166" s="1046"/>
      <c r="E166" s="1043" t="s">
        <v>584</v>
      </c>
      <c r="F166" s="1032">
        <f>VALUE(Data.Sard!G164)</f>
        <v>0.1842687975220858</v>
      </c>
      <c r="G166" s="844"/>
      <c r="H166" s="1043">
        <v>425883826</v>
      </c>
      <c r="I166" s="264">
        <f>VALUE(Data.Sard!L164)</f>
        <v>0.309</v>
      </c>
      <c r="J166" s="904">
        <f>Data.Sard!N164</f>
        <v>0.25885307708662869</v>
      </c>
      <c r="K166" s="595">
        <f t="shared" si="53"/>
        <v>121</v>
      </c>
      <c r="L166" s="591">
        <f t="shared" si="54"/>
        <v>397</v>
      </c>
      <c r="M166" s="591">
        <f t="shared" si="55"/>
        <v>109</v>
      </c>
      <c r="N166" s="591">
        <f t="shared" si="56"/>
        <v>213</v>
      </c>
      <c r="O166" s="591">
        <f t="shared" si="57"/>
        <v>24</v>
      </c>
      <c r="P166" s="315">
        <f t="shared" si="59"/>
        <v>12</v>
      </c>
      <c r="Q166" s="315">
        <f t="shared" si="60"/>
        <v>187</v>
      </c>
      <c r="R166" s="315">
        <f t="shared" si="61"/>
        <v>100</v>
      </c>
      <c r="S166" s="315">
        <f t="shared" si="62"/>
        <v>110</v>
      </c>
      <c r="T166" s="315">
        <f t="shared" si="63"/>
        <v>8</v>
      </c>
      <c r="U166" s="315">
        <f t="shared" si="64"/>
        <v>417</v>
      </c>
      <c r="V166" s="591">
        <f t="shared" si="58"/>
        <v>20</v>
      </c>
      <c r="W166" s="598">
        <f t="shared" si="65"/>
        <v>20</v>
      </c>
    </row>
    <row r="167" spans="2:23" ht="15">
      <c r="B167" s="1043" t="s">
        <v>895</v>
      </c>
      <c r="C167" s="1043" t="s">
        <v>896</v>
      </c>
      <c r="D167" s="994"/>
      <c r="E167" s="1043" t="s">
        <v>678</v>
      </c>
      <c r="F167" s="1032"/>
      <c r="G167" s="844">
        <f>Data.Sard!J165</f>
        <v>-7.681285423114085</v>
      </c>
      <c r="H167" s="1003">
        <v>0</v>
      </c>
      <c r="I167" s="264">
        <f>VALUE(Data.Sard!L165)</f>
        <v>-0.47599999999999998</v>
      </c>
      <c r="J167" s="904"/>
      <c r="K167" s="595">
        <f t="shared" si="53"/>
        <v>442</v>
      </c>
      <c r="L167" s="591">
        <f t="shared" si="54"/>
        <v>555</v>
      </c>
      <c r="M167" s="591">
        <f t="shared" si="55"/>
        <v>677</v>
      </c>
      <c r="N167" s="591">
        <f t="shared" si="56"/>
        <v>384</v>
      </c>
      <c r="O167" s="591">
        <f t="shared" si="57"/>
        <v>419</v>
      </c>
      <c r="P167" s="315">
        <f t="shared" si="59"/>
        <v>333</v>
      </c>
      <c r="Q167" s="315">
        <f t="shared" si="60"/>
        <v>345</v>
      </c>
      <c r="R167" s="315">
        <f t="shared" si="61"/>
        <v>668</v>
      </c>
      <c r="S167" s="315">
        <f t="shared" si="62"/>
        <v>281</v>
      </c>
      <c r="T167" s="315">
        <f t="shared" si="63"/>
        <v>403</v>
      </c>
      <c r="U167" s="315">
        <f t="shared" si="64"/>
        <v>2030</v>
      </c>
      <c r="V167" s="591">
        <f t="shared" si="58"/>
        <v>697</v>
      </c>
      <c r="W167" s="598">
        <f t="shared" si="65"/>
        <v>697</v>
      </c>
    </row>
    <row r="168" spans="2:23" ht="15">
      <c r="B168" s="1043" t="s">
        <v>897</v>
      </c>
      <c r="C168" s="1043" t="s">
        <v>898</v>
      </c>
      <c r="D168" s="1046"/>
      <c r="E168" s="1043" t="s">
        <v>584</v>
      </c>
      <c r="F168" s="1032">
        <f>VALUE(Data.Sard!G166)</f>
        <v>-0.2338223131493101</v>
      </c>
      <c r="G168" s="844">
        <f>Data.Sard!J166</f>
        <v>0.52677572635472836</v>
      </c>
      <c r="H168" s="1043">
        <v>18078835</v>
      </c>
      <c r="I168" s="264"/>
      <c r="J168" s="904">
        <f>Data.Sard!N166</f>
        <v>-6.622688791327018E-2</v>
      </c>
      <c r="K168" s="595">
        <f t="shared" si="53"/>
        <v>552</v>
      </c>
      <c r="L168" s="591">
        <f t="shared" si="54"/>
        <v>326</v>
      </c>
      <c r="M168" s="591">
        <f t="shared" si="55"/>
        <v>411</v>
      </c>
      <c r="N168" s="591">
        <f t="shared" si="56"/>
        <v>285</v>
      </c>
      <c r="O168" s="591">
        <f t="shared" si="57"/>
        <v>485</v>
      </c>
      <c r="P168" s="315">
        <f t="shared" si="59"/>
        <v>443</v>
      </c>
      <c r="Q168" s="315">
        <f t="shared" si="60"/>
        <v>116</v>
      </c>
      <c r="R168" s="315">
        <f t="shared" si="61"/>
        <v>402</v>
      </c>
      <c r="S168" s="315">
        <f t="shared" si="62"/>
        <v>182</v>
      </c>
      <c r="T168" s="315">
        <f t="shared" si="63"/>
        <v>469</v>
      </c>
      <c r="U168" s="315">
        <f t="shared" si="64"/>
        <v>1612</v>
      </c>
      <c r="V168" s="591">
        <f t="shared" si="58"/>
        <v>539</v>
      </c>
      <c r="W168" s="598">
        <f t="shared" si="65"/>
        <v>539</v>
      </c>
    </row>
    <row r="169" spans="2:23" ht="15">
      <c r="B169" s="1043" t="s">
        <v>899</v>
      </c>
      <c r="C169" s="1043" t="s">
        <v>900</v>
      </c>
      <c r="D169" s="1046"/>
      <c r="E169" s="1043" t="s">
        <v>584</v>
      </c>
      <c r="F169" s="1032">
        <f>VALUE(Data.Sard!G167)</f>
        <v>5.7974793694982284E-2</v>
      </c>
      <c r="G169" s="844">
        <f>Data.Sard!J167</f>
        <v>2.7345979859609759</v>
      </c>
      <c r="H169" s="1043">
        <v>326510513</v>
      </c>
      <c r="I169" s="264">
        <f>VALUE(Data.Sard!L167)</f>
        <v>0.40799999999999997</v>
      </c>
      <c r="J169" s="904">
        <f>Data.Sard!N167</f>
        <v>6.5733466567527751E-2</v>
      </c>
      <c r="K169" s="595">
        <f t="shared" si="53"/>
        <v>311</v>
      </c>
      <c r="L169" s="591">
        <f t="shared" si="54"/>
        <v>197</v>
      </c>
      <c r="M169" s="591">
        <f t="shared" si="55"/>
        <v>127</v>
      </c>
      <c r="N169" s="591">
        <f t="shared" si="56"/>
        <v>186</v>
      </c>
      <c r="O169" s="591">
        <f t="shared" si="57"/>
        <v>225</v>
      </c>
      <c r="P169" s="315">
        <f t="shared" si="59"/>
        <v>202</v>
      </c>
      <c r="Q169" s="315">
        <f t="shared" si="60"/>
        <v>13</v>
      </c>
      <c r="R169" s="315">
        <f t="shared" si="61"/>
        <v>118</v>
      </c>
      <c r="S169" s="315">
        <f t="shared" si="62"/>
        <v>83</v>
      </c>
      <c r="T169" s="315">
        <f t="shared" si="63"/>
        <v>209</v>
      </c>
      <c r="U169" s="315">
        <f t="shared" si="64"/>
        <v>625</v>
      </c>
      <c r="V169" s="591">
        <f t="shared" si="58"/>
        <v>84</v>
      </c>
      <c r="W169" s="598">
        <f t="shared" si="65"/>
        <v>84</v>
      </c>
    </row>
    <row r="170" spans="2:23" ht="15">
      <c r="B170" s="1043" t="s">
        <v>901</v>
      </c>
      <c r="C170" s="1043" t="s">
        <v>902</v>
      </c>
      <c r="D170" s="1046"/>
      <c r="E170" s="1043" t="s">
        <v>903</v>
      </c>
      <c r="F170" s="1032">
        <f>VALUE(Data.Sard!G168)</f>
        <v>0.10197353253400782</v>
      </c>
      <c r="G170" s="844"/>
      <c r="H170" s="1043">
        <v>188657264</v>
      </c>
      <c r="I170" s="264">
        <f>VALUE(Data.Sard!L168)</f>
        <v>-0.41399999999999998</v>
      </c>
      <c r="J170" s="904">
        <f>Data.Sard!N168</f>
        <v>8.7798938295155809E-2</v>
      </c>
      <c r="K170" s="595">
        <f t="shared" si="53"/>
        <v>230</v>
      </c>
      <c r="L170" s="591">
        <f t="shared" si="54"/>
        <v>397</v>
      </c>
      <c r="M170" s="591">
        <f t="shared" si="55"/>
        <v>174</v>
      </c>
      <c r="N170" s="591">
        <f t="shared" si="56"/>
        <v>373</v>
      </c>
      <c r="O170" s="591">
        <f t="shared" si="57"/>
        <v>184</v>
      </c>
      <c r="P170" s="315">
        <f t="shared" si="59"/>
        <v>121</v>
      </c>
      <c r="Q170" s="315">
        <f t="shared" si="60"/>
        <v>187</v>
      </c>
      <c r="R170" s="315">
        <f t="shared" si="61"/>
        <v>165</v>
      </c>
      <c r="S170" s="315">
        <f t="shared" si="62"/>
        <v>270</v>
      </c>
      <c r="T170" s="315">
        <f t="shared" si="63"/>
        <v>168</v>
      </c>
      <c r="U170" s="315">
        <f t="shared" si="64"/>
        <v>911</v>
      </c>
      <c r="V170" s="591">
        <f t="shared" si="58"/>
        <v>188</v>
      </c>
      <c r="W170" s="598">
        <f t="shared" si="65"/>
        <v>188</v>
      </c>
    </row>
    <row r="171" spans="2:23" ht="15">
      <c r="B171" s="996" t="s">
        <v>904</v>
      </c>
      <c r="C171" s="1043" t="s">
        <v>905</v>
      </c>
      <c r="D171" s="1046"/>
      <c r="E171" s="1043" t="s">
        <v>870</v>
      </c>
      <c r="F171" s="1032">
        <f>VALUE(Data.Sard!G169)</f>
        <v>0</v>
      </c>
      <c r="G171" s="844">
        <f>Data.Sard!J169</f>
        <v>1.4632098251464667</v>
      </c>
      <c r="H171" s="1043">
        <v>6960500</v>
      </c>
      <c r="I171" s="264">
        <f>VALUE(Data.Sard!L169)</f>
        <v>5.3999999999999999E-2</v>
      </c>
      <c r="J171" s="904">
        <f>Data.Sard!N169</f>
        <v>0</v>
      </c>
      <c r="K171" s="595">
        <f t="shared" si="53"/>
        <v>442</v>
      </c>
      <c r="L171" s="591">
        <f t="shared" si="54"/>
        <v>274</v>
      </c>
      <c r="M171" s="591">
        <f t="shared" si="55"/>
        <v>501</v>
      </c>
      <c r="N171" s="591">
        <f t="shared" si="56"/>
        <v>274</v>
      </c>
      <c r="O171" s="591">
        <f t="shared" si="57"/>
        <v>419</v>
      </c>
      <c r="P171" s="315">
        <f t="shared" si="59"/>
        <v>333</v>
      </c>
      <c r="Q171" s="315">
        <f t="shared" si="60"/>
        <v>64</v>
      </c>
      <c r="R171" s="315">
        <f t="shared" si="61"/>
        <v>492</v>
      </c>
      <c r="S171" s="315">
        <f t="shared" si="62"/>
        <v>171</v>
      </c>
      <c r="T171" s="315">
        <f t="shared" si="63"/>
        <v>403</v>
      </c>
      <c r="U171" s="315">
        <f t="shared" si="64"/>
        <v>1463</v>
      </c>
      <c r="V171" s="591">
        <f t="shared" si="58"/>
        <v>443</v>
      </c>
      <c r="W171" s="598">
        <f t="shared" si="65"/>
        <v>443</v>
      </c>
    </row>
    <row r="172" spans="2:23" ht="15">
      <c r="B172" s="996" t="s">
        <v>906</v>
      </c>
      <c r="C172" s="1043" t="s">
        <v>907</v>
      </c>
      <c r="D172" s="1046"/>
      <c r="E172" s="1043" t="s">
        <v>875</v>
      </c>
      <c r="F172" s="1032">
        <f>VALUE(Data.Sard!G170)</f>
        <v>0.55843716703996182</v>
      </c>
      <c r="G172" s="844">
        <f>Data.Sard!J170</f>
        <v>3.956384763509289</v>
      </c>
      <c r="H172" s="1043">
        <v>752691</v>
      </c>
      <c r="I172" s="264"/>
      <c r="J172" s="904">
        <f>Data.Sard!N170</f>
        <v>0.22216551075215141</v>
      </c>
      <c r="K172" s="595">
        <f t="shared" si="53"/>
        <v>26</v>
      </c>
      <c r="L172" s="591">
        <f t="shared" si="54"/>
        <v>148</v>
      </c>
      <c r="M172" s="591">
        <f t="shared" si="55"/>
        <v>620</v>
      </c>
      <c r="N172" s="591">
        <f t="shared" si="56"/>
        <v>285</v>
      </c>
      <c r="O172" s="591">
        <f t="shared" si="57"/>
        <v>37</v>
      </c>
      <c r="P172" s="315">
        <f t="shared" si="59"/>
        <v>83</v>
      </c>
      <c r="Q172" s="315">
        <f t="shared" si="60"/>
        <v>62</v>
      </c>
      <c r="R172" s="315">
        <f t="shared" si="61"/>
        <v>611</v>
      </c>
      <c r="S172" s="315">
        <f t="shared" si="62"/>
        <v>182</v>
      </c>
      <c r="T172" s="315">
        <f t="shared" si="63"/>
        <v>21</v>
      </c>
      <c r="U172" s="315">
        <f t="shared" si="64"/>
        <v>959</v>
      </c>
      <c r="V172" s="591">
        <f t="shared" si="58"/>
        <v>217</v>
      </c>
      <c r="W172" s="598">
        <f t="shared" si="65"/>
        <v>217</v>
      </c>
    </row>
    <row r="173" spans="2:23" ht="15">
      <c r="B173" s="1043" t="s">
        <v>908</v>
      </c>
      <c r="C173" s="1043" t="s">
        <v>909</v>
      </c>
      <c r="D173" s="1046"/>
      <c r="E173" s="1043" t="s">
        <v>556</v>
      </c>
      <c r="F173" s="1032">
        <f>VALUE(Data.Sard!G171)</f>
        <v>4.3743951887947934E-2</v>
      </c>
      <c r="G173" s="844">
        <f>Data.Sard!J171</f>
        <v>56.211798846747982</v>
      </c>
      <c r="H173" s="1043">
        <v>18448850</v>
      </c>
      <c r="I173" s="264">
        <f>VALUE(Data.Sard!L171)</f>
        <v>-1.538</v>
      </c>
      <c r="J173" s="904">
        <f>Data.Sard!N171</f>
        <v>3.082214691454491E-2</v>
      </c>
      <c r="K173" s="595">
        <f t="shared" si="53"/>
        <v>349</v>
      </c>
      <c r="L173" s="591">
        <f t="shared" si="54"/>
        <v>7</v>
      </c>
      <c r="M173" s="591">
        <f t="shared" si="55"/>
        <v>409</v>
      </c>
      <c r="N173" s="591">
        <f t="shared" si="56"/>
        <v>470</v>
      </c>
      <c r="O173" s="591">
        <f t="shared" si="57"/>
        <v>330</v>
      </c>
      <c r="P173" s="315">
        <f t="shared" si="59"/>
        <v>240</v>
      </c>
      <c r="Q173" s="315">
        <f t="shared" si="60"/>
        <v>203</v>
      </c>
      <c r="R173" s="315">
        <f t="shared" si="61"/>
        <v>400</v>
      </c>
      <c r="S173" s="315">
        <f t="shared" si="62"/>
        <v>367</v>
      </c>
      <c r="T173" s="315">
        <f t="shared" si="63"/>
        <v>314</v>
      </c>
      <c r="U173" s="315">
        <f t="shared" si="64"/>
        <v>1524</v>
      </c>
      <c r="V173" s="591">
        <f t="shared" si="58"/>
        <v>475</v>
      </c>
      <c r="W173" s="598">
        <f t="shared" si="65"/>
        <v>475</v>
      </c>
    </row>
    <row r="174" spans="2:23" ht="15">
      <c r="B174" s="1043" t="s">
        <v>910</v>
      </c>
      <c r="C174" s="1043" t="s">
        <v>911</v>
      </c>
      <c r="D174" s="1046"/>
      <c r="E174" s="1043" t="s">
        <v>584</v>
      </c>
      <c r="F174" s="1032">
        <f>VALUE(Data.Sard!G172)</f>
        <v>-4.2305052652088435E-3</v>
      </c>
      <c r="G174" s="844">
        <f>Data.Sard!J172</f>
        <v>0</v>
      </c>
      <c r="H174" s="1043">
        <v>61034874</v>
      </c>
      <c r="I174" s="264">
        <f>VALUE(Data.Sard!L172)</f>
        <v>1.2609999999999999</v>
      </c>
      <c r="J174" s="904">
        <f>Data.Sard!N172</f>
        <v>5.2690407332445389E-3</v>
      </c>
      <c r="K174" s="595">
        <f t="shared" si="53"/>
        <v>451</v>
      </c>
      <c r="L174" s="591">
        <f t="shared" si="54"/>
        <v>397</v>
      </c>
      <c r="M174" s="591">
        <f t="shared" si="55"/>
        <v>275</v>
      </c>
      <c r="N174" s="591">
        <f t="shared" si="56"/>
        <v>73</v>
      </c>
      <c r="O174" s="591">
        <f t="shared" si="57"/>
        <v>407</v>
      </c>
      <c r="P174" s="315">
        <f t="shared" si="59"/>
        <v>342</v>
      </c>
      <c r="Q174" s="315">
        <f t="shared" si="60"/>
        <v>187</v>
      </c>
      <c r="R174" s="315">
        <f t="shared" si="61"/>
        <v>266</v>
      </c>
      <c r="S174" s="315">
        <f t="shared" si="62"/>
        <v>30</v>
      </c>
      <c r="T174" s="315">
        <f t="shared" si="63"/>
        <v>391</v>
      </c>
      <c r="U174" s="315">
        <f t="shared" si="64"/>
        <v>1216</v>
      </c>
      <c r="V174" s="591">
        <f t="shared" si="58"/>
        <v>316</v>
      </c>
      <c r="W174" s="598">
        <f t="shared" si="65"/>
        <v>316</v>
      </c>
    </row>
    <row r="175" spans="2:23" ht="15">
      <c r="B175" s="1043" t="s">
        <v>912</v>
      </c>
      <c r="C175" s="1043" t="s">
        <v>913</v>
      </c>
      <c r="D175" s="1046"/>
      <c r="E175" s="1043" t="s">
        <v>611</v>
      </c>
      <c r="F175" s="1032">
        <f>VALUE(Data.Sard!G173)</f>
        <v>6.6179289009044379E-2</v>
      </c>
      <c r="G175" s="844">
        <f>Data.Sard!J173</f>
        <v>-5.6213232796685011</v>
      </c>
      <c r="H175" s="1043">
        <v>247468350</v>
      </c>
      <c r="I175" s="264">
        <f>VALUE(Data.Sard!L173)</f>
        <v>-0.14799999999999999</v>
      </c>
      <c r="J175" s="904">
        <f>Data.Sard!N173</f>
        <v>0.16094216363954056</v>
      </c>
      <c r="K175" s="595">
        <f t="shared" si="53"/>
        <v>292</v>
      </c>
      <c r="L175" s="591">
        <f t="shared" si="54"/>
        <v>545</v>
      </c>
      <c r="M175" s="591">
        <f t="shared" si="55"/>
        <v>156</v>
      </c>
      <c r="N175" s="591">
        <f t="shared" si="56"/>
        <v>330</v>
      </c>
      <c r="O175" s="591">
        <f t="shared" si="57"/>
        <v>88</v>
      </c>
      <c r="P175" s="315">
        <f t="shared" si="59"/>
        <v>183</v>
      </c>
      <c r="Q175" s="315">
        <f t="shared" si="60"/>
        <v>335</v>
      </c>
      <c r="R175" s="315">
        <f t="shared" si="61"/>
        <v>147</v>
      </c>
      <c r="S175" s="315">
        <f t="shared" si="62"/>
        <v>227</v>
      </c>
      <c r="T175" s="315">
        <f t="shared" si="63"/>
        <v>72</v>
      </c>
      <c r="U175" s="315">
        <f t="shared" si="64"/>
        <v>964</v>
      </c>
      <c r="V175" s="591">
        <f t="shared" si="58"/>
        <v>220</v>
      </c>
      <c r="W175" s="598">
        <f t="shared" si="65"/>
        <v>220</v>
      </c>
    </row>
    <row r="176" spans="2:23" ht="15">
      <c r="B176" s="1043" t="s">
        <v>914</v>
      </c>
      <c r="C176" s="1043" t="s">
        <v>915</v>
      </c>
      <c r="D176" s="1046"/>
      <c r="E176" s="1043" t="s">
        <v>570</v>
      </c>
      <c r="F176" s="1032">
        <f>VALUE(Data.Sard!G174)</f>
        <v>-0.22043445414905039</v>
      </c>
      <c r="G176" s="844">
        <f>Data.Sard!J174</f>
        <v>2.0453845196971532</v>
      </c>
      <c r="H176" s="1043">
        <v>18050944</v>
      </c>
      <c r="I176" s="264">
        <f>VALUE(Data.Sard!L174)</f>
        <v>1.7869999999999999</v>
      </c>
      <c r="J176" s="904">
        <f>Data.Sard!N174</f>
        <v>-7.0884625292824618E-2</v>
      </c>
      <c r="K176" s="595">
        <f t="shared" si="53"/>
        <v>550</v>
      </c>
      <c r="L176" s="591">
        <f t="shared" si="54"/>
        <v>242</v>
      </c>
      <c r="M176" s="591">
        <f t="shared" si="55"/>
        <v>412</v>
      </c>
      <c r="N176" s="591">
        <f t="shared" si="56"/>
        <v>53</v>
      </c>
      <c r="O176" s="591">
        <f t="shared" si="57"/>
        <v>489</v>
      </c>
      <c r="P176" s="315">
        <f t="shared" si="59"/>
        <v>441</v>
      </c>
      <c r="Q176" s="315">
        <f t="shared" si="60"/>
        <v>32</v>
      </c>
      <c r="R176" s="315">
        <f t="shared" si="61"/>
        <v>403</v>
      </c>
      <c r="S176" s="315">
        <f t="shared" si="62"/>
        <v>50</v>
      </c>
      <c r="T176" s="315">
        <f t="shared" si="63"/>
        <v>473</v>
      </c>
      <c r="U176" s="315">
        <f t="shared" si="64"/>
        <v>1399</v>
      </c>
      <c r="V176" s="591">
        <f t="shared" si="58"/>
        <v>408</v>
      </c>
      <c r="W176" s="598">
        <f t="shared" si="65"/>
        <v>408</v>
      </c>
    </row>
    <row r="177" spans="2:23" ht="15">
      <c r="B177" s="1043" t="s">
        <v>916</v>
      </c>
      <c r="C177" s="1043" t="s">
        <v>917</v>
      </c>
      <c r="D177" s="1046"/>
      <c r="E177" s="1043" t="s">
        <v>556</v>
      </c>
      <c r="F177" s="1032">
        <f>VALUE(Data.Sard!G175)</f>
        <v>5.1933128118499178E-2</v>
      </c>
      <c r="G177" s="844">
        <f>Data.Sard!J175</f>
        <v>-1.7349823343384208</v>
      </c>
      <c r="H177" s="1043">
        <v>24117395</v>
      </c>
      <c r="I177" s="264">
        <f>VALUE(Data.Sard!L175)</f>
        <v>-1.375</v>
      </c>
      <c r="J177" s="904">
        <f>Data.Sard!N175</f>
        <v>9.9537843512403065E-2</v>
      </c>
      <c r="K177" s="595">
        <f t="shared" si="53"/>
        <v>327</v>
      </c>
      <c r="L177" s="591">
        <f t="shared" si="54"/>
        <v>498</v>
      </c>
      <c r="M177" s="591">
        <f t="shared" si="55"/>
        <v>369</v>
      </c>
      <c r="N177" s="591">
        <f t="shared" si="56"/>
        <v>459</v>
      </c>
      <c r="O177" s="591">
        <f t="shared" si="57"/>
        <v>160</v>
      </c>
      <c r="P177" s="315">
        <f t="shared" si="59"/>
        <v>218</v>
      </c>
      <c r="Q177" s="315">
        <f t="shared" si="60"/>
        <v>288</v>
      </c>
      <c r="R177" s="315">
        <f t="shared" si="61"/>
        <v>360</v>
      </c>
      <c r="S177" s="315">
        <f t="shared" si="62"/>
        <v>356</v>
      </c>
      <c r="T177" s="315">
        <f t="shared" si="63"/>
        <v>144</v>
      </c>
      <c r="U177" s="315">
        <f t="shared" si="64"/>
        <v>1366</v>
      </c>
      <c r="V177" s="591">
        <f t="shared" si="58"/>
        <v>393</v>
      </c>
      <c r="W177" s="598">
        <f t="shared" si="65"/>
        <v>393</v>
      </c>
    </row>
    <row r="178" spans="2:23" ht="15">
      <c r="B178" s="996" t="s">
        <v>918</v>
      </c>
      <c r="C178" s="1043" t="s">
        <v>919</v>
      </c>
      <c r="D178" s="1046"/>
      <c r="E178" s="1043" t="s">
        <v>546</v>
      </c>
      <c r="F178" s="1032">
        <f>VALUE(Data.Sard!G176)</f>
        <v>-3.9450136987462636E-2</v>
      </c>
      <c r="G178" s="844">
        <f>Data.Sard!J176</f>
        <v>-0.76756968983665064</v>
      </c>
      <c r="H178" s="1043">
        <v>7271305</v>
      </c>
      <c r="I178" s="264">
        <f>VALUE(Data.Sard!L176)</f>
        <v>-0.17299999999999999</v>
      </c>
      <c r="J178" s="904">
        <f>Data.Sard!N176</f>
        <v>-0.18185535707820533</v>
      </c>
      <c r="K178" s="595">
        <f t="shared" si="53"/>
        <v>480</v>
      </c>
      <c r="L178" s="591">
        <f t="shared" si="54"/>
        <v>476</v>
      </c>
      <c r="M178" s="591">
        <f t="shared" si="55"/>
        <v>497</v>
      </c>
      <c r="N178" s="591">
        <f t="shared" si="56"/>
        <v>335</v>
      </c>
      <c r="O178" s="591">
        <f t="shared" si="57"/>
        <v>531</v>
      </c>
      <c r="P178" s="315">
        <f t="shared" si="59"/>
        <v>371</v>
      </c>
      <c r="Q178" s="315">
        <f t="shared" si="60"/>
        <v>266</v>
      </c>
      <c r="R178" s="315">
        <f t="shared" si="61"/>
        <v>488</v>
      </c>
      <c r="S178" s="315">
        <f t="shared" si="62"/>
        <v>232</v>
      </c>
      <c r="T178" s="315">
        <f t="shared" si="63"/>
        <v>515</v>
      </c>
      <c r="U178" s="315">
        <f t="shared" si="64"/>
        <v>1872</v>
      </c>
      <c r="V178" s="591">
        <f t="shared" si="58"/>
        <v>675</v>
      </c>
      <c r="W178" s="598">
        <f t="shared" si="65"/>
        <v>675</v>
      </c>
    </row>
    <row r="179" spans="2:23" ht="15">
      <c r="B179" s="996" t="s">
        <v>920</v>
      </c>
      <c r="C179" s="1043" t="s">
        <v>921</v>
      </c>
      <c r="D179" s="1046"/>
      <c r="E179" s="1043" t="s">
        <v>546</v>
      </c>
      <c r="F179" s="1032">
        <f>VALUE(Data.Sard!G177)</f>
        <v>-1.1897253306290345</v>
      </c>
      <c r="G179" s="844">
        <f>Data.Sard!J177</f>
        <v>-11.175431016161715</v>
      </c>
      <c r="H179" s="1043">
        <v>72626752</v>
      </c>
      <c r="I179" s="264">
        <f>VALUE(Data.Sard!L177)</f>
        <v>-0.63900000000000001</v>
      </c>
      <c r="J179" s="904">
        <f>Data.Sard!N177</f>
        <v>-0.43081867388462747</v>
      </c>
      <c r="K179" s="595">
        <f t="shared" si="53"/>
        <v>598</v>
      </c>
      <c r="L179" s="591">
        <f t="shared" si="54"/>
        <v>567</v>
      </c>
      <c r="M179" s="591">
        <f t="shared" si="55"/>
        <v>256</v>
      </c>
      <c r="N179" s="591">
        <f t="shared" si="56"/>
        <v>403</v>
      </c>
      <c r="O179" s="591">
        <f t="shared" si="57"/>
        <v>554</v>
      </c>
      <c r="P179" s="315">
        <f t="shared" si="59"/>
        <v>489</v>
      </c>
      <c r="Q179" s="315">
        <f t="shared" si="60"/>
        <v>357</v>
      </c>
      <c r="R179" s="315">
        <f t="shared" si="61"/>
        <v>247</v>
      </c>
      <c r="S179" s="315">
        <f t="shared" si="62"/>
        <v>300</v>
      </c>
      <c r="T179" s="315">
        <f t="shared" si="63"/>
        <v>538</v>
      </c>
      <c r="U179" s="315">
        <f t="shared" si="64"/>
        <v>1931</v>
      </c>
      <c r="V179" s="591">
        <f t="shared" si="58"/>
        <v>689</v>
      </c>
      <c r="W179" s="598">
        <f t="shared" si="65"/>
        <v>689</v>
      </c>
    </row>
    <row r="180" spans="2:23" ht="15">
      <c r="B180" s="1043" t="s">
        <v>922</v>
      </c>
      <c r="C180" s="1043" t="s">
        <v>923</v>
      </c>
      <c r="D180" s="1046"/>
      <c r="E180" s="1043" t="s">
        <v>678</v>
      </c>
      <c r="F180" s="1032">
        <f>VALUE(Data.Sard!G178)</f>
        <v>7.3998765589705862E-2</v>
      </c>
      <c r="G180" s="844">
        <f>Data.Sard!J178</f>
        <v>0.77792092385240752</v>
      </c>
      <c r="H180" s="1043">
        <v>48260</v>
      </c>
      <c r="I180" s="264">
        <f>VALUE(Data.Sard!L178)</f>
        <v>-1.4</v>
      </c>
      <c r="J180" s="904">
        <f>Data.Sard!N178</f>
        <v>-12.959264392950288</v>
      </c>
      <c r="K180" s="595">
        <f t="shared" si="53"/>
        <v>280</v>
      </c>
      <c r="L180" s="591">
        <f t="shared" si="54"/>
        <v>310</v>
      </c>
      <c r="M180" s="591">
        <f t="shared" si="55"/>
        <v>654</v>
      </c>
      <c r="N180" s="591">
        <f t="shared" si="56"/>
        <v>463</v>
      </c>
      <c r="O180" s="591">
        <f t="shared" si="57"/>
        <v>597</v>
      </c>
      <c r="P180" s="315">
        <f t="shared" si="59"/>
        <v>171</v>
      </c>
      <c r="Q180" s="315">
        <f t="shared" si="60"/>
        <v>100</v>
      </c>
      <c r="R180" s="315">
        <f t="shared" si="61"/>
        <v>645</v>
      </c>
      <c r="S180" s="315">
        <f t="shared" si="62"/>
        <v>360</v>
      </c>
      <c r="T180" s="315">
        <f t="shared" si="63"/>
        <v>581</v>
      </c>
      <c r="U180" s="315">
        <f t="shared" si="64"/>
        <v>1857</v>
      </c>
      <c r="V180" s="591">
        <f t="shared" si="58"/>
        <v>668</v>
      </c>
      <c r="W180" s="598">
        <f t="shared" si="65"/>
        <v>668</v>
      </c>
    </row>
    <row r="181" spans="2:23" ht="15">
      <c r="B181" s="1043" t="s">
        <v>924</v>
      </c>
      <c r="C181" s="1043" t="s">
        <v>925</v>
      </c>
      <c r="D181" s="1046"/>
      <c r="E181" s="1043" t="s">
        <v>678</v>
      </c>
      <c r="F181" s="1032">
        <f>VALUE(Data.Sard!G179)</f>
        <v>0.13943739783581754</v>
      </c>
      <c r="G181" s="844"/>
      <c r="H181" s="1043">
        <v>522032</v>
      </c>
      <c r="I181" s="264"/>
      <c r="J181" s="904">
        <f>Data.Sard!N179</f>
        <v>6.0722159803404827E-2</v>
      </c>
      <c r="K181" s="595">
        <f t="shared" si="53"/>
        <v>168</v>
      </c>
      <c r="L181" s="591">
        <f t="shared" si="54"/>
        <v>397</v>
      </c>
      <c r="M181" s="591">
        <f t="shared" si="55"/>
        <v>630</v>
      </c>
      <c r="N181" s="591">
        <f t="shared" si="56"/>
        <v>285</v>
      </c>
      <c r="O181" s="591">
        <f t="shared" si="57"/>
        <v>240</v>
      </c>
      <c r="P181" s="315">
        <f t="shared" si="59"/>
        <v>59</v>
      </c>
      <c r="Q181" s="315">
        <f t="shared" si="60"/>
        <v>187</v>
      </c>
      <c r="R181" s="315">
        <f t="shared" si="61"/>
        <v>621</v>
      </c>
      <c r="S181" s="315">
        <f t="shared" si="62"/>
        <v>182</v>
      </c>
      <c r="T181" s="315">
        <f t="shared" si="63"/>
        <v>224</v>
      </c>
      <c r="U181" s="315">
        <f t="shared" si="64"/>
        <v>1273</v>
      </c>
      <c r="V181" s="591">
        <f t="shared" si="58"/>
        <v>348</v>
      </c>
      <c r="W181" s="598">
        <f t="shared" si="65"/>
        <v>348</v>
      </c>
    </row>
    <row r="182" spans="2:23" ht="15">
      <c r="B182" s="996" t="s">
        <v>926</v>
      </c>
      <c r="C182" s="1043" t="s">
        <v>927</v>
      </c>
      <c r="D182" s="1046"/>
      <c r="E182" s="1043" t="s">
        <v>603</v>
      </c>
      <c r="F182" s="1032"/>
      <c r="G182" s="844">
        <f>Data.Sard!J180</f>
        <v>2.0969330646957873</v>
      </c>
      <c r="H182" s="1043">
        <v>2346728</v>
      </c>
      <c r="I182" s="264">
        <f>VALUE(Data.Sard!L180)</f>
        <v>-0.63900000000000001</v>
      </c>
      <c r="J182" s="904"/>
      <c r="K182" s="595">
        <f t="shared" si="53"/>
        <v>442</v>
      </c>
      <c r="L182" s="591">
        <f t="shared" si="54"/>
        <v>234</v>
      </c>
      <c r="M182" s="591">
        <f t="shared" si="55"/>
        <v>579</v>
      </c>
      <c r="N182" s="591">
        <f t="shared" si="56"/>
        <v>403</v>
      </c>
      <c r="O182" s="591">
        <f t="shared" si="57"/>
        <v>419</v>
      </c>
      <c r="P182" s="315">
        <f t="shared" si="59"/>
        <v>333</v>
      </c>
      <c r="Q182" s="315">
        <f t="shared" si="60"/>
        <v>24</v>
      </c>
      <c r="R182" s="315">
        <f t="shared" si="61"/>
        <v>570</v>
      </c>
      <c r="S182" s="315">
        <f t="shared" si="62"/>
        <v>300</v>
      </c>
      <c r="T182" s="315">
        <f t="shared" si="63"/>
        <v>403</v>
      </c>
      <c r="U182" s="315">
        <f t="shared" si="64"/>
        <v>1630</v>
      </c>
      <c r="V182" s="591">
        <f t="shared" si="58"/>
        <v>553</v>
      </c>
      <c r="W182" s="598">
        <f t="shared" si="65"/>
        <v>553</v>
      </c>
    </row>
    <row r="183" spans="2:23" ht="15">
      <c r="B183" s="1043" t="s">
        <v>928</v>
      </c>
      <c r="C183" s="1043" t="s">
        <v>929</v>
      </c>
      <c r="D183" s="1046"/>
      <c r="E183" s="1043" t="s">
        <v>603</v>
      </c>
      <c r="F183" s="1032">
        <f>VALUE(Data.Sard!G181)</f>
        <v>0.27626360644851511</v>
      </c>
      <c r="G183" s="844">
        <f>Data.Sard!J181</f>
        <v>-3.7240965665182664</v>
      </c>
      <c r="H183" s="1043">
        <v>38691544137</v>
      </c>
      <c r="I183" s="264"/>
      <c r="J183" s="904">
        <f>Data.Sard!N181</f>
        <v>0.11009242144138824</v>
      </c>
      <c r="K183" s="595">
        <f t="shared" si="53"/>
        <v>71</v>
      </c>
      <c r="L183" s="591">
        <f t="shared" si="54"/>
        <v>523</v>
      </c>
      <c r="M183" s="591">
        <f t="shared" si="55"/>
        <v>6</v>
      </c>
      <c r="N183" s="591">
        <f t="shared" si="56"/>
        <v>285</v>
      </c>
      <c r="O183" s="591">
        <f t="shared" si="57"/>
        <v>131</v>
      </c>
      <c r="P183" s="315">
        <f t="shared" si="59"/>
        <v>38</v>
      </c>
      <c r="Q183" s="315">
        <f t="shared" si="60"/>
        <v>313</v>
      </c>
      <c r="R183" s="315">
        <f t="shared" si="61"/>
        <v>3</v>
      </c>
      <c r="S183" s="315">
        <f t="shared" si="62"/>
        <v>182</v>
      </c>
      <c r="T183" s="315">
        <f t="shared" si="63"/>
        <v>115</v>
      </c>
      <c r="U183" s="315">
        <f t="shared" si="64"/>
        <v>651</v>
      </c>
      <c r="V183" s="591">
        <f t="shared" si="58"/>
        <v>97</v>
      </c>
      <c r="W183" s="598">
        <f t="shared" si="65"/>
        <v>97</v>
      </c>
    </row>
    <row r="184" spans="2:23" ht="15">
      <c r="B184" s="1043" t="s">
        <v>930</v>
      </c>
      <c r="C184" s="1043" t="s">
        <v>931</v>
      </c>
      <c r="D184" s="1046"/>
      <c r="E184" s="1043" t="s">
        <v>584</v>
      </c>
      <c r="F184" s="1032">
        <f>VALUE(Data.Sard!G182)</f>
        <v>1.8326986156381987E-2</v>
      </c>
      <c r="G184" s="844">
        <f>Data.Sard!J182</f>
        <v>22.143098542724228</v>
      </c>
      <c r="H184" s="1043">
        <v>22969843</v>
      </c>
      <c r="I184" s="264">
        <f>VALUE(Data.Sard!L182)</f>
        <v>0.16900000000000001</v>
      </c>
      <c r="J184" s="904">
        <f>Data.Sard!N182</f>
        <v>-7.7319530360445499E-3</v>
      </c>
      <c r="K184" s="595">
        <f t="shared" si="53"/>
        <v>406</v>
      </c>
      <c r="L184" s="591">
        <f t="shared" si="54"/>
        <v>23</v>
      </c>
      <c r="M184" s="591">
        <f t="shared" si="55"/>
        <v>377</v>
      </c>
      <c r="N184" s="591">
        <f t="shared" si="56"/>
        <v>245</v>
      </c>
      <c r="O184" s="591">
        <f t="shared" si="57"/>
        <v>439</v>
      </c>
      <c r="P184" s="315">
        <f t="shared" si="59"/>
        <v>297</v>
      </c>
      <c r="Q184" s="315">
        <f t="shared" si="60"/>
        <v>187</v>
      </c>
      <c r="R184" s="315">
        <f t="shared" si="61"/>
        <v>368</v>
      </c>
      <c r="S184" s="315">
        <f t="shared" si="62"/>
        <v>142</v>
      </c>
      <c r="T184" s="315">
        <f t="shared" si="63"/>
        <v>423</v>
      </c>
      <c r="U184" s="315">
        <f t="shared" si="64"/>
        <v>1417</v>
      </c>
      <c r="V184" s="591">
        <f t="shared" si="58"/>
        <v>422</v>
      </c>
      <c r="W184" s="598">
        <f t="shared" si="65"/>
        <v>422</v>
      </c>
    </row>
    <row r="185" spans="2:23" ht="15">
      <c r="B185" s="1043" t="s">
        <v>932</v>
      </c>
      <c r="C185" s="1043" t="s">
        <v>933</v>
      </c>
      <c r="D185" s="1046"/>
      <c r="E185" s="1043" t="s">
        <v>611</v>
      </c>
      <c r="F185" s="1032">
        <f>VALUE(Data.Sard!G183)</f>
        <v>1.942981271052029E-2</v>
      </c>
      <c r="G185" s="844">
        <f>Data.Sard!J183</f>
        <v>0.21987060563848093</v>
      </c>
      <c r="H185" s="1043">
        <v>17766167</v>
      </c>
      <c r="I185" s="264">
        <f>VALUE(Data.Sard!L183)</f>
        <v>0.41799999999999998</v>
      </c>
      <c r="J185" s="904">
        <f>Data.Sard!N183</f>
        <v>9.3365552212113217E-3</v>
      </c>
      <c r="K185" s="595">
        <f t="shared" si="53"/>
        <v>401</v>
      </c>
      <c r="L185" s="591">
        <f t="shared" si="54"/>
        <v>359</v>
      </c>
      <c r="M185" s="591">
        <f t="shared" si="55"/>
        <v>415</v>
      </c>
      <c r="N185" s="591">
        <f t="shared" si="56"/>
        <v>184</v>
      </c>
      <c r="O185" s="591">
        <f t="shared" si="57"/>
        <v>395</v>
      </c>
      <c r="P185" s="315">
        <f t="shared" si="59"/>
        <v>292</v>
      </c>
      <c r="Q185" s="315">
        <f t="shared" si="60"/>
        <v>149</v>
      </c>
      <c r="R185" s="315">
        <f t="shared" si="61"/>
        <v>406</v>
      </c>
      <c r="S185" s="315">
        <f t="shared" si="62"/>
        <v>81</v>
      </c>
      <c r="T185" s="315">
        <f t="shared" si="63"/>
        <v>379</v>
      </c>
      <c r="U185" s="315">
        <f t="shared" si="64"/>
        <v>1307</v>
      </c>
      <c r="V185" s="591">
        <f t="shared" si="58"/>
        <v>368</v>
      </c>
      <c r="W185" s="598">
        <f t="shared" si="65"/>
        <v>368</v>
      </c>
    </row>
    <row r="186" spans="2:23" ht="15">
      <c r="B186" s="1043" t="s">
        <v>934</v>
      </c>
      <c r="C186" s="1043" t="s">
        <v>935</v>
      </c>
      <c r="D186" s="1046"/>
      <c r="E186" s="1043" t="s">
        <v>611</v>
      </c>
      <c r="F186" s="1032">
        <f>VALUE(Data.Sard!G184)</f>
        <v>3.6074358724238018E-2</v>
      </c>
      <c r="G186" s="844">
        <f>Data.Sard!J184</f>
        <v>12.346715326199753</v>
      </c>
      <c r="H186" s="1043">
        <v>70007574</v>
      </c>
      <c r="I186" s="264">
        <f>VALUE(Data.Sard!L184)</f>
        <v>-0.30499999999999999</v>
      </c>
      <c r="J186" s="904">
        <f>Data.Sard!N184</f>
        <v>4.081369265184942E-2</v>
      </c>
      <c r="K186" s="595">
        <f t="shared" si="53"/>
        <v>358</v>
      </c>
      <c r="L186" s="591">
        <f t="shared" si="54"/>
        <v>54</v>
      </c>
      <c r="M186" s="591">
        <f t="shared" si="55"/>
        <v>261</v>
      </c>
      <c r="N186" s="591">
        <f t="shared" si="56"/>
        <v>358</v>
      </c>
      <c r="O186" s="591">
        <f t="shared" si="57"/>
        <v>303</v>
      </c>
      <c r="P186" s="315">
        <f t="shared" si="59"/>
        <v>249</v>
      </c>
      <c r="Q186" s="315">
        <f t="shared" si="60"/>
        <v>156</v>
      </c>
      <c r="R186" s="315">
        <f t="shared" si="61"/>
        <v>252</v>
      </c>
      <c r="S186" s="315">
        <f t="shared" si="62"/>
        <v>255</v>
      </c>
      <c r="T186" s="315">
        <f t="shared" si="63"/>
        <v>287</v>
      </c>
      <c r="U186" s="315">
        <f t="shared" si="64"/>
        <v>1199</v>
      </c>
      <c r="V186" s="591">
        <f t="shared" si="58"/>
        <v>308</v>
      </c>
      <c r="W186" s="598">
        <f t="shared" si="65"/>
        <v>308</v>
      </c>
    </row>
    <row r="187" spans="2:23" ht="15">
      <c r="B187" s="1043" t="s">
        <v>936</v>
      </c>
      <c r="C187" s="1043" t="s">
        <v>937</v>
      </c>
      <c r="D187" s="1046"/>
      <c r="E187" s="1043" t="s">
        <v>611</v>
      </c>
      <c r="F187" s="1032">
        <f>VALUE(Data.Sard!G185)</f>
        <v>2.5392108287702952E-2</v>
      </c>
      <c r="G187" s="844">
        <f>Data.Sard!J185</f>
        <v>59.790792065471635</v>
      </c>
      <c r="H187" s="1043">
        <v>71422943</v>
      </c>
      <c r="I187" s="264">
        <f>VALUE(Data.Sard!L185)</f>
        <v>-4.4020000000000001</v>
      </c>
      <c r="J187" s="904">
        <f>Data.Sard!N185</f>
        <v>9.4914784551880446E-3</v>
      </c>
      <c r="K187" s="595">
        <f t="shared" si="53"/>
        <v>384</v>
      </c>
      <c r="L187" s="591">
        <f t="shared" si="54"/>
        <v>6</v>
      </c>
      <c r="M187" s="591">
        <f t="shared" si="55"/>
        <v>258</v>
      </c>
      <c r="N187" s="591">
        <f t="shared" si="56"/>
        <v>513</v>
      </c>
      <c r="O187" s="591">
        <f t="shared" si="57"/>
        <v>394</v>
      </c>
      <c r="P187" s="315">
        <f t="shared" si="59"/>
        <v>275</v>
      </c>
      <c r="Q187" s="315">
        <f t="shared" si="60"/>
        <v>204</v>
      </c>
      <c r="R187" s="315">
        <f t="shared" si="61"/>
        <v>249</v>
      </c>
      <c r="S187" s="315">
        <f t="shared" si="62"/>
        <v>410</v>
      </c>
      <c r="T187" s="315">
        <f t="shared" si="63"/>
        <v>378</v>
      </c>
      <c r="U187" s="315">
        <f t="shared" si="64"/>
        <v>1516</v>
      </c>
      <c r="V187" s="591">
        <f t="shared" si="58"/>
        <v>474</v>
      </c>
      <c r="W187" s="598">
        <f t="shared" si="65"/>
        <v>474</v>
      </c>
    </row>
    <row r="188" spans="2:23" ht="15">
      <c r="B188" s="996" t="s">
        <v>938</v>
      </c>
      <c r="C188" s="1043" t="s">
        <v>939</v>
      </c>
      <c r="D188" s="1046"/>
      <c r="E188" s="1043" t="s">
        <v>546</v>
      </c>
      <c r="F188" s="1032">
        <f>VALUE(Data.Sard!G186)</f>
        <v>-8.0020535555143213E-2</v>
      </c>
      <c r="G188" s="844">
        <f>Data.Sard!J186</f>
        <v>0</v>
      </c>
      <c r="H188" s="1043">
        <v>26716817</v>
      </c>
      <c r="I188" s="264">
        <f>VALUE(Data.Sard!L186)</f>
        <v>0.224</v>
      </c>
      <c r="J188" s="904">
        <f>Data.Sard!N186</f>
        <v>8.5675601255080069E-3</v>
      </c>
      <c r="K188" s="595">
        <f t="shared" si="53"/>
        <v>511</v>
      </c>
      <c r="L188" s="591">
        <f t="shared" si="54"/>
        <v>397</v>
      </c>
      <c r="M188" s="591">
        <f t="shared" si="55"/>
        <v>357</v>
      </c>
      <c r="N188" s="591">
        <f t="shared" si="56"/>
        <v>233</v>
      </c>
      <c r="O188" s="591">
        <f t="shared" si="57"/>
        <v>397</v>
      </c>
      <c r="P188" s="315">
        <f t="shared" si="59"/>
        <v>402</v>
      </c>
      <c r="Q188" s="315">
        <f t="shared" si="60"/>
        <v>187</v>
      </c>
      <c r="R188" s="315">
        <f t="shared" si="61"/>
        <v>348</v>
      </c>
      <c r="S188" s="315">
        <f t="shared" si="62"/>
        <v>130</v>
      </c>
      <c r="T188" s="315">
        <f t="shared" si="63"/>
        <v>381</v>
      </c>
      <c r="U188" s="315">
        <f t="shared" si="64"/>
        <v>1448</v>
      </c>
      <c r="V188" s="591">
        <f t="shared" si="58"/>
        <v>436</v>
      </c>
      <c r="W188" s="598">
        <f t="shared" si="65"/>
        <v>436</v>
      </c>
    </row>
    <row r="189" spans="2:23" ht="15">
      <c r="B189" s="996" t="s">
        <v>940</v>
      </c>
      <c r="C189" s="1043" t="s">
        <v>941</v>
      </c>
      <c r="D189" s="1046"/>
      <c r="E189" s="1043" t="s">
        <v>603</v>
      </c>
      <c r="F189" s="1032">
        <f>VALUE(Data.Sard!G187)</f>
        <v>1.4290796077700127E-2</v>
      </c>
      <c r="G189" s="844">
        <f>Data.Sard!J187</f>
        <v>6.4117294095572728</v>
      </c>
      <c r="H189" s="1043">
        <v>4431285</v>
      </c>
      <c r="I189" s="264">
        <f>VALUE(Data.Sard!L187)</f>
        <v>-31.327000000000002</v>
      </c>
      <c r="J189" s="904">
        <f>Data.Sard!N187</f>
        <v>1.5295986486720127E-2</v>
      </c>
      <c r="K189" s="595">
        <f t="shared" si="53"/>
        <v>412</v>
      </c>
      <c r="L189" s="591">
        <f t="shared" si="54"/>
        <v>97</v>
      </c>
      <c r="M189" s="591">
        <f t="shared" si="55"/>
        <v>536</v>
      </c>
      <c r="N189" s="591">
        <f t="shared" si="56"/>
        <v>536</v>
      </c>
      <c r="O189" s="591">
        <f t="shared" si="57"/>
        <v>380</v>
      </c>
      <c r="P189" s="315">
        <f t="shared" si="59"/>
        <v>303</v>
      </c>
      <c r="Q189" s="315">
        <f t="shared" si="60"/>
        <v>113</v>
      </c>
      <c r="R189" s="315">
        <f t="shared" si="61"/>
        <v>527</v>
      </c>
      <c r="S189" s="315">
        <f t="shared" si="62"/>
        <v>433</v>
      </c>
      <c r="T189" s="315">
        <f t="shared" si="63"/>
        <v>364</v>
      </c>
      <c r="U189" s="315">
        <f t="shared" si="64"/>
        <v>1740</v>
      </c>
      <c r="V189" s="591">
        <f t="shared" si="58"/>
        <v>612</v>
      </c>
      <c r="W189" s="598">
        <f t="shared" si="65"/>
        <v>612</v>
      </c>
    </row>
    <row r="190" spans="2:23" ht="15">
      <c r="B190" s="1043" t="s">
        <v>942</v>
      </c>
      <c r="C190" s="1043" t="s">
        <v>943</v>
      </c>
      <c r="D190" s="1046"/>
      <c r="E190" s="1043" t="s">
        <v>603</v>
      </c>
      <c r="F190" s="1032">
        <f>VALUE(Data.Sard!G188)</f>
        <v>0.16190307649178803</v>
      </c>
      <c r="G190" s="844">
        <f>Data.Sard!J188</f>
        <v>4.2120533404292404</v>
      </c>
      <c r="H190" s="1043">
        <v>61962468</v>
      </c>
      <c r="I190" s="264">
        <f>VALUE(Data.Sard!L188)</f>
        <v>-4.4340000000000002</v>
      </c>
      <c r="J190" s="904">
        <f>Data.Sard!N188</f>
        <v>9.5239563304313143E-2</v>
      </c>
      <c r="K190" s="595">
        <f t="shared" si="53"/>
        <v>146</v>
      </c>
      <c r="L190" s="591">
        <f t="shared" si="54"/>
        <v>138</v>
      </c>
      <c r="M190" s="591">
        <f t="shared" si="55"/>
        <v>274</v>
      </c>
      <c r="N190" s="591">
        <f t="shared" si="56"/>
        <v>514</v>
      </c>
      <c r="O190" s="591">
        <f t="shared" si="57"/>
        <v>166</v>
      </c>
      <c r="P190" s="315">
        <f t="shared" si="59"/>
        <v>37</v>
      </c>
      <c r="Q190" s="315">
        <f t="shared" si="60"/>
        <v>72</v>
      </c>
      <c r="R190" s="315">
        <f t="shared" si="61"/>
        <v>265</v>
      </c>
      <c r="S190" s="315">
        <f t="shared" si="62"/>
        <v>411</v>
      </c>
      <c r="T190" s="315">
        <f t="shared" si="63"/>
        <v>150</v>
      </c>
      <c r="U190" s="315">
        <f t="shared" si="64"/>
        <v>935</v>
      </c>
      <c r="V190" s="591">
        <f t="shared" si="58"/>
        <v>205</v>
      </c>
      <c r="W190" s="598">
        <f t="shared" si="65"/>
        <v>205</v>
      </c>
    </row>
    <row r="191" spans="2:23" ht="15">
      <c r="B191" s="996" t="s">
        <v>944</v>
      </c>
      <c r="C191" s="1043" t="s">
        <v>945</v>
      </c>
      <c r="D191" s="1046"/>
      <c r="E191" s="1043" t="s">
        <v>603</v>
      </c>
      <c r="F191" s="1032">
        <f>VALUE(Data.Sard!G189)</f>
        <v>-0.50648417195112372</v>
      </c>
      <c r="G191" s="844">
        <f>Data.Sard!J189</f>
        <v>2.7799750033911195E-2</v>
      </c>
      <c r="H191" s="1043">
        <v>3537281</v>
      </c>
      <c r="I191" s="264">
        <f>VALUE(Data.Sard!L189)</f>
        <v>-4.4610000000000003</v>
      </c>
      <c r="J191" s="904">
        <f>Data.Sard!N189</f>
        <v>0.28439017880781542</v>
      </c>
      <c r="K191" s="595">
        <f t="shared" si="53"/>
        <v>576</v>
      </c>
      <c r="L191" s="591">
        <f t="shared" si="54"/>
        <v>388</v>
      </c>
      <c r="M191" s="591">
        <f t="shared" si="55"/>
        <v>554</v>
      </c>
      <c r="N191" s="591">
        <f t="shared" si="56"/>
        <v>515</v>
      </c>
      <c r="O191" s="591">
        <f t="shared" si="57"/>
        <v>19</v>
      </c>
      <c r="P191" s="315">
        <f t="shared" si="59"/>
        <v>467</v>
      </c>
      <c r="Q191" s="315">
        <f t="shared" si="60"/>
        <v>178</v>
      </c>
      <c r="R191" s="315">
        <f t="shared" si="61"/>
        <v>545</v>
      </c>
      <c r="S191" s="315">
        <f t="shared" si="62"/>
        <v>412</v>
      </c>
      <c r="T191" s="315">
        <f t="shared" si="63"/>
        <v>3</v>
      </c>
      <c r="U191" s="315">
        <f t="shared" si="64"/>
        <v>1605</v>
      </c>
      <c r="V191" s="591">
        <f t="shared" si="58"/>
        <v>534</v>
      </c>
      <c r="W191" s="598">
        <f t="shared" si="65"/>
        <v>534</v>
      </c>
    </row>
    <row r="192" spans="2:23" ht="15">
      <c r="B192" s="1043" t="s">
        <v>946</v>
      </c>
      <c r="C192" s="1043" t="s">
        <v>947</v>
      </c>
      <c r="D192" s="1046"/>
      <c r="E192" s="1043" t="s">
        <v>603</v>
      </c>
      <c r="F192" s="1032">
        <f>VALUE(Data.Sard!G190)</f>
        <v>0.14545751027523723</v>
      </c>
      <c r="G192" s="844">
        <f>Data.Sard!J190</f>
        <v>2.7412112288319199</v>
      </c>
      <c r="H192" s="1043">
        <v>222596598</v>
      </c>
      <c r="I192" s="264">
        <f>VALUE(Data.Sard!L190)</f>
        <v>-1.0249999999999999</v>
      </c>
      <c r="J192" s="904">
        <f>Data.Sard!N190</f>
        <v>0.18091549212473243</v>
      </c>
      <c r="K192" s="595">
        <f t="shared" si="53"/>
        <v>161</v>
      </c>
      <c r="L192" s="591">
        <f t="shared" si="54"/>
        <v>195</v>
      </c>
      <c r="M192" s="591">
        <f t="shared" si="55"/>
        <v>164</v>
      </c>
      <c r="N192" s="591">
        <f t="shared" si="56"/>
        <v>438</v>
      </c>
      <c r="O192" s="591">
        <f t="shared" si="57"/>
        <v>62</v>
      </c>
      <c r="P192" s="315">
        <f t="shared" si="59"/>
        <v>52</v>
      </c>
      <c r="Q192" s="315">
        <f t="shared" si="60"/>
        <v>15</v>
      </c>
      <c r="R192" s="315">
        <f t="shared" si="61"/>
        <v>155</v>
      </c>
      <c r="S192" s="315">
        <f t="shared" si="62"/>
        <v>335</v>
      </c>
      <c r="T192" s="315">
        <f t="shared" si="63"/>
        <v>46</v>
      </c>
      <c r="U192" s="315">
        <f t="shared" si="64"/>
        <v>603</v>
      </c>
      <c r="V192" s="591">
        <f t="shared" si="58"/>
        <v>73</v>
      </c>
      <c r="W192" s="598">
        <f t="shared" si="65"/>
        <v>73</v>
      </c>
    </row>
    <row r="193" spans="2:23" ht="15">
      <c r="B193" s="996" t="s">
        <v>948</v>
      </c>
      <c r="C193" s="1043" t="s">
        <v>949</v>
      </c>
      <c r="D193" s="1046"/>
      <c r="E193" s="1043" t="s">
        <v>603</v>
      </c>
      <c r="F193" s="1032">
        <f>VALUE(Data.Sard!G191)</f>
        <v>0.20730749860931255</v>
      </c>
      <c r="G193" s="844">
        <f>Data.Sard!J191</f>
        <v>0.40774704430463099</v>
      </c>
      <c r="H193" s="1043">
        <v>15033424</v>
      </c>
      <c r="I193" s="264">
        <f>VALUE(Data.Sard!L191)</f>
        <v>0.14299999999999999</v>
      </c>
      <c r="J193" s="904">
        <f>Data.Sard!N191</f>
        <v>6.2789791038370082E-2</v>
      </c>
      <c r="K193" s="595">
        <f t="shared" si="53"/>
        <v>101</v>
      </c>
      <c r="L193" s="591">
        <f t="shared" si="54"/>
        <v>342</v>
      </c>
      <c r="M193" s="591">
        <f t="shared" si="55"/>
        <v>430</v>
      </c>
      <c r="N193" s="591">
        <f t="shared" si="56"/>
        <v>251</v>
      </c>
      <c r="O193" s="591">
        <f t="shared" si="57"/>
        <v>235</v>
      </c>
      <c r="P193" s="315">
        <f t="shared" si="59"/>
        <v>8</v>
      </c>
      <c r="Q193" s="315">
        <f t="shared" si="60"/>
        <v>132</v>
      </c>
      <c r="R193" s="315">
        <f t="shared" si="61"/>
        <v>421</v>
      </c>
      <c r="S193" s="315">
        <f t="shared" si="62"/>
        <v>148</v>
      </c>
      <c r="T193" s="315">
        <f t="shared" si="63"/>
        <v>219</v>
      </c>
      <c r="U193" s="315">
        <f t="shared" si="64"/>
        <v>928</v>
      </c>
      <c r="V193" s="591">
        <f t="shared" si="58"/>
        <v>198</v>
      </c>
      <c r="W193" s="598">
        <f t="shared" si="65"/>
        <v>198</v>
      </c>
    </row>
    <row r="194" spans="2:23" ht="15">
      <c r="B194" s="996" t="s">
        <v>950</v>
      </c>
      <c r="C194" s="1043" t="s">
        <v>951</v>
      </c>
      <c r="D194" s="1046"/>
      <c r="E194" s="1043" t="s">
        <v>603</v>
      </c>
      <c r="F194" s="1032">
        <f>VALUE(Data.Sard!G192)</f>
        <v>5.3031501192662891E-3</v>
      </c>
      <c r="G194" s="844"/>
      <c r="H194" s="1043">
        <v>28361236</v>
      </c>
      <c r="I194" s="264">
        <f>VALUE(Data.Sard!L192)</f>
        <v>0.45400000000000001</v>
      </c>
      <c r="J194" s="904">
        <f>Data.Sard!N192</f>
        <v>1.5608597099613621E-2</v>
      </c>
      <c r="K194" s="595">
        <f t="shared" si="53"/>
        <v>431</v>
      </c>
      <c r="L194" s="591">
        <f t="shared" si="54"/>
        <v>397</v>
      </c>
      <c r="M194" s="591">
        <f t="shared" si="55"/>
        <v>347</v>
      </c>
      <c r="N194" s="591">
        <f t="shared" si="56"/>
        <v>177</v>
      </c>
      <c r="O194" s="591">
        <f t="shared" si="57"/>
        <v>377</v>
      </c>
      <c r="P194" s="315">
        <f t="shared" si="59"/>
        <v>322</v>
      </c>
      <c r="Q194" s="315">
        <f t="shared" si="60"/>
        <v>187</v>
      </c>
      <c r="R194" s="315">
        <f t="shared" si="61"/>
        <v>338</v>
      </c>
      <c r="S194" s="315">
        <f t="shared" si="62"/>
        <v>74</v>
      </c>
      <c r="T194" s="315">
        <f t="shared" si="63"/>
        <v>361</v>
      </c>
      <c r="U194" s="315">
        <f t="shared" si="64"/>
        <v>1282</v>
      </c>
      <c r="V194" s="591">
        <f t="shared" si="58"/>
        <v>355</v>
      </c>
      <c r="W194" s="598">
        <f t="shared" si="65"/>
        <v>355</v>
      </c>
    </row>
    <row r="195" spans="2:23" ht="15">
      <c r="B195" s="996" t="s">
        <v>952</v>
      </c>
      <c r="C195" s="1043" t="s">
        <v>953</v>
      </c>
      <c r="D195" s="1046"/>
      <c r="E195" s="1043" t="s">
        <v>603</v>
      </c>
      <c r="F195" s="1032"/>
      <c r="G195" s="844">
        <f>Data.Sard!J193</f>
        <v>9.1710170392106019</v>
      </c>
      <c r="H195" s="1043">
        <v>742466</v>
      </c>
      <c r="I195" s="264">
        <f>VALUE(Data.Sard!L193)</f>
        <v>-0.71799999999999997</v>
      </c>
      <c r="J195" s="904"/>
      <c r="K195" s="595">
        <f t="shared" si="53"/>
        <v>442</v>
      </c>
      <c r="L195" s="591">
        <f t="shared" si="54"/>
        <v>69</v>
      </c>
      <c r="M195" s="591">
        <f t="shared" si="55"/>
        <v>621</v>
      </c>
      <c r="N195" s="591">
        <f t="shared" si="56"/>
        <v>413</v>
      </c>
      <c r="O195" s="591">
        <f t="shared" si="57"/>
        <v>419</v>
      </c>
      <c r="P195" s="315">
        <f t="shared" si="59"/>
        <v>333</v>
      </c>
      <c r="Q195" s="315">
        <f t="shared" si="60"/>
        <v>141</v>
      </c>
      <c r="R195" s="315">
        <f t="shared" si="61"/>
        <v>612</v>
      </c>
      <c r="S195" s="315">
        <f t="shared" si="62"/>
        <v>310</v>
      </c>
      <c r="T195" s="315">
        <f t="shared" si="63"/>
        <v>403</v>
      </c>
      <c r="U195" s="315">
        <f t="shared" si="64"/>
        <v>1799</v>
      </c>
      <c r="V195" s="591">
        <f t="shared" si="58"/>
        <v>644</v>
      </c>
      <c r="W195" s="598">
        <f t="shared" si="65"/>
        <v>644</v>
      </c>
    </row>
    <row r="196" spans="2:23" ht="15">
      <c r="B196" s="996" t="s">
        <v>954</v>
      </c>
      <c r="C196" s="1043" t="s">
        <v>955</v>
      </c>
      <c r="D196" s="1046"/>
      <c r="E196" s="1043" t="s">
        <v>603</v>
      </c>
      <c r="F196" s="1032">
        <f>VALUE(Data.Sard!G194)</f>
        <v>4.1901316910831765E-2</v>
      </c>
      <c r="G196" s="844">
        <f>Data.Sard!J194</f>
        <v>5.3856936836405263</v>
      </c>
      <c r="H196" s="1043">
        <v>4556363</v>
      </c>
      <c r="I196" s="264"/>
      <c r="J196" s="904">
        <f>Data.Sard!N194</f>
        <v>4.2141913112481902E-2</v>
      </c>
      <c r="K196" s="595">
        <f t="shared" si="53"/>
        <v>350</v>
      </c>
      <c r="L196" s="591">
        <f t="shared" si="54"/>
        <v>115</v>
      </c>
      <c r="M196" s="591">
        <f t="shared" si="55"/>
        <v>534</v>
      </c>
      <c r="N196" s="591">
        <f t="shared" si="56"/>
        <v>285</v>
      </c>
      <c r="O196" s="591">
        <f t="shared" si="57"/>
        <v>302</v>
      </c>
      <c r="P196" s="315">
        <f t="shared" si="59"/>
        <v>241</v>
      </c>
      <c r="Q196" s="315">
        <f t="shared" si="60"/>
        <v>95</v>
      </c>
      <c r="R196" s="315">
        <f t="shared" si="61"/>
        <v>525</v>
      </c>
      <c r="S196" s="315">
        <f t="shared" si="62"/>
        <v>182</v>
      </c>
      <c r="T196" s="315">
        <f t="shared" si="63"/>
        <v>286</v>
      </c>
      <c r="U196" s="315">
        <f t="shared" si="64"/>
        <v>1329</v>
      </c>
      <c r="V196" s="591">
        <f t="shared" si="58"/>
        <v>375</v>
      </c>
      <c r="W196" s="598">
        <f t="shared" si="65"/>
        <v>375</v>
      </c>
    </row>
    <row r="197" spans="2:23" ht="15">
      <c r="B197" s="996" t="s">
        <v>956</v>
      </c>
      <c r="C197" s="1043" t="s">
        <v>957</v>
      </c>
      <c r="D197" s="1046"/>
      <c r="E197" s="1043" t="s">
        <v>603</v>
      </c>
      <c r="F197" s="1032">
        <f>VALUE(Data.Sard!G195)</f>
        <v>7.9718179242695669E-2</v>
      </c>
      <c r="G197" s="844">
        <f>Data.Sard!J195</f>
        <v>5.3336857136240513E-2</v>
      </c>
      <c r="H197" s="1043">
        <v>18375591</v>
      </c>
      <c r="I197" s="264">
        <f>VALUE(Data.Sard!L195)</f>
        <v>1.5049999999999999</v>
      </c>
      <c r="J197" s="904">
        <f>Data.Sard!N195</f>
        <v>5.8876882763875982E-2</v>
      </c>
      <c r="K197" s="595">
        <f t="shared" ref="K197:K260" si="66">IFERROR(_xlfn.RANK.EQ(F197,F$3:F$706),"N/A")</f>
        <v>266</v>
      </c>
      <c r="L197" s="591">
        <f t="shared" ref="L197:L260" si="67">IFERROR(_xlfn.RANK.EQ(G197,G$3:G$706),"N/A")</f>
        <v>386</v>
      </c>
      <c r="M197" s="591">
        <f t="shared" ref="M197:M260" si="68">IFERROR(_xlfn.RANK.EQ(H197,H$3:H$706),"N/A")</f>
        <v>410</v>
      </c>
      <c r="N197" s="591">
        <f t="shared" ref="N197:N260" si="69">IFERROR(_xlfn.RANK.EQ(I197,I$3:I$706),"N/A")</f>
        <v>61</v>
      </c>
      <c r="O197" s="591">
        <f t="shared" ref="O197:O260" si="70">IFERROR(_xlfn.RANK.EQ(J197,J$3:J$706),"N/A")</f>
        <v>245</v>
      </c>
      <c r="P197" s="315">
        <f t="shared" si="59"/>
        <v>157</v>
      </c>
      <c r="Q197" s="315">
        <f t="shared" si="60"/>
        <v>176</v>
      </c>
      <c r="R197" s="315">
        <f t="shared" si="61"/>
        <v>401</v>
      </c>
      <c r="S197" s="315">
        <f t="shared" si="62"/>
        <v>42</v>
      </c>
      <c r="T197" s="315">
        <f t="shared" si="63"/>
        <v>229</v>
      </c>
      <c r="U197" s="315">
        <f t="shared" si="64"/>
        <v>1005</v>
      </c>
      <c r="V197" s="591">
        <f t="shared" ref="V197:V260" si="71">_xlfn.RANK.EQ(U197,$U$4:$U$706,1)</f>
        <v>238</v>
      </c>
      <c r="W197" s="598">
        <f t="shared" si="65"/>
        <v>238</v>
      </c>
    </row>
    <row r="198" spans="2:23" ht="15">
      <c r="B198" s="996" t="s">
        <v>958</v>
      </c>
      <c r="C198" s="1043" t="s">
        <v>959</v>
      </c>
      <c r="D198" s="1046"/>
      <c r="E198" s="1043" t="s">
        <v>603</v>
      </c>
      <c r="F198" s="1032">
        <f>VALUE(Data.Sard!G196)</f>
        <v>6.4844298783506574E-2</v>
      </c>
      <c r="G198" s="844">
        <f>Data.Sard!J196</f>
        <v>-0.37965560380166896</v>
      </c>
      <c r="H198" s="1043">
        <v>8386688</v>
      </c>
      <c r="I198" s="264">
        <f>VALUE(Data.Sard!L196)</f>
        <v>3.5329999999999999</v>
      </c>
      <c r="J198" s="904">
        <f>Data.Sard!N196</f>
        <v>4.0199445217349902E-2</v>
      </c>
      <c r="K198" s="595">
        <f t="shared" si="66"/>
        <v>297</v>
      </c>
      <c r="L198" s="591">
        <f t="shared" si="67"/>
        <v>465</v>
      </c>
      <c r="M198" s="591">
        <f t="shared" si="68"/>
        <v>482</v>
      </c>
      <c r="N198" s="591">
        <f t="shared" si="69"/>
        <v>27</v>
      </c>
      <c r="O198" s="591">
        <f t="shared" si="70"/>
        <v>306</v>
      </c>
      <c r="P198" s="315">
        <f t="shared" si="59"/>
        <v>188</v>
      </c>
      <c r="Q198" s="315">
        <f t="shared" si="60"/>
        <v>255</v>
      </c>
      <c r="R198" s="315">
        <f t="shared" si="61"/>
        <v>473</v>
      </c>
      <c r="S198" s="315">
        <f t="shared" si="62"/>
        <v>76</v>
      </c>
      <c r="T198" s="315">
        <f t="shared" si="63"/>
        <v>290</v>
      </c>
      <c r="U198" s="315">
        <f t="shared" si="64"/>
        <v>1282</v>
      </c>
      <c r="V198" s="591">
        <f t="shared" si="71"/>
        <v>355</v>
      </c>
      <c r="W198" s="598">
        <f t="shared" si="65"/>
        <v>355</v>
      </c>
    </row>
    <row r="199" spans="2:23" ht="15">
      <c r="B199" s="996" t="s">
        <v>960</v>
      </c>
      <c r="C199" s="1043" t="s">
        <v>961</v>
      </c>
      <c r="D199" s="1046"/>
      <c r="E199" s="1043" t="s">
        <v>579</v>
      </c>
      <c r="F199" s="1032">
        <f>VALUE(Data.Sard!G197)</f>
        <v>-0.31318254844667032</v>
      </c>
      <c r="G199" s="844">
        <f>Data.Sard!J197</f>
        <v>0.20576272050813088</v>
      </c>
      <c r="H199" s="1043">
        <v>526202</v>
      </c>
      <c r="I199" s="264">
        <f>VALUE(Data.Sard!L197)</f>
        <v>-1.423</v>
      </c>
      <c r="J199" s="904">
        <f>Data.Sard!N197</f>
        <v>-0.65578903095857655</v>
      </c>
      <c r="K199" s="595">
        <f t="shared" si="66"/>
        <v>558</v>
      </c>
      <c r="L199" s="591">
        <f t="shared" si="67"/>
        <v>362</v>
      </c>
      <c r="M199" s="591">
        <f t="shared" si="68"/>
        <v>629</v>
      </c>
      <c r="N199" s="591">
        <f t="shared" si="69"/>
        <v>465</v>
      </c>
      <c r="O199" s="591">
        <f t="shared" si="70"/>
        <v>569</v>
      </c>
      <c r="P199" s="315">
        <f t="shared" si="59"/>
        <v>449</v>
      </c>
      <c r="Q199" s="315">
        <f t="shared" si="60"/>
        <v>152</v>
      </c>
      <c r="R199" s="315">
        <f t="shared" si="61"/>
        <v>620</v>
      </c>
      <c r="S199" s="315">
        <f t="shared" si="62"/>
        <v>362</v>
      </c>
      <c r="T199" s="315">
        <f t="shared" si="63"/>
        <v>553</v>
      </c>
      <c r="U199" s="315">
        <f t="shared" si="64"/>
        <v>2136</v>
      </c>
      <c r="V199" s="591">
        <f t="shared" si="71"/>
        <v>701</v>
      </c>
      <c r="W199" s="598">
        <f t="shared" si="65"/>
        <v>701</v>
      </c>
    </row>
    <row r="200" spans="2:23" ht="15">
      <c r="B200" s="996" t="s">
        <v>962</v>
      </c>
      <c r="C200" s="1043" t="s">
        <v>963</v>
      </c>
      <c r="D200" s="1046"/>
      <c r="E200" s="1043" t="s">
        <v>870</v>
      </c>
      <c r="F200" s="1032">
        <f>VALUE(Data.Sard!G198)</f>
        <v>4.4576594754435393E-2</v>
      </c>
      <c r="G200" s="844">
        <f>Data.Sard!J198</f>
        <v>-9.6038034144788185</v>
      </c>
      <c r="H200" s="1043">
        <v>17196280</v>
      </c>
      <c r="I200" s="264"/>
      <c r="J200" s="904">
        <f>Data.Sard!N198</f>
        <v>0.1032618911082382</v>
      </c>
      <c r="K200" s="595">
        <f t="shared" si="66"/>
        <v>342</v>
      </c>
      <c r="L200" s="591">
        <f t="shared" si="67"/>
        <v>562</v>
      </c>
      <c r="M200" s="591">
        <f t="shared" si="68"/>
        <v>417</v>
      </c>
      <c r="N200" s="591">
        <f t="shared" si="69"/>
        <v>285</v>
      </c>
      <c r="O200" s="591">
        <f t="shared" si="70"/>
        <v>150</v>
      </c>
      <c r="P200" s="315">
        <f t="shared" si="59"/>
        <v>233</v>
      </c>
      <c r="Q200" s="315">
        <f t="shared" si="60"/>
        <v>352</v>
      </c>
      <c r="R200" s="315">
        <f t="shared" si="61"/>
        <v>408</v>
      </c>
      <c r="S200" s="315">
        <f t="shared" si="62"/>
        <v>182</v>
      </c>
      <c r="T200" s="315">
        <f t="shared" si="63"/>
        <v>134</v>
      </c>
      <c r="U200" s="315">
        <f t="shared" si="64"/>
        <v>1309</v>
      </c>
      <c r="V200" s="591">
        <f t="shared" si="71"/>
        <v>369</v>
      </c>
      <c r="W200" s="598">
        <f t="shared" si="65"/>
        <v>369</v>
      </c>
    </row>
    <row r="201" spans="2:23" ht="15">
      <c r="B201" s="996" t="s">
        <v>964</v>
      </c>
      <c r="C201" s="1043" t="s">
        <v>965</v>
      </c>
      <c r="D201" s="1046"/>
      <c r="E201" s="1043" t="s">
        <v>966</v>
      </c>
      <c r="F201" s="1032">
        <f>VALUE(Data.Sard!G199)</f>
        <v>5.8577088460678697</v>
      </c>
      <c r="G201" s="844">
        <f>Data.Sard!J199</f>
        <v>0</v>
      </c>
      <c r="H201" s="1043">
        <v>856873</v>
      </c>
      <c r="I201" s="264">
        <f>VALUE(Data.Sard!L199)</f>
        <v>1.194</v>
      </c>
      <c r="J201" s="904">
        <f>Data.Sard!N199</f>
        <v>-0.18012953560856701</v>
      </c>
      <c r="K201" s="595">
        <f t="shared" si="66"/>
        <v>3</v>
      </c>
      <c r="L201" s="591">
        <f t="shared" si="67"/>
        <v>397</v>
      </c>
      <c r="M201" s="591">
        <f t="shared" si="68"/>
        <v>615</v>
      </c>
      <c r="N201" s="591">
        <f t="shared" si="69"/>
        <v>80</v>
      </c>
      <c r="O201" s="591">
        <f t="shared" si="70"/>
        <v>529</v>
      </c>
      <c r="P201" s="315">
        <f t="shared" si="59"/>
        <v>106</v>
      </c>
      <c r="Q201" s="315">
        <f t="shared" si="60"/>
        <v>187</v>
      </c>
      <c r="R201" s="315">
        <f t="shared" si="61"/>
        <v>606</v>
      </c>
      <c r="S201" s="315">
        <f t="shared" si="62"/>
        <v>23</v>
      </c>
      <c r="T201" s="315">
        <f t="shared" si="63"/>
        <v>513</v>
      </c>
      <c r="U201" s="315">
        <f t="shared" si="64"/>
        <v>1435</v>
      </c>
      <c r="V201" s="591">
        <f t="shared" si="71"/>
        <v>425</v>
      </c>
      <c r="W201" s="598">
        <f t="shared" si="65"/>
        <v>425</v>
      </c>
    </row>
    <row r="202" spans="2:23" ht="15">
      <c r="B202" s="1043" t="s">
        <v>967</v>
      </c>
      <c r="C202" s="1043" t="s">
        <v>968</v>
      </c>
      <c r="D202" s="1046"/>
      <c r="E202" s="1043" t="s">
        <v>570</v>
      </c>
      <c r="F202" s="1032">
        <f>VALUE(Data.Sard!G200)</f>
        <v>-0.4922939494788004</v>
      </c>
      <c r="G202" s="844">
        <f>Data.Sard!J200</f>
        <v>8.2327674060363378</v>
      </c>
      <c r="H202" s="1043">
        <v>11682808</v>
      </c>
      <c r="I202" s="264">
        <f>VALUE(Data.Sard!L200)</f>
        <v>-1.1739999999999999</v>
      </c>
      <c r="J202" s="904">
        <f>Data.Sard!N200</f>
        <v>-0.46670382215056788</v>
      </c>
      <c r="K202" s="595">
        <f t="shared" si="66"/>
        <v>574</v>
      </c>
      <c r="L202" s="591">
        <f t="shared" si="67"/>
        <v>75</v>
      </c>
      <c r="M202" s="591">
        <f t="shared" si="68"/>
        <v>454</v>
      </c>
      <c r="N202" s="591">
        <f t="shared" si="69"/>
        <v>447</v>
      </c>
      <c r="O202" s="591">
        <f t="shared" si="70"/>
        <v>555</v>
      </c>
      <c r="P202" s="315">
        <f t="shared" si="59"/>
        <v>465</v>
      </c>
      <c r="Q202" s="315">
        <f t="shared" si="60"/>
        <v>135</v>
      </c>
      <c r="R202" s="315">
        <f t="shared" si="61"/>
        <v>445</v>
      </c>
      <c r="S202" s="315">
        <f t="shared" si="62"/>
        <v>344</v>
      </c>
      <c r="T202" s="315">
        <f t="shared" si="63"/>
        <v>539</v>
      </c>
      <c r="U202" s="315">
        <f t="shared" si="64"/>
        <v>1928</v>
      </c>
      <c r="V202" s="591">
        <f t="shared" si="71"/>
        <v>687</v>
      </c>
      <c r="W202" s="598">
        <f t="shared" si="65"/>
        <v>687</v>
      </c>
    </row>
    <row r="203" spans="2:23" ht="15">
      <c r="B203" s="1043" t="s">
        <v>969</v>
      </c>
      <c r="C203" s="1043" t="s">
        <v>970</v>
      </c>
      <c r="D203" s="1046"/>
      <c r="E203" s="1043" t="s">
        <v>611</v>
      </c>
      <c r="F203" s="1032">
        <f>VALUE(Data.Sard!G201)</f>
        <v>6.6091683764740325E-2</v>
      </c>
      <c r="G203" s="844">
        <f>Data.Sard!J201</f>
        <v>4.2859629621173783</v>
      </c>
      <c r="H203" s="1043">
        <v>11295285</v>
      </c>
      <c r="I203" s="264">
        <f>VALUE(Data.Sard!L201)</f>
        <v>-1.7509999999999999</v>
      </c>
      <c r="J203" s="904">
        <f>Data.Sard!N201</f>
        <v>3.0518257983789883E-2</v>
      </c>
      <c r="K203" s="595">
        <f t="shared" si="66"/>
        <v>293</v>
      </c>
      <c r="L203" s="591">
        <f t="shared" si="67"/>
        <v>136</v>
      </c>
      <c r="M203" s="591">
        <f t="shared" si="68"/>
        <v>459</v>
      </c>
      <c r="N203" s="591">
        <f t="shared" si="69"/>
        <v>477</v>
      </c>
      <c r="O203" s="591">
        <f t="shared" si="70"/>
        <v>333</v>
      </c>
      <c r="P203" s="315">
        <f t="shared" si="59"/>
        <v>184</v>
      </c>
      <c r="Q203" s="315">
        <f t="shared" si="60"/>
        <v>74</v>
      </c>
      <c r="R203" s="315">
        <f t="shared" si="61"/>
        <v>450</v>
      </c>
      <c r="S203" s="315">
        <f t="shared" si="62"/>
        <v>374</v>
      </c>
      <c r="T203" s="315">
        <f t="shared" si="63"/>
        <v>317</v>
      </c>
      <c r="U203" s="315">
        <f t="shared" si="64"/>
        <v>1399</v>
      </c>
      <c r="V203" s="591">
        <f t="shared" si="71"/>
        <v>408</v>
      </c>
      <c r="W203" s="598">
        <f t="shared" si="65"/>
        <v>408</v>
      </c>
    </row>
    <row r="204" spans="2:23" ht="15">
      <c r="B204" s="1043" t="s">
        <v>971</v>
      </c>
      <c r="C204" s="1043" t="s">
        <v>972</v>
      </c>
      <c r="D204" s="1046"/>
      <c r="E204" s="1043" t="s">
        <v>584</v>
      </c>
      <c r="F204" s="1032">
        <f>VALUE(Data.Sard!G202)</f>
        <v>0.22104033029424583</v>
      </c>
      <c r="G204" s="844">
        <f>Data.Sard!J202</f>
        <v>1.512789308315263</v>
      </c>
      <c r="H204" s="1043">
        <v>138086741</v>
      </c>
      <c r="I204" s="264">
        <f>VALUE(Data.Sard!L202)</f>
        <v>3.4390000000000001</v>
      </c>
      <c r="J204" s="904">
        <f>Data.Sard!N202</f>
        <v>6.2517561920855391E-2</v>
      </c>
      <c r="K204" s="595">
        <f t="shared" si="66"/>
        <v>91</v>
      </c>
      <c r="L204" s="591">
        <f t="shared" si="67"/>
        <v>270</v>
      </c>
      <c r="M204" s="591">
        <f t="shared" si="68"/>
        <v>201</v>
      </c>
      <c r="N204" s="591">
        <f t="shared" si="69"/>
        <v>29</v>
      </c>
      <c r="O204" s="591">
        <f t="shared" si="70"/>
        <v>237</v>
      </c>
      <c r="P204" s="315">
        <f t="shared" si="59"/>
        <v>18</v>
      </c>
      <c r="Q204" s="315">
        <f t="shared" si="60"/>
        <v>60</v>
      </c>
      <c r="R204" s="315">
        <f t="shared" si="61"/>
        <v>192</v>
      </c>
      <c r="S204" s="315">
        <f t="shared" si="62"/>
        <v>74</v>
      </c>
      <c r="T204" s="315">
        <f t="shared" si="63"/>
        <v>221</v>
      </c>
      <c r="U204" s="315">
        <f t="shared" si="64"/>
        <v>565</v>
      </c>
      <c r="V204" s="591">
        <f t="shared" si="71"/>
        <v>55</v>
      </c>
      <c r="W204" s="598">
        <f t="shared" si="65"/>
        <v>55</v>
      </c>
    </row>
    <row r="205" spans="2:23" ht="15">
      <c r="B205" s="996" t="s">
        <v>973</v>
      </c>
      <c r="C205" s="1043" t="s">
        <v>974</v>
      </c>
      <c r="D205" s="1046"/>
      <c r="E205" s="1043" t="s">
        <v>570</v>
      </c>
      <c r="F205" s="1032">
        <f>VALUE(Data.Sard!G203)</f>
        <v>0.133322791298533</v>
      </c>
      <c r="G205" s="844">
        <f>Data.Sard!J203</f>
        <v>4.4593243456798524</v>
      </c>
      <c r="H205" s="1043">
        <v>4986267</v>
      </c>
      <c r="I205" s="264">
        <f>VALUE(Data.Sard!L203)</f>
        <v>1.85</v>
      </c>
      <c r="J205" s="904">
        <f>Data.Sard!N203</f>
        <v>5.6188310533847381E-2</v>
      </c>
      <c r="K205" s="595">
        <f t="shared" si="66"/>
        <v>179</v>
      </c>
      <c r="L205" s="591">
        <f t="shared" si="67"/>
        <v>134</v>
      </c>
      <c r="M205" s="591">
        <f t="shared" si="68"/>
        <v>523</v>
      </c>
      <c r="N205" s="591">
        <f t="shared" si="69"/>
        <v>52</v>
      </c>
      <c r="O205" s="591">
        <f t="shared" si="70"/>
        <v>258</v>
      </c>
      <c r="P205" s="315">
        <f t="shared" si="59"/>
        <v>70</v>
      </c>
      <c r="Q205" s="315">
        <f t="shared" si="60"/>
        <v>76</v>
      </c>
      <c r="R205" s="315">
        <f t="shared" si="61"/>
        <v>514</v>
      </c>
      <c r="S205" s="315">
        <f t="shared" si="62"/>
        <v>51</v>
      </c>
      <c r="T205" s="315">
        <f t="shared" si="63"/>
        <v>242</v>
      </c>
      <c r="U205" s="315">
        <f t="shared" si="64"/>
        <v>953</v>
      </c>
      <c r="V205" s="591">
        <f t="shared" si="71"/>
        <v>214</v>
      </c>
      <c r="W205" s="598">
        <f t="shared" si="65"/>
        <v>214</v>
      </c>
    </row>
    <row r="206" spans="2:23" ht="15">
      <c r="B206" s="996" t="s">
        <v>975</v>
      </c>
      <c r="C206" s="1043" t="s">
        <v>976</v>
      </c>
      <c r="D206" s="1046"/>
      <c r="E206" s="1043" t="s">
        <v>736</v>
      </c>
      <c r="F206" s="1032">
        <f>VALUE(Data.Sard!G204)</f>
        <v>0.13354667212196067</v>
      </c>
      <c r="G206" s="844">
        <f>Data.Sard!J204</f>
        <v>1.0639582480556693</v>
      </c>
      <c r="H206" s="1043">
        <v>4791853784</v>
      </c>
      <c r="I206" s="264">
        <f>VALUE(Data.Sard!L204)</f>
        <v>-4.8639999999999999</v>
      </c>
      <c r="J206" s="904">
        <f>Data.Sard!N204</f>
        <v>0.40125206383796186</v>
      </c>
      <c r="K206" s="595">
        <f t="shared" si="66"/>
        <v>178</v>
      </c>
      <c r="L206" s="591">
        <f t="shared" si="67"/>
        <v>289</v>
      </c>
      <c r="M206" s="591">
        <f t="shared" si="68"/>
        <v>26</v>
      </c>
      <c r="N206" s="591">
        <f t="shared" si="69"/>
        <v>519</v>
      </c>
      <c r="O206" s="591">
        <f t="shared" si="70"/>
        <v>11</v>
      </c>
      <c r="P206" s="315">
        <f t="shared" si="59"/>
        <v>69</v>
      </c>
      <c r="Q206" s="315">
        <f t="shared" si="60"/>
        <v>79</v>
      </c>
      <c r="R206" s="315">
        <f t="shared" si="61"/>
        <v>17</v>
      </c>
      <c r="S206" s="315">
        <f t="shared" si="62"/>
        <v>416</v>
      </c>
      <c r="T206" s="315">
        <f t="shared" si="63"/>
        <v>5</v>
      </c>
      <c r="U206" s="315">
        <f t="shared" si="64"/>
        <v>586</v>
      </c>
      <c r="V206" s="591">
        <f t="shared" si="71"/>
        <v>61</v>
      </c>
      <c r="W206" s="598">
        <f t="shared" si="65"/>
        <v>61</v>
      </c>
    </row>
    <row r="207" spans="2:23" ht="15">
      <c r="B207" s="1043" t="s">
        <v>977</v>
      </c>
      <c r="C207" s="1043" t="s">
        <v>978</v>
      </c>
      <c r="D207" s="1046"/>
      <c r="E207" s="1043" t="s">
        <v>683</v>
      </c>
      <c r="F207" s="1032">
        <f>VALUE(Data.Sard!G205)</f>
        <v>0.1730397898135545</v>
      </c>
      <c r="G207" s="844">
        <f>Data.Sard!J205</f>
        <v>1.894525822452837</v>
      </c>
      <c r="H207" s="1043">
        <v>80878670</v>
      </c>
      <c r="I207" s="264">
        <f>VALUE(Data.Sard!L205)</f>
        <v>-0.41599999999999998</v>
      </c>
      <c r="J207" s="904">
        <f>Data.Sard!N205</f>
        <v>8.0275031524297324E-2</v>
      </c>
      <c r="K207" s="595">
        <f t="shared" si="66"/>
        <v>132</v>
      </c>
      <c r="L207" s="591">
        <f t="shared" si="67"/>
        <v>248</v>
      </c>
      <c r="M207" s="591">
        <f t="shared" si="68"/>
        <v>248</v>
      </c>
      <c r="N207" s="591">
        <f t="shared" si="69"/>
        <v>374</v>
      </c>
      <c r="O207" s="591">
        <f t="shared" si="70"/>
        <v>193</v>
      </c>
      <c r="P207" s="315">
        <f t="shared" si="59"/>
        <v>23</v>
      </c>
      <c r="Q207" s="315">
        <f t="shared" si="60"/>
        <v>38</v>
      </c>
      <c r="R207" s="315">
        <f t="shared" si="61"/>
        <v>239</v>
      </c>
      <c r="S207" s="315">
        <f t="shared" si="62"/>
        <v>271</v>
      </c>
      <c r="T207" s="315">
        <f t="shared" si="63"/>
        <v>177</v>
      </c>
      <c r="U207" s="315">
        <f t="shared" si="64"/>
        <v>748</v>
      </c>
      <c r="V207" s="591">
        <f t="shared" si="71"/>
        <v>127</v>
      </c>
      <c r="W207" s="598">
        <f t="shared" si="65"/>
        <v>127</v>
      </c>
    </row>
    <row r="208" spans="2:23" ht="15">
      <c r="B208" s="1043" t="s">
        <v>979</v>
      </c>
      <c r="C208" s="1043" t="s">
        <v>980</v>
      </c>
      <c r="D208" s="1046"/>
      <c r="E208" s="1043" t="s">
        <v>603</v>
      </c>
      <c r="F208" s="1032">
        <f>VALUE(Data.Sard!G206)</f>
        <v>0.11956724236710253</v>
      </c>
      <c r="G208" s="844">
        <f>Data.Sard!J206</f>
        <v>1.0480254778292009</v>
      </c>
      <c r="H208" s="1043">
        <v>155164263</v>
      </c>
      <c r="I208" s="264">
        <f>VALUE(Data.Sard!L206)</f>
        <v>0.31900000000000001</v>
      </c>
      <c r="J208" s="904">
        <f>Data.Sard!N206</f>
        <v>9.0786784039916496E-2</v>
      </c>
      <c r="K208" s="595">
        <f t="shared" si="66"/>
        <v>196</v>
      </c>
      <c r="L208" s="591">
        <f t="shared" si="67"/>
        <v>291</v>
      </c>
      <c r="M208" s="591">
        <f t="shared" si="68"/>
        <v>188</v>
      </c>
      <c r="N208" s="591">
        <f t="shared" si="69"/>
        <v>210</v>
      </c>
      <c r="O208" s="591">
        <f t="shared" si="70"/>
        <v>176</v>
      </c>
      <c r="P208" s="315">
        <f t="shared" si="59"/>
        <v>87</v>
      </c>
      <c r="Q208" s="315">
        <f t="shared" si="60"/>
        <v>81</v>
      </c>
      <c r="R208" s="315">
        <f t="shared" si="61"/>
        <v>179</v>
      </c>
      <c r="S208" s="315">
        <f t="shared" si="62"/>
        <v>107</v>
      </c>
      <c r="T208" s="315">
        <f t="shared" si="63"/>
        <v>160</v>
      </c>
      <c r="U208" s="315">
        <f t="shared" si="64"/>
        <v>614</v>
      </c>
      <c r="V208" s="591">
        <f t="shared" si="71"/>
        <v>78</v>
      </c>
      <c r="W208" s="598">
        <f t="shared" si="65"/>
        <v>78</v>
      </c>
    </row>
    <row r="209" spans="2:23" ht="15">
      <c r="B209" s="1043" t="s">
        <v>981</v>
      </c>
      <c r="C209" s="1043" t="s">
        <v>982</v>
      </c>
      <c r="D209" s="1046"/>
      <c r="E209" s="1043" t="s">
        <v>983</v>
      </c>
      <c r="F209" s="1032">
        <f>VALUE(Data.Sard!G207)</f>
        <v>0.35900088220559312</v>
      </c>
      <c r="G209" s="844">
        <f>Data.Sard!J207</f>
        <v>21.232658446354421</v>
      </c>
      <c r="H209" s="1043">
        <v>526623312</v>
      </c>
      <c r="I209" s="264">
        <f>VALUE(Data.Sard!L207)</f>
        <v>-2.3E-2</v>
      </c>
      <c r="J209" s="904">
        <f>Data.Sard!N207</f>
        <v>0.1803509376542968</v>
      </c>
      <c r="K209" s="595">
        <f t="shared" si="66"/>
        <v>43</v>
      </c>
      <c r="L209" s="591">
        <f t="shared" si="67"/>
        <v>25</v>
      </c>
      <c r="M209" s="591">
        <f t="shared" si="68"/>
        <v>95</v>
      </c>
      <c r="N209" s="591">
        <f t="shared" si="69"/>
        <v>293</v>
      </c>
      <c r="O209" s="591">
        <f t="shared" si="70"/>
        <v>66</v>
      </c>
      <c r="P209" s="315">
        <f t="shared" si="59"/>
        <v>66</v>
      </c>
      <c r="Q209" s="315">
        <f t="shared" si="60"/>
        <v>185</v>
      </c>
      <c r="R209" s="315">
        <f t="shared" si="61"/>
        <v>86</v>
      </c>
      <c r="S209" s="315">
        <f t="shared" si="62"/>
        <v>190</v>
      </c>
      <c r="T209" s="315">
        <f t="shared" si="63"/>
        <v>50</v>
      </c>
      <c r="U209" s="315">
        <f t="shared" si="64"/>
        <v>577</v>
      </c>
      <c r="V209" s="591">
        <f t="shared" si="71"/>
        <v>59</v>
      </c>
      <c r="W209" s="598">
        <f t="shared" si="65"/>
        <v>59</v>
      </c>
    </row>
    <row r="210" spans="2:23" ht="15">
      <c r="B210" s="1043" t="s">
        <v>984</v>
      </c>
      <c r="C210" s="1043" t="s">
        <v>985</v>
      </c>
      <c r="D210" s="1046"/>
      <c r="E210" s="1043" t="s">
        <v>611</v>
      </c>
      <c r="F210" s="1032">
        <f>VALUE(Data.Sard!G208)</f>
        <v>0.13913872564184562</v>
      </c>
      <c r="G210" s="844">
        <f>Data.Sard!J208</f>
        <v>1.5226350494820589</v>
      </c>
      <c r="H210" s="1043">
        <v>10916618</v>
      </c>
      <c r="I210" s="264">
        <f>VALUE(Data.Sard!L208)</f>
        <v>0.51200000000000001</v>
      </c>
      <c r="J210" s="904">
        <f>Data.Sard!N208</f>
        <v>2.1690371709768844E-2</v>
      </c>
      <c r="K210" s="595">
        <f t="shared" si="66"/>
        <v>169</v>
      </c>
      <c r="L210" s="591">
        <f t="shared" si="67"/>
        <v>269</v>
      </c>
      <c r="M210" s="591">
        <f t="shared" si="68"/>
        <v>462</v>
      </c>
      <c r="N210" s="591">
        <f t="shared" si="69"/>
        <v>171</v>
      </c>
      <c r="O210" s="591">
        <f t="shared" si="70"/>
        <v>363</v>
      </c>
      <c r="P210" s="315">
        <f t="shared" si="59"/>
        <v>60</v>
      </c>
      <c r="Q210" s="315">
        <f t="shared" si="60"/>
        <v>59</v>
      </c>
      <c r="R210" s="315">
        <f t="shared" si="61"/>
        <v>453</v>
      </c>
      <c r="S210" s="315">
        <f t="shared" si="62"/>
        <v>68</v>
      </c>
      <c r="T210" s="315">
        <f t="shared" si="63"/>
        <v>347</v>
      </c>
      <c r="U210" s="315">
        <f t="shared" si="64"/>
        <v>987</v>
      </c>
      <c r="V210" s="591">
        <f t="shared" si="71"/>
        <v>236</v>
      </c>
      <c r="W210" s="598">
        <f t="shared" si="65"/>
        <v>236</v>
      </c>
    </row>
    <row r="211" spans="2:23" ht="15">
      <c r="B211" s="996" t="s">
        <v>986</v>
      </c>
      <c r="C211" s="1043" t="s">
        <v>987</v>
      </c>
      <c r="D211" s="1046"/>
      <c r="E211" s="1043" t="s">
        <v>988</v>
      </c>
      <c r="F211" s="1032">
        <f>VALUE(Data.Sard!G209)</f>
        <v>0.17324126826990655</v>
      </c>
      <c r="G211" s="844">
        <f>Data.Sard!J209</f>
        <v>70.001054989023629</v>
      </c>
      <c r="H211" s="1043">
        <v>946847133</v>
      </c>
      <c r="I211" s="264">
        <f>VALUE(Data.Sard!L209)</f>
        <v>3.5000000000000003E-2</v>
      </c>
      <c r="J211" s="904">
        <f>Data.Sard!N209</f>
        <v>0.16579591922520101</v>
      </c>
      <c r="K211" s="595">
        <f t="shared" si="66"/>
        <v>130</v>
      </c>
      <c r="L211" s="591">
        <f t="shared" si="67"/>
        <v>4</v>
      </c>
      <c r="M211" s="591">
        <f t="shared" si="68"/>
        <v>64</v>
      </c>
      <c r="N211" s="591">
        <f t="shared" si="69"/>
        <v>279</v>
      </c>
      <c r="O211" s="591">
        <f t="shared" si="70"/>
        <v>77</v>
      </c>
      <c r="P211" s="315">
        <f t="shared" si="59"/>
        <v>21</v>
      </c>
      <c r="Q211" s="315">
        <f t="shared" si="60"/>
        <v>206</v>
      </c>
      <c r="R211" s="315">
        <f t="shared" si="61"/>
        <v>55</v>
      </c>
      <c r="S211" s="315">
        <f t="shared" si="62"/>
        <v>176</v>
      </c>
      <c r="T211" s="315">
        <f t="shared" si="63"/>
        <v>61</v>
      </c>
      <c r="U211" s="315">
        <f t="shared" si="64"/>
        <v>519</v>
      </c>
      <c r="V211" s="591">
        <f t="shared" si="71"/>
        <v>42</v>
      </c>
      <c r="W211" s="598">
        <f t="shared" si="65"/>
        <v>42</v>
      </c>
    </row>
    <row r="212" spans="2:23" ht="15">
      <c r="B212" s="1043" t="s">
        <v>989</v>
      </c>
      <c r="C212" s="1043" t="s">
        <v>990</v>
      </c>
      <c r="D212" s="1046"/>
      <c r="E212" s="1043" t="s">
        <v>706</v>
      </c>
      <c r="F212" s="1032">
        <f>VALUE(Data.Sard!G210)</f>
        <v>7.5390789363747844E-3</v>
      </c>
      <c r="G212" s="844"/>
      <c r="H212" s="1043">
        <v>73712147</v>
      </c>
      <c r="I212" s="264">
        <f>VALUE(Data.Sard!L210)</f>
        <v>-0.17899999999999999</v>
      </c>
      <c r="J212" s="904">
        <f>Data.Sard!N210</f>
        <v>7.863013362824434E-3</v>
      </c>
      <c r="K212" s="595">
        <f t="shared" si="66"/>
        <v>426</v>
      </c>
      <c r="L212" s="591">
        <f t="shared" si="67"/>
        <v>397</v>
      </c>
      <c r="M212" s="591">
        <f t="shared" si="68"/>
        <v>255</v>
      </c>
      <c r="N212" s="591">
        <f t="shared" si="69"/>
        <v>337</v>
      </c>
      <c r="O212" s="591">
        <f t="shared" si="70"/>
        <v>399</v>
      </c>
      <c r="P212" s="315">
        <f t="shared" si="59"/>
        <v>317</v>
      </c>
      <c r="Q212" s="315">
        <f t="shared" si="60"/>
        <v>187</v>
      </c>
      <c r="R212" s="315">
        <f t="shared" si="61"/>
        <v>246</v>
      </c>
      <c r="S212" s="315">
        <f t="shared" si="62"/>
        <v>234</v>
      </c>
      <c r="T212" s="315">
        <f t="shared" si="63"/>
        <v>383</v>
      </c>
      <c r="U212" s="315">
        <f t="shared" si="64"/>
        <v>1367</v>
      </c>
      <c r="V212" s="591">
        <f t="shared" si="71"/>
        <v>394</v>
      </c>
      <c r="W212" s="598">
        <f t="shared" si="65"/>
        <v>394</v>
      </c>
    </row>
    <row r="213" spans="2:23" ht="15">
      <c r="B213" s="996" t="s">
        <v>991</v>
      </c>
      <c r="C213" s="1043" t="s">
        <v>992</v>
      </c>
      <c r="D213" s="1046"/>
      <c r="E213" s="1043" t="s">
        <v>579</v>
      </c>
      <c r="F213" s="1032"/>
      <c r="G213" s="844"/>
      <c r="H213" s="1043">
        <v>6253348</v>
      </c>
      <c r="I213" s="264">
        <f>VALUE(Data.Sard!L211)</f>
        <v>0.92</v>
      </c>
      <c r="J213" s="904">
        <f>Data.Sard!N211</f>
        <v>0</v>
      </c>
      <c r="K213" s="595">
        <f t="shared" si="66"/>
        <v>442</v>
      </c>
      <c r="L213" s="591">
        <f t="shared" si="67"/>
        <v>397</v>
      </c>
      <c r="M213" s="591">
        <f t="shared" si="68"/>
        <v>512</v>
      </c>
      <c r="N213" s="591">
        <f t="shared" si="69"/>
        <v>112</v>
      </c>
      <c r="O213" s="591">
        <f t="shared" si="70"/>
        <v>419</v>
      </c>
      <c r="P213" s="315">
        <f t="shared" si="59"/>
        <v>333</v>
      </c>
      <c r="Q213" s="315">
        <f t="shared" si="60"/>
        <v>187</v>
      </c>
      <c r="R213" s="315">
        <f t="shared" si="61"/>
        <v>503</v>
      </c>
      <c r="S213" s="315">
        <f t="shared" si="62"/>
        <v>9</v>
      </c>
      <c r="T213" s="315">
        <f t="shared" si="63"/>
        <v>403</v>
      </c>
      <c r="U213" s="315">
        <f t="shared" si="64"/>
        <v>1435</v>
      </c>
      <c r="V213" s="591">
        <f t="shared" si="71"/>
        <v>425</v>
      </c>
      <c r="W213" s="598">
        <f t="shared" si="65"/>
        <v>425</v>
      </c>
    </row>
    <row r="214" spans="2:23" ht="15">
      <c r="B214" s="996" t="s">
        <v>993</v>
      </c>
      <c r="C214" s="1043" t="s">
        <v>994</v>
      </c>
      <c r="D214" s="1046"/>
      <c r="E214" s="1043" t="s">
        <v>570</v>
      </c>
      <c r="F214" s="1032"/>
      <c r="G214" s="844">
        <f>Data.Sard!J212</f>
        <v>7.9177559739831374</v>
      </c>
      <c r="H214" s="1043">
        <v>90</v>
      </c>
      <c r="I214" s="264"/>
      <c r="J214" s="904"/>
      <c r="K214" s="595">
        <f t="shared" si="66"/>
        <v>442</v>
      </c>
      <c r="L214" s="591">
        <f t="shared" si="67"/>
        <v>81</v>
      </c>
      <c r="M214" s="591">
        <f t="shared" si="68"/>
        <v>667</v>
      </c>
      <c r="N214" s="591">
        <f t="shared" si="69"/>
        <v>285</v>
      </c>
      <c r="O214" s="591">
        <f t="shared" si="70"/>
        <v>419</v>
      </c>
      <c r="P214" s="315">
        <f t="shared" si="59"/>
        <v>333</v>
      </c>
      <c r="Q214" s="315">
        <f t="shared" si="60"/>
        <v>129</v>
      </c>
      <c r="R214" s="315">
        <f t="shared" si="61"/>
        <v>658</v>
      </c>
      <c r="S214" s="315">
        <f t="shared" si="62"/>
        <v>182</v>
      </c>
      <c r="T214" s="315">
        <f t="shared" si="63"/>
        <v>403</v>
      </c>
      <c r="U214" s="315">
        <f t="shared" si="64"/>
        <v>1705</v>
      </c>
      <c r="V214" s="591">
        <f t="shared" si="71"/>
        <v>589</v>
      </c>
      <c r="W214" s="598">
        <f t="shared" si="65"/>
        <v>589</v>
      </c>
    </row>
    <row r="215" spans="2:23" ht="15">
      <c r="B215" s="996" t="s">
        <v>995</v>
      </c>
      <c r="C215" s="1043" t="s">
        <v>996</v>
      </c>
      <c r="D215" s="1046"/>
      <c r="E215" s="1043" t="s">
        <v>736</v>
      </c>
      <c r="F215" s="1032">
        <f>VALUE(Data.Sard!G213)</f>
        <v>7.7618694579920641E-2</v>
      </c>
      <c r="G215" s="844">
        <f>Data.Sard!J213</f>
        <v>0.21238996630486418</v>
      </c>
      <c r="H215" s="1043">
        <v>11</v>
      </c>
      <c r="I215" s="264"/>
      <c r="J215" s="904">
        <f>Data.Sard!N213</f>
        <v>0.10185088005951562</v>
      </c>
      <c r="K215" s="595">
        <f t="shared" si="66"/>
        <v>272</v>
      </c>
      <c r="L215" s="591">
        <f t="shared" si="67"/>
        <v>360</v>
      </c>
      <c r="M215" s="591">
        <f t="shared" si="68"/>
        <v>676</v>
      </c>
      <c r="N215" s="591">
        <f t="shared" si="69"/>
        <v>285</v>
      </c>
      <c r="O215" s="591">
        <f t="shared" si="70"/>
        <v>152</v>
      </c>
      <c r="P215" s="315">
        <f t="shared" si="59"/>
        <v>163</v>
      </c>
      <c r="Q215" s="315">
        <f t="shared" si="60"/>
        <v>150</v>
      </c>
      <c r="R215" s="315">
        <f t="shared" si="61"/>
        <v>667</v>
      </c>
      <c r="S215" s="315">
        <f t="shared" si="62"/>
        <v>182</v>
      </c>
      <c r="T215" s="315">
        <f t="shared" si="63"/>
        <v>136</v>
      </c>
      <c r="U215" s="315">
        <f t="shared" si="64"/>
        <v>1298</v>
      </c>
      <c r="V215" s="591">
        <f t="shared" si="71"/>
        <v>364</v>
      </c>
      <c r="W215" s="598">
        <f t="shared" si="65"/>
        <v>364</v>
      </c>
    </row>
    <row r="216" spans="2:23" ht="15">
      <c r="B216" s="996" t="s">
        <v>997</v>
      </c>
      <c r="C216" s="1043" t="s">
        <v>998</v>
      </c>
      <c r="D216" s="1046"/>
      <c r="E216" s="1043" t="s">
        <v>999</v>
      </c>
      <c r="F216" s="1032">
        <f>VALUE(Data.Sard!G214)</f>
        <v>0.2026759884352059</v>
      </c>
      <c r="G216" s="844">
        <f>Data.Sard!J214</f>
        <v>24.165581361829798</v>
      </c>
      <c r="H216" s="1043">
        <v>485695180</v>
      </c>
      <c r="I216" s="264">
        <f>VALUE(Data.Sard!L214)</f>
        <v>-2.8119999999999998</v>
      </c>
      <c r="J216" s="904">
        <f>Data.Sard!N214</f>
        <v>0.21452201447822569</v>
      </c>
      <c r="K216" s="595">
        <f t="shared" si="66"/>
        <v>105</v>
      </c>
      <c r="L216" s="591">
        <f t="shared" si="67"/>
        <v>21</v>
      </c>
      <c r="M216" s="591">
        <f t="shared" si="68"/>
        <v>102</v>
      </c>
      <c r="N216" s="591">
        <f t="shared" si="69"/>
        <v>496</v>
      </c>
      <c r="O216" s="591">
        <f t="shared" si="70"/>
        <v>40</v>
      </c>
      <c r="P216" s="315">
        <f t="shared" si="59"/>
        <v>4</v>
      </c>
      <c r="Q216" s="315">
        <f t="shared" si="60"/>
        <v>189</v>
      </c>
      <c r="R216" s="315">
        <f t="shared" si="61"/>
        <v>93</v>
      </c>
      <c r="S216" s="315">
        <f t="shared" si="62"/>
        <v>393</v>
      </c>
      <c r="T216" s="315">
        <f t="shared" si="63"/>
        <v>24</v>
      </c>
      <c r="U216" s="315">
        <f t="shared" si="64"/>
        <v>703</v>
      </c>
      <c r="V216" s="591">
        <f t="shared" si="71"/>
        <v>113</v>
      </c>
      <c r="W216" s="598">
        <f t="shared" si="65"/>
        <v>113</v>
      </c>
    </row>
    <row r="217" spans="2:23" ht="15">
      <c r="B217" s="1043" t="s">
        <v>1000</v>
      </c>
      <c r="C217" s="1043" t="s">
        <v>1001</v>
      </c>
      <c r="D217" s="1046"/>
      <c r="E217" s="1043" t="s">
        <v>703</v>
      </c>
      <c r="F217" s="1032">
        <f>VALUE(Data.Sard!G215)</f>
        <v>-0.32754958050697774</v>
      </c>
      <c r="G217" s="844">
        <f>Data.Sard!J215</f>
        <v>1.6821557094554191</v>
      </c>
      <c r="H217" s="1043">
        <v>2846806</v>
      </c>
      <c r="I217" s="264">
        <f>VALUE(Data.Sard!L215)</f>
        <v>-0.152</v>
      </c>
      <c r="J217" s="904">
        <f>Data.Sard!N215</f>
        <v>4.0465162110389828E-2</v>
      </c>
      <c r="K217" s="595">
        <f t="shared" si="66"/>
        <v>561</v>
      </c>
      <c r="L217" s="591">
        <f t="shared" si="67"/>
        <v>260</v>
      </c>
      <c r="M217" s="591">
        <f t="shared" si="68"/>
        <v>566</v>
      </c>
      <c r="N217" s="591">
        <f t="shared" si="69"/>
        <v>331</v>
      </c>
      <c r="O217" s="591">
        <f t="shared" si="70"/>
        <v>305</v>
      </c>
      <c r="P217" s="315">
        <f t="shared" si="59"/>
        <v>452</v>
      </c>
      <c r="Q217" s="315">
        <f t="shared" si="60"/>
        <v>50</v>
      </c>
      <c r="R217" s="315">
        <f t="shared" si="61"/>
        <v>557</v>
      </c>
      <c r="S217" s="315">
        <f t="shared" si="62"/>
        <v>228</v>
      </c>
      <c r="T217" s="315">
        <f t="shared" si="63"/>
        <v>289</v>
      </c>
      <c r="U217" s="315">
        <f t="shared" si="64"/>
        <v>1576</v>
      </c>
      <c r="V217" s="591">
        <f t="shared" si="71"/>
        <v>517</v>
      </c>
      <c r="W217" s="598">
        <f t="shared" si="65"/>
        <v>517</v>
      </c>
    </row>
    <row r="218" spans="2:23" ht="15">
      <c r="B218" s="996" t="s">
        <v>1002</v>
      </c>
      <c r="C218" s="1043" t="s">
        <v>1003</v>
      </c>
      <c r="D218" s="1046"/>
      <c r="E218" s="1043" t="s">
        <v>587</v>
      </c>
      <c r="F218" s="1032">
        <f>VALUE(Data.Sard!G216)</f>
        <v>0.27258836337145592</v>
      </c>
      <c r="G218" s="844">
        <f>Data.Sard!J216</f>
        <v>0</v>
      </c>
      <c r="H218" s="1043">
        <v>6004976329</v>
      </c>
      <c r="I218" s="264">
        <f>VALUE(Data.Sard!L216)</f>
        <v>-0.93</v>
      </c>
      <c r="J218" s="904">
        <f>Data.Sard!N216</f>
        <v>0.20146149251340228</v>
      </c>
      <c r="K218" s="595">
        <f t="shared" si="66"/>
        <v>73</v>
      </c>
      <c r="L218" s="591">
        <f t="shared" si="67"/>
        <v>397</v>
      </c>
      <c r="M218" s="591">
        <f t="shared" si="68"/>
        <v>22</v>
      </c>
      <c r="N218" s="591">
        <f t="shared" si="69"/>
        <v>432</v>
      </c>
      <c r="O218" s="591">
        <f t="shared" si="70"/>
        <v>48</v>
      </c>
      <c r="P218" s="315">
        <f t="shared" si="59"/>
        <v>36</v>
      </c>
      <c r="Q218" s="315">
        <f t="shared" si="60"/>
        <v>187</v>
      </c>
      <c r="R218" s="315">
        <f t="shared" si="61"/>
        <v>13</v>
      </c>
      <c r="S218" s="315">
        <f t="shared" si="62"/>
        <v>329</v>
      </c>
      <c r="T218" s="315">
        <f t="shared" si="63"/>
        <v>32</v>
      </c>
      <c r="U218" s="315">
        <f t="shared" si="64"/>
        <v>597</v>
      </c>
      <c r="V218" s="591">
        <f t="shared" si="71"/>
        <v>69</v>
      </c>
      <c r="W218" s="598">
        <f t="shared" si="65"/>
        <v>69</v>
      </c>
    </row>
    <row r="219" spans="2:23" ht="15">
      <c r="B219" s="1043" t="s">
        <v>1004</v>
      </c>
      <c r="C219" s="1043" t="s">
        <v>1005</v>
      </c>
      <c r="D219" s="1046"/>
      <c r="E219" s="1043" t="s">
        <v>570</v>
      </c>
      <c r="F219" s="1032">
        <f>VALUE(Data.Sard!G217)</f>
        <v>0.1296805443075193</v>
      </c>
      <c r="G219" s="844">
        <f>Data.Sard!J217</f>
        <v>7.803114870611684</v>
      </c>
      <c r="H219" s="1043">
        <v>4723260921</v>
      </c>
      <c r="I219" s="264">
        <f>VALUE(Data.Sard!L217)</f>
        <v>0.91300000000000003</v>
      </c>
      <c r="J219" s="904">
        <f>Data.Sard!N217</f>
        <v>8.8977900053423903E-2</v>
      </c>
      <c r="K219" s="595">
        <f t="shared" si="66"/>
        <v>183</v>
      </c>
      <c r="L219" s="591">
        <f t="shared" si="67"/>
        <v>83</v>
      </c>
      <c r="M219" s="591">
        <f t="shared" si="68"/>
        <v>27</v>
      </c>
      <c r="N219" s="591">
        <f t="shared" si="69"/>
        <v>115</v>
      </c>
      <c r="O219" s="591">
        <f t="shared" si="70"/>
        <v>180</v>
      </c>
      <c r="P219" s="315">
        <f t="shared" si="59"/>
        <v>74</v>
      </c>
      <c r="Q219" s="315">
        <f t="shared" si="60"/>
        <v>127</v>
      </c>
      <c r="R219" s="315">
        <f t="shared" si="61"/>
        <v>18</v>
      </c>
      <c r="S219" s="315">
        <f t="shared" si="62"/>
        <v>12</v>
      </c>
      <c r="T219" s="315">
        <f t="shared" si="63"/>
        <v>164</v>
      </c>
      <c r="U219" s="315">
        <f t="shared" si="64"/>
        <v>395</v>
      </c>
      <c r="V219" s="591">
        <f t="shared" si="71"/>
        <v>14</v>
      </c>
      <c r="W219" s="598">
        <f t="shared" si="65"/>
        <v>14</v>
      </c>
    </row>
    <row r="220" spans="2:23" ht="15">
      <c r="B220" s="996" t="s">
        <v>1006</v>
      </c>
      <c r="C220" s="1043" t="s">
        <v>1007</v>
      </c>
      <c r="D220" s="1046"/>
      <c r="E220" s="1043" t="s">
        <v>579</v>
      </c>
      <c r="F220" s="1032">
        <f>VALUE(Data.Sard!G218)</f>
        <v>8.6836900680238055E-2</v>
      </c>
      <c r="G220" s="844">
        <f>Data.Sard!J218</f>
        <v>0.52983927693030186</v>
      </c>
      <c r="H220" s="1043">
        <v>4931996</v>
      </c>
      <c r="I220" s="264">
        <f>VALUE(Data.Sard!L218)</f>
        <v>-0.23300000000000001</v>
      </c>
      <c r="J220" s="904">
        <f>Data.Sard!N218</f>
        <v>1.8761172457919459E-2</v>
      </c>
      <c r="K220" s="595">
        <f t="shared" si="66"/>
        <v>252</v>
      </c>
      <c r="L220" s="591">
        <f t="shared" si="67"/>
        <v>325</v>
      </c>
      <c r="M220" s="591">
        <f t="shared" si="68"/>
        <v>525</v>
      </c>
      <c r="N220" s="591">
        <f t="shared" si="69"/>
        <v>347</v>
      </c>
      <c r="O220" s="591">
        <f t="shared" si="70"/>
        <v>367</v>
      </c>
      <c r="P220" s="315">
        <f t="shared" si="59"/>
        <v>143</v>
      </c>
      <c r="Q220" s="315">
        <f t="shared" si="60"/>
        <v>115</v>
      </c>
      <c r="R220" s="315">
        <f t="shared" si="61"/>
        <v>516</v>
      </c>
      <c r="S220" s="315">
        <f t="shared" si="62"/>
        <v>244</v>
      </c>
      <c r="T220" s="315">
        <f t="shared" si="63"/>
        <v>351</v>
      </c>
      <c r="U220" s="315">
        <f t="shared" si="64"/>
        <v>1369</v>
      </c>
      <c r="V220" s="591">
        <f t="shared" si="71"/>
        <v>395</v>
      </c>
      <c r="W220" s="598">
        <f t="shared" si="65"/>
        <v>395</v>
      </c>
    </row>
    <row r="221" spans="2:23" ht="15">
      <c r="B221" s="996" t="s">
        <v>1008</v>
      </c>
      <c r="C221" s="1043" t="s">
        <v>1009</v>
      </c>
      <c r="D221" s="1046"/>
      <c r="E221" s="1043" t="s">
        <v>696</v>
      </c>
      <c r="F221" s="1032">
        <f>VALUE(Data.Sard!G219)</f>
        <v>0.5740196980987412</v>
      </c>
      <c r="G221" s="844">
        <f>Data.Sard!J219</f>
        <v>-23.332259305730517</v>
      </c>
      <c r="H221" s="1043">
        <v>434294226</v>
      </c>
      <c r="I221" s="264">
        <f>VALUE(Data.Sard!L219)</f>
        <v>-0.50700000000000001</v>
      </c>
      <c r="J221" s="904">
        <f>Data.Sard!N219</f>
        <v>0.32157954259845978</v>
      </c>
      <c r="K221" s="595">
        <f t="shared" si="66"/>
        <v>25</v>
      </c>
      <c r="L221" s="591">
        <f t="shared" si="67"/>
        <v>583</v>
      </c>
      <c r="M221" s="591">
        <f t="shared" si="68"/>
        <v>108</v>
      </c>
      <c r="N221" s="591">
        <f t="shared" si="69"/>
        <v>389</v>
      </c>
      <c r="O221" s="591">
        <f t="shared" si="70"/>
        <v>13</v>
      </c>
      <c r="P221" s="315">
        <f t="shared" si="59"/>
        <v>84</v>
      </c>
      <c r="Q221" s="315">
        <f t="shared" si="60"/>
        <v>373</v>
      </c>
      <c r="R221" s="315">
        <f t="shared" si="61"/>
        <v>99</v>
      </c>
      <c r="S221" s="315">
        <f t="shared" si="62"/>
        <v>286</v>
      </c>
      <c r="T221" s="315">
        <f t="shared" si="63"/>
        <v>3</v>
      </c>
      <c r="U221" s="315">
        <f t="shared" si="64"/>
        <v>845</v>
      </c>
      <c r="V221" s="591">
        <f t="shared" si="71"/>
        <v>163</v>
      </c>
      <c r="W221" s="598">
        <f t="shared" si="65"/>
        <v>163</v>
      </c>
    </row>
    <row r="222" spans="2:23" ht="15">
      <c r="B222" s="996" t="s">
        <v>1010</v>
      </c>
      <c r="C222" s="1043" t="s">
        <v>1011</v>
      </c>
      <c r="D222" s="1046"/>
      <c r="E222" s="1043" t="s">
        <v>1012</v>
      </c>
      <c r="F222" s="1032">
        <f>VALUE(Data.Sard!G220)</f>
        <v>-4.0935042564910859E-2</v>
      </c>
      <c r="G222" s="844">
        <f>Data.Sard!J220</f>
        <v>-1.7479301124989906E-2</v>
      </c>
      <c r="H222" s="1043">
        <v>115063078</v>
      </c>
      <c r="I222" s="264">
        <f>VALUE(Data.Sard!L220)</f>
        <v>0.37</v>
      </c>
      <c r="J222" s="904">
        <f>Data.Sard!N220</f>
        <v>-6.5175217239335392E-2</v>
      </c>
      <c r="K222" s="595">
        <f t="shared" si="66"/>
        <v>481</v>
      </c>
      <c r="L222" s="591">
        <f t="shared" si="67"/>
        <v>441</v>
      </c>
      <c r="M222" s="591">
        <f t="shared" si="68"/>
        <v>215</v>
      </c>
      <c r="N222" s="591">
        <f t="shared" si="69"/>
        <v>192</v>
      </c>
      <c r="O222" s="591">
        <f t="shared" si="70"/>
        <v>483</v>
      </c>
      <c r="P222" s="315">
        <f t="shared" si="59"/>
        <v>372</v>
      </c>
      <c r="Q222" s="315">
        <f t="shared" si="60"/>
        <v>231</v>
      </c>
      <c r="R222" s="315">
        <f t="shared" si="61"/>
        <v>206</v>
      </c>
      <c r="S222" s="315">
        <f t="shared" si="62"/>
        <v>89</v>
      </c>
      <c r="T222" s="315">
        <f t="shared" si="63"/>
        <v>467</v>
      </c>
      <c r="U222" s="315">
        <f t="shared" si="64"/>
        <v>1365</v>
      </c>
      <c r="V222" s="591">
        <f t="shared" si="71"/>
        <v>392</v>
      </c>
      <c r="W222" s="598">
        <f t="shared" si="65"/>
        <v>392</v>
      </c>
    </row>
    <row r="223" spans="2:23" ht="15">
      <c r="B223" s="1043" t="s">
        <v>1013</v>
      </c>
      <c r="C223" s="1043" t="s">
        <v>1014</v>
      </c>
      <c r="D223" s="1046"/>
      <c r="E223" s="1043" t="s">
        <v>611</v>
      </c>
      <c r="F223" s="1032">
        <f>VALUE(Data.Sard!G221)</f>
        <v>-0.42482452925902892</v>
      </c>
      <c r="G223" s="844">
        <f>Data.Sard!J221</f>
        <v>-29.644229820196067</v>
      </c>
      <c r="H223" s="1043">
        <v>36974119</v>
      </c>
      <c r="I223" s="264">
        <f>VALUE(Data.Sard!L221)</f>
        <v>0.41199999999999998</v>
      </c>
      <c r="J223" s="904">
        <f>Data.Sard!N221</f>
        <v>-7.054318906881038E-2</v>
      </c>
      <c r="K223" s="595">
        <f t="shared" si="66"/>
        <v>567</v>
      </c>
      <c r="L223" s="591">
        <f t="shared" si="67"/>
        <v>586</v>
      </c>
      <c r="M223" s="591">
        <f t="shared" si="68"/>
        <v>328</v>
      </c>
      <c r="N223" s="591">
        <f t="shared" si="69"/>
        <v>185</v>
      </c>
      <c r="O223" s="591">
        <f t="shared" si="70"/>
        <v>488</v>
      </c>
      <c r="P223" s="315">
        <f t="shared" si="59"/>
        <v>458</v>
      </c>
      <c r="Q223" s="315">
        <f t="shared" si="60"/>
        <v>376</v>
      </c>
      <c r="R223" s="315">
        <f t="shared" si="61"/>
        <v>319</v>
      </c>
      <c r="S223" s="315">
        <f t="shared" si="62"/>
        <v>82</v>
      </c>
      <c r="T223" s="315">
        <f t="shared" si="63"/>
        <v>472</v>
      </c>
      <c r="U223" s="315">
        <f t="shared" si="64"/>
        <v>1707</v>
      </c>
      <c r="V223" s="591">
        <f t="shared" si="71"/>
        <v>590</v>
      </c>
      <c r="W223" s="598">
        <f t="shared" si="65"/>
        <v>590</v>
      </c>
    </row>
    <row r="224" spans="2:23" ht="15">
      <c r="B224" s="996" t="s">
        <v>1015</v>
      </c>
      <c r="C224" s="1043" t="s">
        <v>1016</v>
      </c>
      <c r="D224" s="1046"/>
      <c r="E224" s="1043" t="s">
        <v>546</v>
      </c>
      <c r="F224" s="1032">
        <f>VALUE(Data.Sard!G222)</f>
        <v>-5.0139448079665645E-2</v>
      </c>
      <c r="G224" s="844">
        <f>Data.Sard!J222</f>
        <v>0.18714307118127202</v>
      </c>
      <c r="H224" s="1043">
        <v>22971359</v>
      </c>
      <c r="I224" s="264">
        <f>VALUE(Data.Sard!L222)</f>
        <v>-0.13400000000000001</v>
      </c>
      <c r="J224" s="904">
        <f>Data.Sard!N222</f>
        <v>-2.3202045108733338E-3</v>
      </c>
      <c r="K224" s="595">
        <f t="shared" si="66"/>
        <v>489</v>
      </c>
      <c r="L224" s="591">
        <f t="shared" si="67"/>
        <v>366</v>
      </c>
      <c r="M224" s="591">
        <f t="shared" si="68"/>
        <v>376</v>
      </c>
      <c r="N224" s="591">
        <f t="shared" si="69"/>
        <v>327</v>
      </c>
      <c r="O224" s="591">
        <f t="shared" si="70"/>
        <v>429</v>
      </c>
      <c r="P224" s="315">
        <f t="shared" si="59"/>
        <v>380</v>
      </c>
      <c r="Q224" s="315">
        <f t="shared" si="60"/>
        <v>156</v>
      </c>
      <c r="R224" s="315">
        <f t="shared" si="61"/>
        <v>367</v>
      </c>
      <c r="S224" s="315">
        <f t="shared" si="62"/>
        <v>224</v>
      </c>
      <c r="T224" s="315">
        <f t="shared" si="63"/>
        <v>413</v>
      </c>
      <c r="U224" s="315">
        <f t="shared" si="64"/>
        <v>1540</v>
      </c>
      <c r="V224" s="591">
        <f t="shared" si="71"/>
        <v>486</v>
      </c>
      <c r="W224" s="598">
        <f t="shared" si="65"/>
        <v>486</v>
      </c>
    </row>
    <row r="225" spans="2:23" ht="15">
      <c r="B225" s="1043" t="s">
        <v>1017</v>
      </c>
      <c r="C225" s="1043" t="s">
        <v>1018</v>
      </c>
      <c r="D225" s="1046"/>
      <c r="E225" s="1043" t="s">
        <v>584</v>
      </c>
      <c r="F225" s="1032">
        <f>VALUE(Data.Sard!G223)</f>
        <v>0.31016738153258833</v>
      </c>
      <c r="G225" s="844">
        <f>Data.Sard!J223</f>
        <v>1.132852095440031</v>
      </c>
      <c r="H225" s="1043">
        <v>230529448</v>
      </c>
      <c r="I225" s="264">
        <f>VALUE(Data.Sard!L223)</f>
        <v>0.65200000000000002</v>
      </c>
      <c r="J225" s="904">
        <f>Data.Sard!N223</f>
        <v>0.18119468387045856</v>
      </c>
      <c r="K225" s="595">
        <f t="shared" si="66"/>
        <v>53</v>
      </c>
      <c r="L225" s="591">
        <f t="shared" si="67"/>
        <v>284</v>
      </c>
      <c r="M225" s="591">
        <f t="shared" si="68"/>
        <v>163</v>
      </c>
      <c r="N225" s="591">
        <f t="shared" si="69"/>
        <v>145</v>
      </c>
      <c r="O225" s="591">
        <f t="shared" si="70"/>
        <v>61</v>
      </c>
      <c r="P225" s="315">
        <f t="shared" si="59"/>
        <v>56</v>
      </c>
      <c r="Q225" s="315">
        <f t="shared" si="60"/>
        <v>74</v>
      </c>
      <c r="R225" s="315">
        <f t="shared" si="61"/>
        <v>154</v>
      </c>
      <c r="S225" s="315">
        <f t="shared" si="62"/>
        <v>42</v>
      </c>
      <c r="T225" s="315">
        <f t="shared" si="63"/>
        <v>45</v>
      </c>
      <c r="U225" s="315">
        <f t="shared" si="64"/>
        <v>371</v>
      </c>
      <c r="V225" s="591">
        <f t="shared" si="71"/>
        <v>11</v>
      </c>
      <c r="W225" s="598">
        <f t="shared" si="65"/>
        <v>11</v>
      </c>
    </row>
    <row r="226" spans="2:23" ht="15">
      <c r="B226" s="996" t="s">
        <v>1019</v>
      </c>
      <c r="C226" s="1043" t="s">
        <v>1020</v>
      </c>
      <c r="D226" s="1046"/>
      <c r="E226" s="1043" t="s">
        <v>546</v>
      </c>
      <c r="F226" s="1032">
        <f>VALUE(Data.Sard!G224)</f>
        <v>0.11508293464361857</v>
      </c>
      <c r="G226" s="844">
        <f>Data.Sard!J224</f>
        <v>3.2309889448054157</v>
      </c>
      <c r="H226" s="1043">
        <v>87646068</v>
      </c>
      <c r="I226" s="264">
        <f>VALUE(Data.Sard!L224)</f>
        <v>0.64300000000000002</v>
      </c>
      <c r="J226" s="904">
        <f>Data.Sard!N224</f>
        <v>0.13404144062783532</v>
      </c>
      <c r="K226" s="595">
        <f t="shared" si="66"/>
        <v>201</v>
      </c>
      <c r="L226" s="591">
        <f t="shared" si="67"/>
        <v>175</v>
      </c>
      <c r="M226" s="591">
        <f t="shared" si="68"/>
        <v>244</v>
      </c>
      <c r="N226" s="591">
        <f t="shared" si="69"/>
        <v>149</v>
      </c>
      <c r="O226" s="591">
        <f t="shared" si="70"/>
        <v>103</v>
      </c>
      <c r="P226" s="315">
        <f t="shared" si="59"/>
        <v>92</v>
      </c>
      <c r="Q226" s="315">
        <f t="shared" si="60"/>
        <v>35</v>
      </c>
      <c r="R226" s="315">
        <f t="shared" si="61"/>
        <v>235</v>
      </c>
      <c r="S226" s="315">
        <f t="shared" si="62"/>
        <v>46</v>
      </c>
      <c r="T226" s="315">
        <f t="shared" si="63"/>
        <v>87</v>
      </c>
      <c r="U226" s="315">
        <f t="shared" si="64"/>
        <v>495</v>
      </c>
      <c r="V226" s="591">
        <f t="shared" si="71"/>
        <v>35</v>
      </c>
      <c r="W226" s="598">
        <f t="shared" si="65"/>
        <v>35</v>
      </c>
    </row>
    <row r="227" spans="2:23" ht="15">
      <c r="B227" s="1043" t="s">
        <v>1021</v>
      </c>
      <c r="C227" s="1043" t="s">
        <v>1022</v>
      </c>
      <c r="D227" s="1046"/>
      <c r="E227" s="1043" t="s">
        <v>706</v>
      </c>
      <c r="F227" s="1032">
        <f>VALUE(Data.Sard!G225)</f>
        <v>9.5751603643371097E-2</v>
      </c>
      <c r="G227" s="844">
        <f>Data.Sard!J225</f>
        <v>-0.15508684870594139</v>
      </c>
      <c r="H227" s="1043">
        <v>253920375</v>
      </c>
      <c r="I227" s="264">
        <f>VALUE(Data.Sard!L225)</f>
        <v>-0.497</v>
      </c>
      <c r="J227" s="904">
        <f>Data.Sard!N225</f>
        <v>0.17592305546200779</v>
      </c>
      <c r="K227" s="595">
        <f t="shared" si="66"/>
        <v>241</v>
      </c>
      <c r="L227" s="591">
        <f t="shared" si="67"/>
        <v>454</v>
      </c>
      <c r="M227" s="591">
        <f t="shared" si="68"/>
        <v>154</v>
      </c>
      <c r="N227" s="591">
        <f t="shared" si="69"/>
        <v>386</v>
      </c>
      <c r="O227" s="591">
        <f t="shared" si="70"/>
        <v>68</v>
      </c>
      <c r="P227" s="315">
        <f t="shared" si="59"/>
        <v>132</v>
      </c>
      <c r="Q227" s="315">
        <f t="shared" si="60"/>
        <v>244</v>
      </c>
      <c r="R227" s="315">
        <f t="shared" si="61"/>
        <v>145</v>
      </c>
      <c r="S227" s="315">
        <f t="shared" si="62"/>
        <v>283</v>
      </c>
      <c r="T227" s="315">
        <f t="shared" si="63"/>
        <v>52</v>
      </c>
      <c r="U227" s="315">
        <f t="shared" si="64"/>
        <v>856</v>
      </c>
      <c r="V227" s="591">
        <f t="shared" si="71"/>
        <v>167</v>
      </c>
      <c r="W227" s="598">
        <f t="shared" si="65"/>
        <v>167</v>
      </c>
    </row>
    <row r="228" spans="2:23" ht="15">
      <c r="B228" s="996" t="s">
        <v>1023</v>
      </c>
      <c r="C228" s="1043" t="s">
        <v>1024</v>
      </c>
      <c r="D228" s="1046"/>
      <c r="E228" s="1043" t="s">
        <v>546</v>
      </c>
      <c r="F228" s="1032">
        <f>VALUE(Data.Sard!G226)</f>
        <v>-0.16993079120878124</v>
      </c>
      <c r="G228" s="844">
        <f>Data.Sard!J226</f>
        <v>13.279469268248871</v>
      </c>
      <c r="H228" s="1043">
        <v>8949753</v>
      </c>
      <c r="I228" s="264">
        <f>VALUE(Data.Sard!L226)</f>
        <v>1.4490000000000001</v>
      </c>
      <c r="J228" s="904">
        <f>Data.Sard!N226</f>
        <v>-0.63962281640695406</v>
      </c>
      <c r="K228" s="595">
        <f t="shared" si="66"/>
        <v>539</v>
      </c>
      <c r="L228" s="591">
        <f t="shared" si="67"/>
        <v>47</v>
      </c>
      <c r="M228" s="591">
        <f t="shared" si="68"/>
        <v>480</v>
      </c>
      <c r="N228" s="591">
        <f t="shared" si="69"/>
        <v>62</v>
      </c>
      <c r="O228" s="591">
        <f t="shared" si="70"/>
        <v>568</v>
      </c>
      <c r="P228" s="315">
        <f t="shared" si="59"/>
        <v>430</v>
      </c>
      <c r="Q228" s="315">
        <f t="shared" si="60"/>
        <v>163</v>
      </c>
      <c r="R228" s="315">
        <f t="shared" si="61"/>
        <v>471</v>
      </c>
      <c r="S228" s="315">
        <f t="shared" si="62"/>
        <v>41</v>
      </c>
      <c r="T228" s="315">
        <f t="shared" si="63"/>
        <v>552</v>
      </c>
      <c r="U228" s="315">
        <f t="shared" si="64"/>
        <v>1657</v>
      </c>
      <c r="V228" s="591">
        <f t="shared" si="71"/>
        <v>560</v>
      </c>
      <c r="W228" s="598">
        <f t="shared" si="65"/>
        <v>560</v>
      </c>
    </row>
    <row r="229" spans="2:23" ht="15">
      <c r="B229" s="1043" t="s">
        <v>1025</v>
      </c>
      <c r="C229" s="1043" t="s">
        <v>1026</v>
      </c>
      <c r="D229" s="1046"/>
      <c r="E229" s="1043" t="s">
        <v>706</v>
      </c>
      <c r="F229" s="1032">
        <f>VALUE(Data.Sard!G227)</f>
        <v>5.1875168110026279E-2</v>
      </c>
      <c r="G229" s="844">
        <f>Data.Sard!J227</f>
        <v>0.47074838302343569</v>
      </c>
      <c r="H229" s="1043">
        <v>17175737</v>
      </c>
      <c r="I229" s="264">
        <f>VALUE(Data.Sard!L227)</f>
        <v>-12.933</v>
      </c>
      <c r="J229" s="904">
        <f>Data.Sard!N227</f>
        <v>1.5982606636527688E-2</v>
      </c>
      <c r="K229" s="595">
        <f t="shared" si="66"/>
        <v>328</v>
      </c>
      <c r="L229" s="591">
        <f t="shared" si="67"/>
        <v>331</v>
      </c>
      <c r="M229" s="591">
        <f t="shared" si="68"/>
        <v>419</v>
      </c>
      <c r="N229" s="591">
        <f t="shared" si="69"/>
        <v>533</v>
      </c>
      <c r="O229" s="591">
        <f t="shared" si="70"/>
        <v>374</v>
      </c>
      <c r="P229" s="315">
        <f t="shared" ref="P229:P292" si="72">IFERROR(ABS(K$3-K229),"N/A")</f>
        <v>219</v>
      </c>
      <c r="Q229" s="315">
        <f t="shared" ref="Q229:Q292" si="73">IFERROR(ABS(L$3-L229),"N/A")</f>
        <v>121</v>
      </c>
      <c r="R229" s="315">
        <f t="shared" ref="R229:R292" si="74">IFERROR(ABS(M$3-M229),"N/A")</f>
        <v>410</v>
      </c>
      <c r="S229" s="315">
        <f t="shared" ref="S229:S292" si="75">IFERROR(ABS(N$3-N229),"N/A")</f>
        <v>430</v>
      </c>
      <c r="T229" s="315">
        <f t="shared" ref="T229:T292" si="76">IFERROR(ABS(O$3-O229),"N/A")</f>
        <v>358</v>
      </c>
      <c r="U229" s="315">
        <f t="shared" ref="U229:U292" si="77">SUM(P229:T229)</f>
        <v>1538</v>
      </c>
      <c r="V229" s="591">
        <f t="shared" si="71"/>
        <v>484</v>
      </c>
      <c r="W229" s="598">
        <f t="shared" ref="W229:W292" si="78">IF(Y229="Not suitable","-",V229)</f>
        <v>484</v>
      </c>
    </row>
    <row r="230" spans="2:23" ht="15">
      <c r="B230" s="1043" t="s">
        <v>1027</v>
      </c>
      <c r="C230" s="1043" t="s">
        <v>1028</v>
      </c>
      <c r="D230" s="1046"/>
      <c r="E230" s="1043" t="s">
        <v>603</v>
      </c>
      <c r="F230" s="1032">
        <f>VALUE(Data.Sard!G228)</f>
        <v>9.7277569676844061E-2</v>
      </c>
      <c r="G230" s="844">
        <f>Data.Sard!J228</f>
        <v>0.19183383342246305</v>
      </c>
      <c r="H230" s="1043">
        <v>1047188182</v>
      </c>
      <c r="I230" s="264">
        <f>VALUE(Data.Sard!L228)</f>
        <v>-0.45900000000000002</v>
      </c>
      <c r="J230" s="904">
        <f>Data.Sard!N228</f>
        <v>4.5232071498172918E-3</v>
      </c>
      <c r="K230" s="595">
        <f t="shared" si="66"/>
        <v>238</v>
      </c>
      <c r="L230" s="591">
        <f t="shared" si="67"/>
        <v>365</v>
      </c>
      <c r="M230" s="591">
        <f t="shared" si="68"/>
        <v>61</v>
      </c>
      <c r="N230" s="591">
        <f t="shared" si="69"/>
        <v>379</v>
      </c>
      <c r="O230" s="591">
        <f t="shared" si="70"/>
        <v>410</v>
      </c>
      <c r="P230" s="315">
        <f t="shared" si="72"/>
        <v>129</v>
      </c>
      <c r="Q230" s="315">
        <f t="shared" si="73"/>
        <v>155</v>
      </c>
      <c r="R230" s="315">
        <f t="shared" si="74"/>
        <v>52</v>
      </c>
      <c r="S230" s="315">
        <f t="shared" si="75"/>
        <v>276</v>
      </c>
      <c r="T230" s="315">
        <f t="shared" si="76"/>
        <v>394</v>
      </c>
      <c r="U230" s="315">
        <f t="shared" si="77"/>
        <v>1006</v>
      </c>
      <c r="V230" s="591">
        <f t="shared" si="71"/>
        <v>239</v>
      </c>
      <c r="W230" s="598">
        <f t="shared" si="78"/>
        <v>239</v>
      </c>
    </row>
    <row r="231" spans="2:23" ht="15">
      <c r="B231" s="996" t="s">
        <v>1029</v>
      </c>
      <c r="C231" s="1043" t="s">
        <v>1030</v>
      </c>
      <c r="D231" s="1046"/>
      <c r="E231" s="1043" t="s">
        <v>706</v>
      </c>
      <c r="F231" s="1032">
        <f>VALUE(Data.Sard!G229)</f>
        <v>0.20164977957063876</v>
      </c>
      <c r="G231" s="844">
        <f>Data.Sard!J229</f>
        <v>-26.829984402814887</v>
      </c>
      <c r="H231" s="1043">
        <v>4308062737</v>
      </c>
      <c r="I231" s="264">
        <f>VALUE(Data.Sard!L229)</f>
        <v>-0.97099999999999997</v>
      </c>
      <c r="J231" s="904">
        <f>Data.Sard!N229</f>
        <v>0.2126908651084371</v>
      </c>
      <c r="K231" s="595">
        <f t="shared" si="66"/>
        <v>107</v>
      </c>
      <c r="L231" s="591">
        <f t="shared" si="67"/>
        <v>585</v>
      </c>
      <c r="M231" s="591">
        <f t="shared" si="68"/>
        <v>28</v>
      </c>
      <c r="N231" s="591">
        <f t="shared" si="69"/>
        <v>434</v>
      </c>
      <c r="O231" s="591">
        <f t="shared" si="70"/>
        <v>42</v>
      </c>
      <c r="P231" s="315">
        <f t="shared" si="72"/>
        <v>2</v>
      </c>
      <c r="Q231" s="315">
        <f t="shared" si="73"/>
        <v>375</v>
      </c>
      <c r="R231" s="315">
        <f t="shared" si="74"/>
        <v>19</v>
      </c>
      <c r="S231" s="315">
        <f t="shared" si="75"/>
        <v>331</v>
      </c>
      <c r="T231" s="315">
        <f t="shared" si="76"/>
        <v>26</v>
      </c>
      <c r="U231" s="315">
        <f t="shared" si="77"/>
        <v>753</v>
      </c>
      <c r="V231" s="591">
        <f t="shared" si="71"/>
        <v>128</v>
      </c>
      <c r="W231" s="598">
        <f t="shared" si="78"/>
        <v>128</v>
      </c>
    </row>
    <row r="232" spans="2:23" ht="15">
      <c r="B232" s="996" t="s">
        <v>1031</v>
      </c>
      <c r="C232" s="1043" t="s">
        <v>1032</v>
      </c>
      <c r="D232" s="1046"/>
      <c r="E232" s="1043" t="s">
        <v>1012</v>
      </c>
      <c r="F232" s="1032">
        <f>VALUE(Data.Sard!G230)</f>
        <v>-9.9673202539539082E-2</v>
      </c>
      <c r="G232" s="844">
        <f>Data.Sard!J230</f>
        <v>8.9864441999641596</v>
      </c>
      <c r="H232" s="1043">
        <v>17193666</v>
      </c>
      <c r="I232" s="264">
        <f>VALUE(Data.Sard!L230)</f>
        <v>0.76700000000000002</v>
      </c>
      <c r="J232" s="904">
        <f>Data.Sard!N230</f>
        <v>-7.2889089561235399E-3</v>
      </c>
      <c r="K232" s="595">
        <f t="shared" si="66"/>
        <v>523</v>
      </c>
      <c r="L232" s="591">
        <f t="shared" si="67"/>
        <v>71</v>
      </c>
      <c r="M232" s="591">
        <f t="shared" si="68"/>
        <v>418</v>
      </c>
      <c r="N232" s="591">
        <f t="shared" si="69"/>
        <v>132</v>
      </c>
      <c r="O232" s="591">
        <f t="shared" si="70"/>
        <v>437</v>
      </c>
      <c r="P232" s="315">
        <f t="shared" si="72"/>
        <v>414</v>
      </c>
      <c r="Q232" s="315">
        <f t="shared" si="73"/>
        <v>139</v>
      </c>
      <c r="R232" s="315">
        <f t="shared" si="74"/>
        <v>409</v>
      </c>
      <c r="S232" s="315">
        <f t="shared" si="75"/>
        <v>29</v>
      </c>
      <c r="T232" s="315">
        <f t="shared" si="76"/>
        <v>421</v>
      </c>
      <c r="U232" s="315">
        <f t="shared" si="77"/>
        <v>1412</v>
      </c>
      <c r="V232" s="591">
        <f t="shared" si="71"/>
        <v>418</v>
      </c>
      <c r="W232" s="598">
        <f t="shared" si="78"/>
        <v>418</v>
      </c>
    </row>
    <row r="233" spans="2:23" ht="15">
      <c r="B233" s="996" t="s">
        <v>1033</v>
      </c>
      <c r="C233" s="1043" t="s">
        <v>1034</v>
      </c>
      <c r="D233" s="1046"/>
      <c r="E233" s="1043" t="s">
        <v>736</v>
      </c>
      <c r="F233" s="1032">
        <f>VALUE(Data.Sard!G231)</f>
        <v>6.1283455174714951E-2</v>
      </c>
      <c r="G233" s="844">
        <f>Data.Sard!J231</f>
        <v>1.980980045276354</v>
      </c>
      <c r="H233" s="1043">
        <v>255623130</v>
      </c>
      <c r="I233" s="264">
        <f>VALUE(Data.Sard!L231)</f>
        <v>-2.028</v>
      </c>
      <c r="J233" s="904">
        <f>Data.Sard!N231</f>
        <v>3.3424218608265749E-2</v>
      </c>
      <c r="K233" s="595">
        <f t="shared" si="66"/>
        <v>302</v>
      </c>
      <c r="L233" s="591">
        <f t="shared" si="67"/>
        <v>245</v>
      </c>
      <c r="M233" s="591">
        <f t="shared" si="68"/>
        <v>151</v>
      </c>
      <c r="N233" s="591">
        <f t="shared" si="69"/>
        <v>487</v>
      </c>
      <c r="O233" s="591">
        <f t="shared" si="70"/>
        <v>327</v>
      </c>
      <c r="P233" s="315">
        <f t="shared" si="72"/>
        <v>193</v>
      </c>
      <c r="Q233" s="315">
        <f t="shared" si="73"/>
        <v>35</v>
      </c>
      <c r="R233" s="315">
        <f t="shared" si="74"/>
        <v>142</v>
      </c>
      <c r="S233" s="315">
        <f t="shared" si="75"/>
        <v>384</v>
      </c>
      <c r="T233" s="315">
        <f t="shared" si="76"/>
        <v>311</v>
      </c>
      <c r="U233" s="315">
        <f t="shared" si="77"/>
        <v>1065</v>
      </c>
      <c r="V233" s="591">
        <f t="shared" si="71"/>
        <v>264</v>
      </c>
      <c r="W233" s="598">
        <f t="shared" si="78"/>
        <v>264</v>
      </c>
    </row>
    <row r="234" spans="2:23" ht="15">
      <c r="B234" s="996" t="s">
        <v>1035</v>
      </c>
      <c r="C234" s="1043" t="s">
        <v>1036</v>
      </c>
      <c r="D234" s="1046"/>
      <c r="E234" s="1043" t="s">
        <v>736</v>
      </c>
      <c r="F234" s="1032">
        <f>VALUE(Data.Sard!G232)</f>
        <v>0.14122218631966282</v>
      </c>
      <c r="G234" s="844">
        <f>Data.Sard!J232</f>
        <v>5.2814319608229017</v>
      </c>
      <c r="H234" s="1043">
        <v>6224880339</v>
      </c>
      <c r="I234" s="264">
        <f>VALUE(Data.Sard!L232)</f>
        <v>2.31</v>
      </c>
      <c r="J234" s="904">
        <f>Data.Sard!N232</f>
        <v>0.15117222207320083</v>
      </c>
      <c r="K234" s="595">
        <f t="shared" si="66"/>
        <v>166</v>
      </c>
      <c r="L234" s="591">
        <f t="shared" si="67"/>
        <v>117</v>
      </c>
      <c r="M234" s="591">
        <f t="shared" si="68"/>
        <v>21</v>
      </c>
      <c r="N234" s="591">
        <f t="shared" si="69"/>
        <v>41</v>
      </c>
      <c r="O234" s="591">
        <f t="shared" si="70"/>
        <v>93</v>
      </c>
      <c r="P234" s="315">
        <f t="shared" si="72"/>
        <v>57</v>
      </c>
      <c r="Q234" s="315">
        <f t="shared" si="73"/>
        <v>93</v>
      </c>
      <c r="R234" s="315">
        <f t="shared" si="74"/>
        <v>12</v>
      </c>
      <c r="S234" s="315">
        <f t="shared" si="75"/>
        <v>62</v>
      </c>
      <c r="T234" s="315">
        <f t="shared" si="76"/>
        <v>77</v>
      </c>
      <c r="U234" s="315">
        <f t="shared" si="77"/>
        <v>301</v>
      </c>
      <c r="V234" s="591">
        <f t="shared" si="71"/>
        <v>4</v>
      </c>
      <c r="W234" s="598">
        <f t="shared" si="78"/>
        <v>4</v>
      </c>
    </row>
    <row r="235" spans="2:23" ht="15">
      <c r="B235" s="996" t="s">
        <v>1037</v>
      </c>
      <c r="C235" s="1043" t="s">
        <v>1038</v>
      </c>
      <c r="D235" s="1046"/>
      <c r="E235" s="1043" t="s">
        <v>648</v>
      </c>
      <c r="F235" s="1032">
        <f>VALUE(Data.Sard!G233)</f>
        <v>2.1924088364953413E-2</v>
      </c>
      <c r="G235" s="844"/>
      <c r="H235" s="1043">
        <v>76634467</v>
      </c>
      <c r="I235" s="264">
        <f>VALUE(Data.Sard!L233)</f>
        <v>0.55800000000000005</v>
      </c>
      <c r="J235" s="904">
        <f>Data.Sard!N233</f>
        <v>1.9759578297968063E-2</v>
      </c>
      <c r="K235" s="595">
        <f t="shared" si="66"/>
        <v>391</v>
      </c>
      <c r="L235" s="591">
        <f t="shared" si="67"/>
        <v>397</v>
      </c>
      <c r="M235" s="591">
        <f t="shared" si="68"/>
        <v>252</v>
      </c>
      <c r="N235" s="591">
        <f t="shared" si="69"/>
        <v>165</v>
      </c>
      <c r="O235" s="591">
        <f t="shared" si="70"/>
        <v>366</v>
      </c>
      <c r="P235" s="315">
        <f t="shared" si="72"/>
        <v>282</v>
      </c>
      <c r="Q235" s="315">
        <f t="shared" si="73"/>
        <v>187</v>
      </c>
      <c r="R235" s="315">
        <f t="shared" si="74"/>
        <v>243</v>
      </c>
      <c r="S235" s="315">
        <f t="shared" si="75"/>
        <v>62</v>
      </c>
      <c r="T235" s="315">
        <f t="shared" si="76"/>
        <v>350</v>
      </c>
      <c r="U235" s="315">
        <f t="shared" si="77"/>
        <v>1124</v>
      </c>
      <c r="V235" s="591">
        <f t="shared" si="71"/>
        <v>281</v>
      </c>
      <c r="W235" s="598">
        <f t="shared" si="78"/>
        <v>281</v>
      </c>
    </row>
    <row r="236" spans="2:23" ht="15">
      <c r="B236" s="996" t="s">
        <v>1039</v>
      </c>
      <c r="C236" s="1043" t="s">
        <v>1040</v>
      </c>
      <c r="D236" s="994"/>
      <c r="E236" s="1043" t="s">
        <v>999</v>
      </c>
      <c r="F236" s="1032"/>
      <c r="G236" s="844"/>
      <c r="H236" s="1003">
        <v>0</v>
      </c>
      <c r="I236" s="264">
        <f>VALUE(Data.Sard!L234)</f>
        <v>26.190999999999999</v>
      </c>
      <c r="J236" s="904"/>
      <c r="K236" s="595">
        <f t="shared" si="66"/>
        <v>442</v>
      </c>
      <c r="L236" s="591">
        <f t="shared" si="67"/>
        <v>397</v>
      </c>
      <c r="M236" s="591">
        <f t="shared" si="68"/>
        <v>677</v>
      </c>
      <c r="N236" s="591">
        <f t="shared" si="69"/>
        <v>8</v>
      </c>
      <c r="O236" s="591">
        <f t="shared" si="70"/>
        <v>419</v>
      </c>
      <c r="P236" s="315">
        <f t="shared" si="72"/>
        <v>333</v>
      </c>
      <c r="Q236" s="315">
        <f t="shared" si="73"/>
        <v>187</v>
      </c>
      <c r="R236" s="315">
        <f t="shared" si="74"/>
        <v>668</v>
      </c>
      <c r="S236" s="315">
        <f t="shared" si="75"/>
        <v>95</v>
      </c>
      <c r="T236" s="315">
        <f t="shared" si="76"/>
        <v>403</v>
      </c>
      <c r="U236" s="315">
        <f t="shared" si="77"/>
        <v>1686</v>
      </c>
      <c r="V236" s="591">
        <f t="shared" si="71"/>
        <v>582</v>
      </c>
      <c r="W236" s="598">
        <f t="shared" si="78"/>
        <v>582</v>
      </c>
    </row>
    <row r="237" spans="2:23" ht="15">
      <c r="B237" s="1043" t="s">
        <v>1041</v>
      </c>
      <c r="C237" s="1043" t="s">
        <v>1042</v>
      </c>
      <c r="D237" s="1046"/>
      <c r="E237" s="1043" t="s">
        <v>1043</v>
      </c>
      <c r="F237" s="1032"/>
      <c r="G237" s="844">
        <f>Data.Sard!J235</f>
        <v>2.3264246896358411</v>
      </c>
      <c r="H237" s="1043">
        <v>396543</v>
      </c>
      <c r="I237" s="264"/>
      <c r="J237" s="904"/>
      <c r="K237" s="595">
        <f t="shared" si="66"/>
        <v>442</v>
      </c>
      <c r="L237" s="591">
        <f t="shared" si="67"/>
        <v>223</v>
      </c>
      <c r="M237" s="591">
        <f t="shared" si="68"/>
        <v>633</v>
      </c>
      <c r="N237" s="591">
        <f t="shared" si="69"/>
        <v>285</v>
      </c>
      <c r="O237" s="591">
        <f t="shared" si="70"/>
        <v>419</v>
      </c>
      <c r="P237" s="315">
        <f t="shared" si="72"/>
        <v>333</v>
      </c>
      <c r="Q237" s="315">
        <f t="shared" si="73"/>
        <v>13</v>
      </c>
      <c r="R237" s="315">
        <f t="shared" si="74"/>
        <v>624</v>
      </c>
      <c r="S237" s="315">
        <f t="shared" si="75"/>
        <v>182</v>
      </c>
      <c r="T237" s="315">
        <f t="shared" si="76"/>
        <v>403</v>
      </c>
      <c r="U237" s="315">
        <f t="shared" si="77"/>
        <v>1555</v>
      </c>
      <c r="V237" s="591">
        <f t="shared" si="71"/>
        <v>498</v>
      </c>
      <c r="W237" s="598">
        <f t="shared" si="78"/>
        <v>498</v>
      </c>
    </row>
    <row r="238" spans="2:23" ht="15">
      <c r="B238" s="1043" t="s">
        <v>1044</v>
      </c>
      <c r="C238" s="1043" t="s">
        <v>1045</v>
      </c>
      <c r="D238" s="1046"/>
      <c r="E238" s="1043" t="s">
        <v>584</v>
      </c>
      <c r="F238" s="1032">
        <f>VALUE(Data.Sard!G236)</f>
        <v>5.8411826377416307E-2</v>
      </c>
      <c r="G238" s="844">
        <f>Data.Sard!J236</f>
        <v>-5.6137653019645546</v>
      </c>
      <c r="H238" s="1043">
        <v>44896835</v>
      </c>
      <c r="I238" s="264"/>
      <c r="J238" s="904">
        <f>Data.Sard!N236</f>
        <v>6.9842979210542111E-2</v>
      </c>
      <c r="K238" s="595">
        <f t="shared" si="66"/>
        <v>309</v>
      </c>
      <c r="L238" s="591">
        <f t="shared" si="67"/>
        <v>544</v>
      </c>
      <c r="M238" s="591">
        <f t="shared" si="68"/>
        <v>306</v>
      </c>
      <c r="N238" s="591">
        <f t="shared" si="69"/>
        <v>285</v>
      </c>
      <c r="O238" s="591">
        <f t="shared" si="70"/>
        <v>218</v>
      </c>
      <c r="P238" s="315">
        <f t="shared" si="72"/>
        <v>200</v>
      </c>
      <c r="Q238" s="315">
        <f t="shared" si="73"/>
        <v>334</v>
      </c>
      <c r="R238" s="315">
        <f t="shared" si="74"/>
        <v>297</v>
      </c>
      <c r="S238" s="315">
        <f t="shared" si="75"/>
        <v>182</v>
      </c>
      <c r="T238" s="315">
        <f t="shared" si="76"/>
        <v>202</v>
      </c>
      <c r="U238" s="315">
        <f t="shared" si="77"/>
        <v>1215</v>
      </c>
      <c r="V238" s="591">
        <f t="shared" si="71"/>
        <v>314</v>
      </c>
      <c r="W238" s="598">
        <f t="shared" si="78"/>
        <v>314</v>
      </c>
    </row>
    <row r="239" spans="2:23" ht="15">
      <c r="B239" s="996" t="s">
        <v>1046</v>
      </c>
      <c r="C239" s="1043" t="s">
        <v>1047</v>
      </c>
      <c r="D239" s="1046"/>
      <c r="E239" s="1043" t="s">
        <v>1048</v>
      </c>
      <c r="F239" s="1032">
        <f>VALUE(Data.Sard!G237)</f>
        <v>1.1739312572987238E-2</v>
      </c>
      <c r="G239" s="844">
        <f>Data.Sard!J237</f>
        <v>0.11472345351803623</v>
      </c>
      <c r="H239" s="1043">
        <v>88462148</v>
      </c>
      <c r="I239" s="264">
        <f>VALUE(Data.Sard!L237)</f>
        <v>-0.69599999999999995</v>
      </c>
      <c r="J239" s="904">
        <f>Data.Sard!N237</f>
        <v>-5.5148183317396814E-2</v>
      </c>
      <c r="K239" s="595">
        <f t="shared" si="66"/>
        <v>417</v>
      </c>
      <c r="L239" s="591">
        <f t="shared" si="67"/>
        <v>372</v>
      </c>
      <c r="M239" s="591">
        <f t="shared" si="68"/>
        <v>243</v>
      </c>
      <c r="N239" s="591">
        <f t="shared" si="69"/>
        <v>410</v>
      </c>
      <c r="O239" s="591">
        <f t="shared" si="70"/>
        <v>476</v>
      </c>
      <c r="P239" s="315">
        <f t="shared" si="72"/>
        <v>308</v>
      </c>
      <c r="Q239" s="315">
        <f t="shared" si="73"/>
        <v>162</v>
      </c>
      <c r="R239" s="315">
        <f t="shared" si="74"/>
        <v>234</v>
      </c>
      <c r="S239" s="315">
        <f t="shared" si="75"/>
        <v>307</v>
      </c>
      <c r="T239" s="315">
        <f t="shared" si="76"/>
        <v>460</v>
      </c>
      <c r="U239" s="315">
        <f t="shared" si="77"/>
        <v>1471</v>
      </c>
      <c r="V239" s="591">
        <f t="shared" si="71"/>
        <v>448</v>
      </c>
      <c r="W239" s="598">
        <f t="shared" si="78"/>
        <v>448</v>
      </c>
    </row>
    <row r="240" spans="2:23" ht="15">
      <c r="B240" s="1043" t="s">
        <v>1049</v>
      </c>
      <c r="C240" s="1043" t="s">
        <v>1050</v>
      </c>
      <c r="D240" s="1046"/>
      <c r="E240" s="1043" t="s">
        <v>584</v>
      </c>
      <c r="F240" s="1032">
        <f>VALUE(Data.Sard!G238)</f>
        <v>7.4908916414190854E-2</v>
      </c>
      <c r="G240" s="844">
        <f>Data.Sard!J238</f>
        <v>-2.6297437980387124</v>
      </c>
      <c r="H240" s="1043">
        <v>112335708</v>
      </c>
      <c r="I240" s="264">
        <f>VALUE(Data.Sard!L238)</f>
        <v>6.1609999999999996</v>
      </c>
      <c r="J240" s="904">
        <f>Data.Sard!N238</f>
        <v>8.8921826699029774E-2</v>
      </c>
      <c r="K240" s="595">
        <f t="shared" si="66"/>
        <v>275</v>
      </c>
      <c r="L240" s="591">
        <f t="shared" si="67"/>
        <v>516</v>
      </c>
      <c r="M240" s="591">
        <f t="shared" si="68"/>
        <v>218</v>
      </c>
      <c r="N240" s="591">
        <f t="shared" si="69"/>
        <v>19</v>
      </c>
      <c r="O240" s="591">
        <f t="shared" si="70"/>
        <v>181</v>
      </c>
      <c r="P240" s="315">
        <f t="shared" si="72"/>
        <v>166</v>
      </c>
      <c r="Q240" s="315">
        <f t="shared" si="73"/>
        <v>306</v>
      </c>
      <c r="R240" s="315">
        <f t="shared" si="74"/>
        <v>209</v>
      </c>
      <c r="S240" s="315">
        <f t="shared" si="75"/>
        <v>84</v>
      </c>
      <c r="T240" s="315">
        <f t="shared" si="76"/>
        <v>165</v>
      </c>
      <c r="U240" s="315">
        <f t="shared" si="77"/>
        <v>930</v>
      </c>
      <c r="V240" s="591">
        <f t="shared" si="71"/>
        <v>200</v>
      </c>
      <c r="W240" s="598">
        <f t="shared" si="78"/>
        <v>200</v>
      </c>
    </row>
    <row r="241" spans="2:23" ht="15">
      <c r="B241" s="996" t="s">
        <v>1051</v>
      </c>
      <c r="C241" s="1043" t="s">
        <v>1052</v>
      </c>
      <c r="D241" s="1046"/>
      <c r="E241" s="1043" t="s">
        <v>546</v>
      </c>
      <c r="F241" s="1032">
        <f>VALUE(Data.Sard!G239)</f>
        <v>-9.2746285387410685E-2</v>
      </c>
      <c r="G241" s="844">
        <f>Data.Sard!J239</f>
        <v>-5.0743589014367654</v>
      </c>
      <c r="H241" s="1043">
        <v>6431521</v>
      </c>
      <c r="I241" s="264">
        <f>VALUE(Data.Sard!L239)</f>
        <v>0.61299999999999999</v>
      </c>
      <c r="J241" s="904">
        <f>Data.Sard!N239</f>
        <v>-0.19523861609752988</v>
      </c>
      <c r="K241" s="595">
        <f t="shared" si="66"/>
        <v>520</v>
      </c>
      <c r="L241" s="591">
        <f t="shared" si="67"/>
        <v>539</v>
      </c>
      <c r="M241" s="591">
        <f t="shared" si="68"/>
        <v>511</v>
      </c>
      <c r="N241" s="591">
        <f t="shared" si="69"/>
        <v>155</v>
      </c>
      <c r="O241" s="591">
        <f t="shared" si="70"/>
        <v>535</v>
      </c>
      <c r="P241" s="315">
        <f t="shared" si="72"/>
        <v>411</v>
      </c>
      <c r="Q241" s="315">
        <f t="shared" si="73"/>
        <v>329</v>
      </c>
      <c r="R241" s="315">
        <f t="shared" si="74"/>
        <v>502</v>
      </c>
      <c r="S241" s="315">
        <f t="shared" si="75"/>
        <v>52</v>
      </c>
      <c r="T241" s="315">
        <f t="shared" si="76"/>
        <v>519</v>
      </c>
      <c r="U241" s="315">
        <f t="shared" si="77"/>
        <v>1813</v>
      </c>
      <c r="V241" s="591">
        <f t="shared" si="71"/>
        <v>650</v>
      </c>
      <c r="W241" s="598">
        <f t="shared" si="78"/>
        <v>650</v>
      </c>
    </row>
    <row r="242" spans="2:23" ht="15">
      <c r="B242" s="996" t="s">
        <v>1053</v>
      </c>
      <c r="C242" s="1043" t="s">
        <v>1054</v>
      </c>
      <c r="D242" s="1046"/>
      <c r="E242" s="1043" t="s">
        <v>1055</v>
      </c>
      <c r="F242" s="1032">
        <f>VALUE(Data.Sard!G240)</f>
        <v>-7.1659026419758395E-2</v>
      </c>
      <c r="G242" s="844">
        <f>Data.Sard!J240</f>
        <v>0</v>
      </c>
      <c r="H242" s="1043">
        <v>956486</v>
      </c>
      <c r="I242" s="264">
        <f>VALUE(Data.Sard!L240)</f>
        <v>8.5999999999999993E-2</v>
      </c>
      <c r="J242" s="904">
        <f>Data.Sard!N240</f>
        <v>-2.1191045704037341E-2</v>
      </c>
      <c r="K242" s="595">
        <f t="shared" si="66"/>
        <v>503</v>
      </c>
      <c r="L242" s="591">
        <f t="shared" si="67"/>
        <v>397</v>
      </c>
      <c r="M242" s="591">
        <f t="shared" si="68"/>
        <v>613</v>
      </c>
      <c r="N242" s="591">
        <f t="shared" si="69"/>
        <v>265</v>
      </c>
      <c r="O242" s="591">
        <f t="shared" si="70"/>
        <v>454</v>
      </c>
      <c r="P242" s="315">
        <f t="shared" si="72"/>
        <v>394</v>
      </c>
      <c r="Q242" s="315">
        <f t="shared" si="73"/>
        <v>187</v>
      </c>
      <c r="R242" s="315">
        <f t="shared" si="74"/>
        <v>604</v>
      </c>
      <c r="S242" s="315">
        <f t="shared" si="75"/>
        <v>162</v>
      </c>
      <c r="T242" s="315">
        <f t="shared" si="76"/>
        <v>438</v>
      </c>
      <c r="U242" s="315">
        <f t="shared" si="77"/>
        <v>1785</v>
      </c>
      <c r="V242" s="591">
        <f t="shared" si="71"/>
        <v>640</v>
      </c>
      <c r="W242" s="598">
        <f t="shared" si="78"/>
        <v>640</v>
      </c>
    </row>
    <row r="243" spans="2:23" ht="15">
      <c r="B243" s="996" t="s">
        <v>1056</v>
      </c>
      <c r="C243" s="1043" t="s">
        <v>1057</v>
      </c>
      <c r="D243" s="994"/>
      <c r="E243" s="1043" t="s">
        <v>1055</v>
      </c>
      <c r="F243" s="1032">
        <f>VALUE(Data.Sard!G241)</f>
        <v>-0.58333309650007814</v>
      </c>
      <c r="G243" s="844">
        <f>Data.Sard!J241</f>
        <v>14.14670688412496</v>
      </c>
      <c r="H243" s="1003">
        <v>0</v>
      </c>
      <c r="I243" s="264">
        <f>VALUE(Data.Sard!L241)</f>
        <v>0.11600000000000001</v>
      </c>
      <c r="J243" s="904">
        <f>Data.Sard!N241</f>
        <v>-2.3333323860003126</v>
      </c>
      <c r="K243" s="595">
        <f t="shared" si="66"/>
        <v>582</v>
      </c>
      <c r="L243" s="591">
        <f t="shared" si="67"/>
        <v>41</v>
      </c>
      <c r="M243" s="591">
        <f t="shared" si="68"/>
        <v>677</v>
      </c>
      <c r="N243" s="591">
        <f t="shared" si="69"/>
        <v>258</v>
      </c>
      <c r="O243" s="591">
        <f t="shared" si="70"/>
        <v>587</v>
      </c>
      <c r="P243" s="315">
        <f t="shared" si="72"/>
        <v>473</v>
      </c>
      <c r="Q243" s="315">
        <f t="shared" si="73"/>
        <v>169</v>
      </c>
      <c r="R243" s="315">
        <f t="shared" si="74"/>
        <v>668</v>
      </c>
      <c r="S243" s="315">
        <f t="shared" si="75"/>
        <v>155</v>
      </c>
      <c r="T243" s="315">
        <f t="shared" si="76"/>
        <v>571</v>
      </c>
      <c r="U243" s="315">
        <f t="shared" si="77"/>
        <v>2036</v>
      </c>
      <c r="V243" s="591">
        <f t="shared" si="71"/>
        <v>698</v>
      </c>
      <c r="W243" s="598">
        <f t="shared" si="78"/>
        <v>698</v>
      </c>
    </row>
    <row r="244" spans="2:23" ht="15">
      <c r="B244" s="1043" t="s">
        <v>1058</v>
      </c>
      <c r="C244" s="1043" t="s">
        <v>1059</v>
      </c>
      <c r="D244" s="1046"/>
      <c r="E244" s="1043" t="s">
        <v>706</v>
      </c>
      <c r="F244" s="1032">
        <f>VALUE(Data.Sard!G242)</f>
        <v>0.76872924362458417</v>
      </c>
      <c r="G244" s="844">
        <f>Data.Sard!J242</f>
        <v>8.5993058026971578</v>
      </c>
      <c r="H244" s="1043">
        <v>79879486</v>
      </c>
      <c r="I244" s="264"/>
      <c r="J244" s="904">
        <f>Data.Sard!N242</f>
        <v>5.7609670455654668E-2</v>
      </c>
      <c r="K244" s="595">
        <f t="shared" si="66"/>
        <v>18</v>
      </c>
      <c r="L244" s="591">
        <f t="shared" si="67"/>
        <v>72</v>
      </c>
      <c r="M244" s="591">
        <f t="shared" si="68"/>
        <v>249</v>
      </c>
      <c r="N244" s="591">
        <f t="shared" si="69"/>
        <v>285</v>
      </c>
      <c r="O244" s="591">
        <f t="shared" si="70"/>
        <v>254</v>
      </c>
      <c r="P244" s="315">
        <f t="shared" si="72"/>
        <v>91</v>
      </c>
      <c r="Q244" s="315">
        <f t="shared" si="73"/>
        <v>138</v>
      </c>
      <c r="R244" s="315">
        <f t="shared" si="74"/>
        <v>240</v>
      </c>
      <c r="S244" s="315">
        <f t="shared" si="75"/>
        <v>182</v>
      </c>
      <c r="T244" s="315">
        <f t="shared" si="76"/>
        <v>238</v>
      </c>
      <c r="U244" s="315">
        <f t="shared" si="77"/>
        <v>889</v>
      </c>
      <c r="V244" s="591">
        <f t="shared" si="71"/>
        <v>182</v>
      </c>
      <c r="W244" s="598">
        <f t="shared" si="78"/>
        <v>182</v>
      </c>
    </row>
    <row r="245" spans="2:23" ht="15">
      <c r="B245" s="1043" t="s">
        <v>1060</v>
      </c>
      <c r="C245" s="1043" t="s">
        <v>1061</v>
      </c>
      <c r="D245" s="1046"/>
      <c r="E245" s="1043" t="s">
        <v>584</v>
      </c>
      <c r="F245" s="1032">
        <f>VALUE(Data.Sard!G243)</f>
        <v>3.0035956244064774E-2</v>
      </c>
      <c r="G245" s="844">
        <f>Data.Sard!J243</f>
        <v>-0.26905904508095552</v>
      </c>
      <c r="H245" s="1043">
        <v>35948928</v>
      </c>
      <c r="I245" s="264">
        <f>VALUE(Data.Sard!L243)</f>
        <v>-0.29599999999999999</v>
      </c>
      <c r="J245" s="904">
        <f>Data.Sard!N243</f>
        <v>5.8614255332196948E-2</v>
      </c>
      <c r="K245" s="595">
        <f t="shared" si="66"/>
        <v>372</v>
      </c>
      <c r="L245" s="591">
        <f t="shared" si="67"/>
        <v>459</v>
      </c>
      <c r="M245" s="591">
        <f t="shared" si="68"/>
        <v>332</v>
      </c>
      <c r="N245" s="591">
        <f t="shared" si="69"/>
        <v>357</v>
      </c>
      <c r="O245" s="591">
        <f t="shared" si="70"/>
        <v>248</v>
      </c>
      <c r="P245" s="315">
        <f t="shared" si="72"/>
        <v>263</v>
      </c>
      <c r="Q245" s="315">
        <f t="shared" si="73"/>
        <v>249</v>
      </c>
      <c r="R245" s="315">
        <f t="shared" si="74"/>
        <v>323</v>
      </c>
      <c r="S245" s="315">
        <f t="shared" si="75"/>
        <v>254</v>
      </c>
      <c r="T245" s="315">
        <f t="shared" si="76"/>
        <v>232</v>
      </c>
      <c r="U245" s="315">
        <f t="shared" si="77"/>
        <v>1321</v>
      </c>
      <c r="V245" s="591">
        <f t="shared" si="71"/>
        <v>373</v>
      </c>
      <c r="W245" s="598">
        <f t="shared" si="78"/>
        <v>373</v>
      </c>
    </row>
    <row r="246" spans="2:23" ht="15">
      <c r="B246" s="1043" t="s">
        <v>1062</v>
      </c>
      <c r="C246" s="1043" t="s">
        <v>1063</v>
      </c>
      <c r="D246" s="1046"/>
      <c r="E246" s="1043" t="s">
        <v>556</v>
      </c>
      <c r="F246" s="1032">
        <f>VALUE(Data.Sard!G244)</f>
        <v>-8.889246541828022E-2</v>
      </c>
      <c r="G246" s="844">
        <f>Data.Sard!J244</f>
        <v>-6.8954494422334642</v>
      </c>
      <c r="H246" s="1043">
        <v>39798356</v>
      </c>
      <c r="I246" s="264">
        <f>VALUE(Data.Sard!L244)</f>
        <v>0.34100000000000003</v>
      </c>
      <c r="J246" s="904">
        <f>Data.Sard!N244</f>
        <v>-0.21985679113629181</v>
      </c>
      <c r="K246" s="595">
        <f t="shared" si="66"/>
        <v>517</v>
      </c>
      <c r="L246" s="591">
        <f t="shared" si="67"/>
        <v>552</v>
      </c>
      <c r="M246" s="591">
        <f t="shared" si="68"/>
        <v>320</v>
      </c>
      <c r="N246" s="591">
        <f t="shared" si="69"/>
        <v>202</v>
      </c>
      <c r="O246" s="591">
        <f t="shared" si="70"/>
        <v>539</v>
      </c>
      <c r="P246" s="315">
        <f t="shared" si="72"/>
        <v>408</v>
      </c>
      <c r="Q246" s="315">
        <f t="shared" si="73"/>
        <v>342</v>
      </c>
      <c r="R246" s="315">
        <f t="shared" si="74"/>
        <v>311</v>
      </c>
      <c r="S246" s="315">
        <f t="shared" si="75"/>
        <v>99</v>
      </c>
      <c r="T246" s="315">
        <f t="shared" si="76"/>
        <v>523</v>
      </c>
      <c r="U246" s="315">
        <f t="shared" si="77"/>
        <v>1683</v>
      </c>
      <c r="V246" s="591">
        <f t="shared" si="71"/>
        <v>580</v>
      </c>
      <c r="W246" s="598">
        <f t="shared" si="78"/>
        <v>580</v>
      </c>
    </row>
    <row r="247" spans="2:23" ht="15">
      <c r="B247" s="996" t="s">
        <v>1064</v>
      </c>
      <c r="C247" s="1043" t="s">
        <v>1065</v>
      </c>
      <c r="D247" s="1046"/>
      <c r="E247" s="1043" t="s">
        <v>579</v>
      </c>
      <c r="F247" s="1032">
        <f>VALUE(Data.Sard!G245)</f>
        <v>-0.28170741181763803</v>
      </c>
      <c r="G247" s="844">
        <f>Data.Sard!J245</f>
        <v>0.35403025979049196</v>
      </c>
      <c r="H247" s="1043">
        <v>38800633</v>
      </c>
      <c r="I247" s="264">
        <f>VALUE(Data.Sard!L245)</f>
        <v>5.2999999999999999E-2</v>
      </c>
      <c r="J247" s="904">
        <f>Data.Sard!N245</f>
        <v>-4.6556964708726778E-2</v>
      </c>
      <c r="K247" s="595">
        <f t="shared" si="66"/>
        <v>555</v>
      </c>
      <c r="L247" s="591">
        <f t="shared" si="67"/>
        <v>349</v>
      </c>
      <c r="M247" s="591">
        <f t="shared" si="68"/>
        <v>324</v>
      </c>
      <c r="N247" s="591">
        <f t="shared" si="69"/>
        <v>275</v>
      </c>
      <c r="O247" s="591">
        <f t="shared" si="70"/>
        <v>473</v>
      </c>
      <c r="P247" s="315">
        <f t="shared" si="72"/>
        <v>446</v>
      </c>
      <c r="Q247" s="315">
        <f t="shared" si="73"/>
        <v>139</v>
      </c>
      <c r="R247" s="315">
        <f t="shared" si="74"/>
        <v>315</v>
      </c>
      <c r="S247" s="315">
        <f t="shared" si="75"/>
        <v>172</v>
      </c>
      <c r="T247" s="315">
        <f t="shared" si="76"/>
        <v>457</v>
      </c>
      <c r="U247" s="315">
        <f t="shared" si="77"/>
        <v>1529</v>
      </c>
      <c r="V247" s="591">
        <f t="shared" si="71"/>
        <v>479</v>
      </c>
      <c r="W247" s="598">
        <f t="shared" si="78"/>
        <v>479</v>
      </c>
    </row>
    <row r="248" spans="2:23" ht="15">
      <c r="B248" s="996" t="s">
        <v>1066</v>
      </c>
      <c r="C248" s="1043" t="s">
        <v>1067</v>
      </c>
      <c r="D248" s="1046"/>
      <c r="E248" s="1043" t="s">
        <v>706</v>
      </c>
      <c r="F248" s="1032">
        <f>VALUE(Data.Sard!G246)</f>
        <v>0.25506916180708389</v>
      </c>
      <c r="G248" s="844">
        <f>Data.Sard!J246</f>
        <v>2.9154010964927197</v>
      </c>
      <c r="H248" s="1043">
        <v>2913218404</v>
      </c>
      <c r="I248" s="264"/>
      <c r="J248" s="904">
        <f>Data.Sard!N246</f>
        <v>0.14910283293190804</v>
      </c>
      <c r="K248" s="595">
        <f t="shared" si="66"/>
        <v>79</v>
      </c>
      <c r="L248" s="591">
        <f t="shared" si="67"/>
        <v>187</v>
      </c>
      <c r="M248" s="591">
        <f t="shared" si="68"/>
        <v>34</v>
      </c>
      <c r="N248" s="591">
        <f t="shared" si="69"/>
        <v>285</v>
      </c>
      <c r="O248" s="591">
        <f t="shared" si="70"/>
        <v>95</v>
      </c>
      <c r="P248" s="315">
        <f t="shared" si="72"/>
        <v>30</v>
      </c>
      <c r="Q248" s="315">
        <f t="shared" si="73"/>
        <v>23</v>
      </c>
      <c r="R248" s="315">
        <f t="shared" si="74"/>
        <v>25</v>
      </c>
      <c r="S248" s="315">
        <f t="shared" si="75"/>
        <v>182</v>
      </c>
      <c r="T248" s="315">
        <f t="shared" si="76"/>
        <v>79</v>
      </c>
      <c r="U248" s="315">
        <f t="shared" si="77"/>
        <v>339</v>
      </c>
      <c r="V248" s="591">
        <f t="shared" si="71"/>
        <v>7</v>
      </c>
      <c r="W248" s="598">
        <f t="shared" si="78"/>
        <v>7</v>
      </c>
    </row>
    <row r="249" spans="2:23" ht="15">
      <c r="B249" s="1043" t="s">
        <v>1068</v>
      </c>
      <c r="C249" s="1043" t="s">
        <v>1069</v>
      </c>
      <c r="D249" s="1046"/>
      <c r="E249" s="1043" t="s">
        <v>1043</v>
      </c>
      <c r="F249" s="1032">
        <f>VALUE(Data.Sard!G247)</f>
        <v>9.0901275860439563E-3</v>
      </c>
      <c r="G249" s="844">
        <f>Data.Sard!J247</f>
        <v>13.109929825708294</v>
      </c>
      <c r="H249" s="1043">
        <v>4843603</v>
      </c>
      <c r="I249" s="264">
        <f>VALUE(Data.Sard!L247)</f>
        <v>0.17799999999999999</v>
      </c>
      <c r="J249" s="904">
        <f>Data.Sard!N247</f>
        <v>1.596858689883637E-2</v>
      </c>
      <c r="K249" s="595">
        <f t="shared" si="66"/>
        <v>423</v>
      </c>
      <c r="L249" s="591">
        <f t="shared" si="67"/>
        <v>49</v>
      </c>
      <c r="M249" s="591">
        <f t="shared" si="68"/>
        <v>527</v>
      </c>
      <c r="N249" s="591">
        <f t="shared" si="69"/>
        <v>243</v>
      </c>
      <c r="O249" s="591">
        <f t="shared" si="70"/>
        <v>375</v>
      </c>
      <c r="P249" s="315">
        <f t="shared" si="72"/>
        <v>314</v>
      </c>
      <c r="Q249" s="315">
        <f t="shared" si="73"/>
        <v>161</v>
      </c>
      <c r="R249" s="315">
        <f t="shared" si="74"/>
        <v>518</v>
      </c>
      <c r="S249" s="315">
        <f t="shared" si="75"/>
        <v>140</v>
      </c>
      <c r="T249" s="315">
        <f t="shared" si="76"/>
        <v>359</v>
      </c>
      <c r="U249" s="315">
        <f t="shared" si="77"/>
        <v>1492</v>
      </c>
      <c r="V249" s="591">
        <f t="shared" si="71"/>
        <v>461</v>
      </c>
      <c r="W249" s="598">
        <f t="shared" si="78"/>
        <v>461</v>
      </c>
    </row>
    <row r="250" spans="2:23" ht="15">
      <c r="B250" s="1043" t="s">
        <v>1070</v>
      </c>
      <c r="C250" s="1043" t="s">
        <v>1071</v>
      </c>
      <c r="D250" s="1046"/>
      <c r="E250" s="1043" t="s">
        <v>1043</v>
      </c>
      <c r="F250" s="1032">
        <f>VALUE(Data.Sard!G248)</f>
        <v>0.12209147648344026</v>
      </c>
      <c r="G250" s="844">
        <f>Data.Sard!J248</f>
        <v>-3.8090627804682522</v>
      </c>
      <c r="H250" s="1043">
        <v>6679844</v>
      </c>
      <c r="I250" s="264">
        <f>VALUE(Data.Sard!L248)</f>
        <v>-1.7430000000000001</v>
      </c>
      <c r="J250" s="904">
        <f>Data.Sard!N248</f>
        <v>0.30184382750891708</v>
      </c>
      <c r="K250" s="595">
        <f t="shared" si="66"/>
        <v>192</v>
      </c>
      <c r="L250" s="591">
        <f t="shared" si="67"/>
        <v>526</v>
      </c>
      <c r="M250" s="591">
        <f t="shared" si="68"/>
        <v>506</v>
      </c>
      <c r="N250" s="591">
        <f t="shared" si="69"/>
        <v>476</v>
      </c>
      <c r="O250" s="591">
        <f t="shared" si="70"/>
        <v>15</v>
      </c>
      <c r="P250" s="315">
        <f t="shared" si="72"/>
        <v>83</v>
      </c>
      <c r="Q250" s="315">
        <f t="shared" si="73"/>
        <v>316</v>
      </c>
      <c r="R250" s="315">
        <f t="shared" si="74"/>
        <v>497</v>
      </c>
      <c r="S250" s="315">
        <f t="shared" si="75"/>
        <v>373</v>
      </c>
      <c r="T250" s="315">
        <f t="shared" si="76"/>
        <v>1</v>
      </c>
      <c r="U250" s="315">
        <f t="shared" si="77"/>
        <v>1270</v>
      </c>
      <c r="V250" s="591">
        <f t="shared" si="71"/>
        <v>346</v>
      </c>
      <c r="W250" s="598">
        <f t="shared" si="78"/>
        <v>346</v>
      </c>
    </row>
    <row r="251" spans="2:23" ht="15">
      <c r="B251" s="1043" t="s">
        <v>1072</v>
      </c>
      <c r="C251" s="1043" t="s">
        <v>1073</v>
      </c>
      <c r="D251" s="1046"/>
      <c r="E251" s="1043" t="s">
        <v>584</v>
      </c>
      <c r="F251" s="1032">
        <f>VALUE(Data.Sard!G249)</f>
        <v>-7.1073297205523286E-2</v>
      </c>
      <c r="G251" s="844">
        <f>Data.Sard!J249</f>
        <v>-31.200124060173049</v>
      </c>
      <c r="H251" s="1043">
        <v>218414635</v>
      </c>
      <c r="I251" s="264">
        <f>VALUE(Data.Sard!L249)</f>
        <v>-0.26</v>
      </c>
      <c r="J251" s="904">
        <f>Data.Sard!N249</f>
        <v>-0.15429997481213675</v>
      </c>
      <c r="K251" s="595">
        <f t="shared" si="66"/>
        <v>501</v>
      </c>
      <c r="L251" s="591">
        <f t="shared" si="67"/>
        <v>587</v>
      </c>
      <c r="M251" s="591">
        <f t="shared" si="68"/>
        <v>166</v>
      </c>
      <c r="N251" s="591">
        <f t="shared" si="69"/>
        <v>350</v>
      </c>
      <c r="O251" s="591">
        <f t="shared" si="70"/>
        <v>523</v>
      </c>
      <c r="P251" s="315">
        <f t="shared" si="72"/>
        <v>392</v>
      </c>
      <c r="Q251" s="315">
        <f t="shared" si="73"/>
        <v>377</v>
      </c>
      <c r="R251" s="315">
        <f t="shared" si="74"/>
        <v>157</v>
      </c>
      <c r="S251" s="315">
        <f t="shared" si="75"/>
        <v>247</v>
      </c>
      <c r="T251" s="315">
        <f t="shared" si="76"/>
        <v>507</v>
      </c>
      <c r="U251" s="315">
        <f t="shared" si="77"/>
        <v>1680</v>
      </c>
      <c r="V251" s="591">
        <f t="shared" si="71"/>
        <v>577</v>
      </c>
      <c r="W251" s="598">
        <f t="shared" si="78"/>
        <v>577</v>
      </c>
    </row>
    <row r="252" spans="2:23" ht="15">
      <c r="B252" s="1043" t="s">
        <v>1074</v>
      </c>
      <c r="C252" s="1043" t="s">
        <v>1075</v>
      </c>
      <c r="D252" s="1046"/>
      <c r="E252" s="1043" t="s">
        <v>584</v>
      </c>
      <c r="F252" s="1032">
        <f>VALUE(Data.Sard!G250)</f>
        <v>-0.19258859053762623</v>
      </c>
      <c r="G252" s="844">
        <f>Data.Sard!J250</f>
        <v>-0.52831427988666946</v>
      </c>
      <c r="H252" s="1043">
        <v>70971173</v>
      </c>
      <c r="I252" s="264">
        <f>VALUE(Data.Sard!L250)</f>
        <v>0.52700000000000002</v>
      </c>
      <c r="J252" s="904">
        <f>Data.Sard!N250</f>
        <v>-8.2401792606791244E-2</v>
      </c>
      <c r="K252" s="595">
        <f t="shared" si="66"/>
        <v>546</v>
      </c>
      <c r="L252" s="591">
        <f t="shared" si="67"/>
        <v>468</v>
      </c>
      <c r="M252" s="591">
        <f t="shared" si="68"/>
        <v>259</v>
      </c>
      <c r="N252" s="591">
        <f t="shared" si="69"/>
        <v>170</v>
      </c>
      <c r="O252" s="591">
        <f t="shared" si="70"/>
        <v>497</v>
      </c>
      <c r="P252" s="315">
        <f t="shared" si="72"/>
        <v>437</v>
      </c>
      <c r="Q252" s="315">
        <f t="shared" si="73"/>
        <v>258</v>
      </c>
      <c r="R252" s="315">
        <f t="shared" si="74"/>
        <v>250</v>
      </c>
      <c r="S252" s="315">
        <f t="shared" si="75"/>
        <v>67</v>
      </c>
      <c r="T252" s="315">
        <f t="shared" si="76"/>
        <v>481</v>
      </c>
      <c r="U252" s="315">
        <f t="shared" si="77"/>
        <v>1493</v>
      </c>
      <c r="V252" s="591">
        <f t="shared" si="71"/>
        <v>462</v>
      </c>
      <c r="W252" s="598">
        <f t="shared" si="78"/>
        <v>462</v>
      </c>
    </row>
    <row r="253" spans="2:23" ht="15">
      <c r="B253" s="1043" t="s">
        <v>1076</v>
      </c>
      <c r="C253" s="1043" t="s">
        <v>1077</v>
      </c>
      <c r="D253" s="1046"/>
      <c r="E253" s="1043" t="s">
        <v>611</v>
      </c>
      <c r="F253" s="1032">
        <f>VALUE(Data.Sard!G251)</f>
        <v>-0.48220269111437719</v>
      </c>
      <c r="G253" s="844">
        <f>Data.Sard!J251</f>
        <v>-0.9790698269153264</v>
      </c>
      <c r="H253" s="1043">
        <v>27254393</v>
      </c>
      <c r="I253" s="264">
        <f>VALUE(Data.Sard!L251)</f>
        <v>0.69699999999999995</v>
      </c>
      <c r="J253" s="904">
        <f>Data.Sard!N251</f>
        <v>-7.3304033159354104E-2</v>
      </c>
      <c r="K253" s="595">
        <f t="shared" si="66"/>
        <v>573</v>
      </c>
      <c r="L253" s="591">
        <f t="shared" si="67"/>
        <v>482</v>
      </c>
      <c r="M253" s="591">
        <f t="shared" si="68"/>
        <v>354</v>
      </c>
      <c r="N253" s="591">
        <f t="shared" si="69"/>
        <v>141</v>
      </c>
      <c r="O253" s="591">
        <f t="shared" si="70"/>
        <v>494</v>
      </c>
      <c r="P253" s="315">
        <f t="shared" si="72"/>
        <v>464</v>
      </c>
      <c r="Q253" s="315">
        <f t="shared" si="73"/>
        <v>272</v>
      </c>
      <c r="R253" s="315">
        <f t="shared" si="74"/>
        <v>345</v>
      </c>
      <c r="S253" s="315">
        <f t="shared" si="75"/>
        <v>38</v>
      </c>
      <c r="T253" s="315">
        <f t="shared" si="76"/>
        <v>478</v>
      </c>
      <c r="U253" s="315">
        <f t="shared" si="77"/>
        <v>1597</v>
      </c>
      <c r="V253" s="591">
        <f t="shared" si="71"/>
        <v>526</v>
      </c>
      <c r="W253" s="598">
        <f t="shared" si="78"/>
        <v>526</v>
      </c>
    </row>
    <row r="254" spans="2:23" ht="15">
      <c r="B254" s="1043" t="s">
        <v>1078</v>
      </c>
      <c r="C254" s="1043" t="s">
        <v>1079</v>
      </c>
      <c r="D254" s="1046"/>
      <c r="E254" s="1043" t="s">
        <v>556</v>
      </c>
      <c r="F254" s="1032">
        <f>VALUE(Data.Sard!G252)</f>
        <v>-8.8845284537937497E-2</v>
      </c>
      <c r="G254" s="844">
        <f>Data.Sard!J252</f>
        <v>1.5071566825223806</v>
      </c>
      <c r="H254" s="1043">
        <v>10326772</v>
      </c>
      <c r="I254" s="264">
        <f>VALUE(Data.Sard!L252)</f>
        <v>-0.58599999999999997</v>
      </c>
      <c r="J254" s="904">
        <f>Data.Sard!N252</f>
        <v>-0.19443831664780151</v>
      </c>
      <c r="K254" s="595">
        <f t="shared" si="66"/>
        <v>516</v>
      </c>
      <c r="L254" s="591">
        <f t="shared" si="67"/>
        <v>271</v>
      </c>
      <c r="M254" s="591">
        <f t="shared" si="68"/>
        <v>468</v>
      </c>
      <c r="N254" s="591">
        <f t="shared" si="69"/>
        <v>397</v>
      </c>
      <c r="O254" s="591">
        <f t="shared" si="70"/>
        <v>534</v>
      </c>
      <c r="P254" s="315">
        <f t="shared" si="72"/>
        <v>407</v>
      </c>
      <c r="Q254" s="315">
        <f t="shared" si="73"/>
        <v>61</v>
      </c>
      <c r="R254" s="315">
        <f t="shared" si="74"/>
        <v>459</v>
      </c>
      <c r="S254" s="315">
        <f t="shared" si="75"/>
        <v>294</v>
      </c>
      <c r="T254" s="315">
        <f t="shared" si="76"/>
        <v>518</v>
      </c>
      <c r="U254" s="315">
        <f t="shared" si="77"/>
        <v>1739</v>
      </c>
      <c r="V254" s="591">
        <f t="shared" si="71"/>
        <v>609</v>
      </c>
      <c r="W254" s="598">
        <f t="shared" si="78"/>
        <v>609</v>
      </c>
    </row>
    <row r="255" spans="2:23" ht="15">
      <c r="B255" s="996" t="s">
        <v>1080</v>
      </c>
      <c r="C255" s="1043" t="s">
        <v>1081</v>
      </c>
      <c r="D255" s="1046"/>
      <c r="E255" s="1043" t="s">
        <v>546</v>
      </c>
      <c r="F255" s="1032">
        <f>VALUE(Data.Sard!G253)</f>
        <v>0.18468969935401111</v>
      </c>
      <c r="G255" s="844">
        <f>Data.Sard!J253</f>
        <v>-2.1266801075268815</v>
      </c>
      <c r="H255" s="1043">
        <v>317506925</v>
      </c>
      <c r="I255" s="264">
        <f>VALUE(Data.Sard!L253)</f>
        <v>0.95099999999999996</v>
      </c>
      <c r="J255" s="904">
        <f>Data.Sard!N253</f>
        <v>0.10394072532763005</v>
      </c>
      <c r="K255" s="595">
        <f t="shared" si="66"/>
        <v>120</v>
      </c>
      <c r="L255" s="591">
        <f t="shared" si="67"/>
        <v>508</v>
      </c>
      <c r="M255" s="591">
        <f t="shared" si="68"/>
        <v>131</v>
      </c>
      <c r="N255" s="591">
        <f t="shared" si="69"/>
        <v>108</v>
      </c>
      <c r="O255" s="591">
        <f t="shared" si="70"/>
        <v>146</v>
      </c>
      <c r="P255" s="315">
        <f t="shared" si="72"/>
        <v>11</v>
      </c>
      <c r="Q255" s="315">
        <f t="shared" si="73"/>
        <v>298</v>
      </c>
      <c r="R255" s="315">
        <f t="shared" si="74"/>
        <v>122</v>
      </c>
      <c r="S255" s="315">
        <f t="shared" si="75"/>
        <v>5</v>
      </c>
      <c r="T255" s="315">
        <f t="shared" si="76"/>
        <v>130</v>
      </c>
      <c r="U255" s="315">
        <f t="shared" si="77"/>
        <v>566</v>
      </c>
      <c r="V255" s="591">
        <f t="shared" si="71"/>
        <v>57</v>
      </c>
      <c r="W255" s="598">
        <f t="shared" si="78"/>
        <v>57</v>
      </c>
    </row>
    <row r="256" spans="2:23" ht="15">
      <c r="B256" s="996" t="s">
        <v>1082</v>
      </c>
      <c r="C256" s="1043" t="s">
        <v>1083</v>
      </c>
      <c r="D256" s="1046"/>
      <c r="E256" s="1043" t="s">
        <v>570</v>
      </c>
      <c r="F256" s="1032">
        <f>VALUE(Data.Sard!G254)</f>
        <v>3.6821672354948807</v>
      </c>
      <c r="G256" s="844">
        <f>Data.Sard!J254</f>
        <v>0</v>
      </c>
      <c r="H256" s="1043">
        <v>26</v>
      </c>
      <c r="I256" s="264">
        <f>VALUE(Data.Sard!L254)</f>
        <v>-4.1000000000000002E-2</v>
      </c>
      <c r="J256" s="904">
        <f>Data.Sard!N254</f>
        <v>-0.17632420902950588</v>
      </c>
      <c r="K256" s="595">
        <f t="shared" si="66"/>
        <v>5</v>
      </c>
      <c r="L256" s="591">
        <f t="shared" si="67"/>
        <v>397</v>
      </c>
      <c r="M256" s="591">
        <f t="shared" si="68"/>
        <v>675</v>
      </c>
      <c r="N256" s="591">
        <f t="shared" si="69"/>
        <v>299</v>
      </c>
      <c r="O256" s="591">
        <f t="shared" si="70"/>
        <v>528</v>
      </c>
      <c r="P256" s="315">
        <f t="shared" si="72"/>
        <v>104</v>
      </c>
      <c r="Q256" s="315">
        <f t="shared" si="73"/>
        <v>187</v>
      </c>
      <c r="R256" s="315">
        <f t="shared" si="74"/>
        <v>666</v>
      </c>
      <c r="S256" s="315">
        <f t="shared" si="75"/>
        <v>196</v>
      </c>
      <c r="T256" s="315">
        <f t="shared" si="76"/>
        <v>512</v>
      </c>
      <c r="U256" s="315">
        <f t="shared" si="77"/>
        <v>1665</v>
      </c>
      <c r="V256" s="591">
        <f t="shared" si="71"/>
        <v>568</v>
      </c>
      <c r="W256" s="598">
        <f t="shared" si="78"/>
        <v>568</v>
      </c>
    </row>
    <row r="257" spans="2:23" ht="15">
      <c r="B257" s="996" t="s">
        <v>1084</v>
      </c>
      <c r="C257" s="1043" t="s">
        <v>1085</v>
      </c>
      <c r="D257" s="1046"/>
      <c r="E257" s="1043" t="s">
        <v>603</v>
      </c>
      <c r="F257" s="1032">
        <f>VALUE(Data.Sard!G255)</f>
        <v>5.6340762336430816E-2</v>
      </c>
      <c r="G257" s="844">
        <f>Data.Sard!J255</f>
        <v>-7.0000000242242066</v>
      </c>
      <c r="H257" s="1043">
        <v>2520385</v>
      </c>
      <c r="I257" s="264"/>
      <c r="J257" s="904">
        <f>Data.Sard!N255</f>
        <v>-0.3289227287224632</v>
      </c>
      <c r="K257" s="595">
        <f t="shared" si="66"/>
        <v>317</v>
      </c>
      <c r="L257" s="591">
        <f t="shared" si="67"/>
        <v>553</v>
      </c>
      <c r="M257" s="591">
        <f t="shared" si="68"/>
        <v>572</v>
      </c>
      <c r="N257" s="591">
        <f t="shared" si="69"/>
        <v>285</v>
      </c>
      <c r="O257" s="591">
        <f t="shared" si="70"/>
        <v>550</v>
      </c>
      <c r="P257" s="315">
        <f t="shared" si="72"/>
        <v>208</v>
      </c>
      <c r="Q257" s="315">
        <f t="shared" si="73"/>
        <v>343</v>
      </c>
      <c r="R257" s="315">
        <f t="shared" si="74"/>
        <v>563</v>
      </c>
      <c r="S257" s="315">
        <f t="shared" si="75"/>
        <v>182</v>
      </c>
      <c r="T257" s="315">
        <f t="shared" si="76"/>
        <v>534</v>
      </c>
      <c r="U257" s="315">
        <f t="shared" si="77"/>
        <v>1830</v>
      </c>
      <c r="V257" s="591">
        <f t="shared" si="71"/>
        <v>653</v>
      </c>
      <c r="W257" s="598">
        <f t="shared" si="78"/>
        <v>653</v>
      </c>
    </row>
    <row r="258" spans="2:23" ht="15">
      <c r="B258" s="1043" t="s">
        <v>1086</v>
      </c>
      <c r="C258" s="1043" t="s">
        <v>1087</v>
      </c>
      <c r="D258" s="1046"/>
      <c r="E258" s="1043" t="s">
        <v>903</v>
      </c>
      <c r="F258" s="1032">
        <f>VALUE(Data.Sard!G256)</f>
        <v>-1.1122790151148982</v>
      </c>
      <c r="G258" s="844">
        <f>Data.Sard!J256</f>
        <v>0</v>
      </c>
      <c r="H258" s="1043">
        <v>2785240</v>
      </c>
      <c r="I258" s="264"/>
      <c r="J258" s="904">
        <f>Data.Sard!N256</f>
        <v>-4.8192949730175218E-2</v>
      </c>
      <c r="K258" s="595">
        <f t="shared" si="66"/>
        <v>596</v>
      </c>
      <c r="L258" s="591">
        <f t="shared" si="67"/>
        <v>397</v>
      </c>
      <c r="M258" s="591">
        <f t="shared" si="68"/>
        <v>568</v>
      </c>
      <c r="N258" s="591">
        <f t="shared" si="69"/>
        <v>285</v>
      </c>
      <c r="O258" s="591">
        <f t="shared" si="70"/>
        <v>474</v>
      </c>
      <c r="P258" s="315">
        <f t="shared" si="72"/>
        <v>487</v>
      </c>
      <c r="Q258" s="315">
        <f t="shared" si="73"/>
        <v>187</v>
      </c>
      <c r="R258" s="315">
        <f t="shared" si="74"/>
        <v>559</v>
      </c>
      <c r="S258" s="315">
        <f t="shared" si="75"/>
        <v>182</v>
      </c>
      <c r="T258" s="315">
        <f t="shared" si="76"/>
        <v>458</v>
      </c>
      <c r="U258" s="315">
        <f t="shared" si="77"/>
        <v>1873</v>
      </c>
      <c r="V258" s="591">
        <f t="shared" si="71"/>
        <v>677</v>
      </c>
      <c r="W258" s="598">
        <f t="shared" si="78"/>
        <v>677</v>
      </c>
    </row>
    <row r="259" spans="2:23" ht="15">
      <c r="B259" s="1043" t="s">
        <v>1088</v>
      </c>
      <c r="C259" s="1043" t="s">
        <v>1089</v>
      </c>
      <c r="D259" s="1046"/>
      <c r="E259" s="1043" t="s">
        <v>556</v>
      </c>
      <c r="F259" s="1032">
        <f>VALUE(Data.Sard!G257)</f>
        <v>2.6465274797982268E-2</v>
      </c>
      <c r="G259" s="844">
        <f>Data.Sard!J257</f>
        <v>1.5247621441429546</v>
      </c>
      <c r="H259" s="1043">
        <v>19756961</v>
      </c>
      <c r="I259" s="264">
        <f>VALUE(Data.Sard!L257)</f>
        <v>-1.1180000000000001</v>
      </c>
      <c r="J259" s="904">
        <f>Data.Sard!N257</f>
        <v>2.1978318593704804E-2</v>
      </c>
      <c r="K259" s="595">
        <f t="shared" si="66"/>
        <v>380</v>
      </c>
      <c r="L259" s="591">
        <f t="shared" si="67"/>
        <v>268</v>
      </c>
      <c r="M259" s="591">
        <f t="shared" si="68"/>
        <v>395</v>
      </c>
      <c r="N259" s="591">
        <f t="shared" si="69"/>
        <v>443</v>
      </c>
      <c r="O259" s="591">
        <f t="shared" si="70"/>
        <v>360</v>
      </c>
      <c r="P259" s="315">
        <f t="shared" si="72"/>
        <v>271</v>
      </c>
      <c r="Q259" s="315">
        <f t="shared" si="73"/>
        <v>58</v>
      </c>
      <c r="R259" s="315">
        <f t="shared" si="74"/>
        <v>386</v>
      </c>
      <c r="S259" s="315">
        <f t="shared" si="75"/>
        <v>340</v>
      </c>
      <c r="T259" s="315">
        <f t="shared" si="76"/>
        <v>344</v>
      </c>
      <c r="U259" s="315">
        <f t="shared" si="77"/>
        <v>1399</v>
      </c>
      <c r="V259" s="591">
        <f t="shared" si="71"/>
        <v>408</v>
      </c>
      <c r="W259" s="598">
        <f t="shared" si="78"/>
        <v>408</v>
      </c>
    </row>
    <row r="260" spans="2:23" ht="15">
      <c r="B260" s="1043" t="s">
        <v>1090</v>
      </c>
      <c r="C260" s="1043" t="s">
        <v>1091</v>
      </c>
      <c r="D260" s="1046"/>
      <c r="E260" s="1043" t="s">
        <v>556</v>
      </c>
      <c r="F260" s="1032">
        <f>VALUE(Data.Sard!G258)</f>
        <v>0.10294979158911748</v>
      </c>
      <c r="G260" s="844">
        <f>Data.Sard!J258</f>
        <v>2.0545356375078878</v>
      </c>
      <c r="H260" s="1043">
        <v>86796915</v>
      </c>
      <c r="I260" s="264">
        <f>VALUE(Data.Sard!L258)</f>
        <v>0.751</v>
      </c>
      <c r="J260" s="904">
        <f>Data.Sard!N258</f>
        <v>7.8921703460570522E-2</v>
      </c>
      <c r="K260" s="595">
        <f t="shared" si="66"/>
        <v>228</v>
      </c>
      <c r="L260" s="591">
        <f t="shared" si="67"/>
        <v>241</v>
      </c>
      <c r="M260" s="591">
        <f t="shared" si="68"/>
        <v>245</v>
      </c>
      <c r="N260" s="591">
        <f t="shared" si="69"/>
        <v>134</v>
      </c>
      <c r="O260" s="591">
        <f t="shared" si="70"/>
        <v>194</v>
      </c>
      <c r="P260" s="315">
        <f t="shared" si="72"/>
        <v>119</v>
      </c>
      <c r="Q260" s="315">
        <f t="shared" si="73"/>
        <v>31</v>
      </c>
      <c r="R260" s="315">
        <f t="shared" si="74"/>
        <v>236</v>
      </c>
      <c r="S260" s="315">
        <f t="shared" si="75"/>
        <v>31</v>
      </c>
      <c r="T260" s="315">
        <f t="shared" si="76"/>
        <v>178</v>
      </c>
      <c r="U260" s="315">
        <f t="shared" si="77"/>
        <v>595</v>
      </c>
      <c r="V260" s="591">
        <f t="shared" si="71"/>
        <v>68</v>
      </c>
      <c r="W260" s="598">
        <f t="shared" si="78"/>
        <v>68</v>
      </c>
    </row>
    <row r="261" spans="2:23" ht="15">
      <c r="B261" s="1043" t="s">
        <v>1092</v>
      </c>
      <c r="C261" s="1043" t="s">
        <v>1093</v>
      </c>
      <c r="D261" s="1046"/>
      <c r="E261" s="1043" t="s">
        <v>611</v>
      </c>
      <c r="F261" s="1032">
        <f>VALUE(Data.Sard!G259)</f>
        <v>0.13295542384739667</v>
      </c>
      <c r="G261" s="844">
        <f>Data.Sard!J259</f>
        <v>0.32396807755961887</v>
      </c>
      <c r="H261" s="1043">
        <v>53147144</v>
      </c>
      <c r="I261" s="264">
        <f>VALUE(Data.Sard!L259)</f>
        <v>0.1</v>
      </c>
      <c r="J261" s="904">
        <f>Data.Sard!N259</f>
        <v>3.0769230764725652E-2</v>
      </c>
      <c r="K261" s="595">
        <f t="shared" ref="K261:K324" si="79">IFERROR(_xlfn.RANK.EQ(F261,F$3:F$706),"N/A")</f>
        <v>180</v>
      </c>
      <c r="L261" s="591">
        <f t="shared" ref="L261:L324" si="80">IFERROR(_xlfn.RANK.EQ(G261,G$3:G$706),"N/A")</f>
        <v>351</v>
      </c>
      <c r="M261" s="591">
        <f t="shared" ref="M261:M324" si="81">IFERROR(_xlfn.RANK.EQ(H261,H$3:H$706),"N/A")</f>
        <v>286</v>
      </c>
      <c r="N261" s="591">
        <f t="shared" ref="N261:N324" si="82">IFERROR(_xlfn.RANK.EQ(I261,I$3:I$706),"N/A")</f>
        <v>260</v>
      </c>
      <c r="O261" s="591">
        <f t="shared" ref="O261:O324" si="83">IFERROR(_xlfn.RANK.EQ(J261,J$3:J$706),"N/A")</f>
        <v>332</v>
      </c>
      <c r="P261" s="315">
        <f t="shared" si="72"/>
        <v>71</v>
      </c>
      <c r="Q261" s="315">
        <f t="shared" si="73"/>
        <v>141</v>
      </c>
      <c r="R261" s="315">
        <f t="shared" si="74"/>
        <v>277</v>
      </c>
      <c r="S261" s="315">
        <f t="shared" si="75"/>
        <v>157</v>
      </c>
      <c r="T261" s="315">
        <f t="shared" si="76"/>
        <v>316</v>
      </c>
      <c r="U261" s="315">
        <f t="shared" si="77"/>
        <v>962</v>
      </c>
      <c r="V261" s="591">
        <f t="shared" ref="V261:V324" si="84">_xlfn.RANK.EQ(U261,$U$4:$U$706,1)</f>
        <v>219</v>
      </c>
      <c r="W261" s="598">
        <f t="shared" si="78"/>
        <v>219</v>
      </c>
    </row>
    <row r="262" spans="2:23" ht="15">
      <c r="B262" s="996" t="s">
        <v>1094</v>
      </c>
      <c r="C262" s="1043" t="s">
        <v>1095</v>
      </c>
      <c r="D262" s="1046"/>
      <c r="E262" s="1043" t="s">
        <v>696</v>
      </c>
      <c r="F262" s="1032">
        <f>VALUE(Data.Sard!G260)</f>
        <v>0.3054658576664171</v>
      </c>
      <c r="G262" s="844">
        <f>Data.Sard!J260</f>
        <v>0.59317065171385375</v>
      </c>
      <c r="H262" s="1043">
        <v>218504282</v>
      </c>
      <c r="I262" s="264">
        <f>VALUE(Data.Sard!L260)</f>
        <v>0.83799999999999997</v>
      </c>
      <c r="J262" s="904">
        <f>Data.Sard!N260</f>
        <v>0.25241243028356819</v>
      </c>
      <c r="K262" s="595">
        <f t="shared" si="79"/>
        <v>56</v>
      </c>
      <c r="L262" s="591">
        <f t="shared" si="80"/>
        <v>323</v>
      </c>
      <c r="M262" s="591">
        <f t="shared" si="81"/>
        <v>165</v>
      </c>
      <c r="N262" s="591">
        <f t="shared" si="82"/>
        <v>123</v>
      </c>
      <c r="O262" s="591">
        <f t="shared" si="83"/>
        <v>25</v>
      </c>
      <c r="P262" s="315">
        <f t="shared" si="72"/>
        <v>53</v>
      </c>
      <c r="Q262" s="315">
        <f t="shared" si="73"/>
        <v>113</v>
      </c>
      <c r="R262" s="315">
        <f t="shared" si="74"/>
        <v>156</v>
      </c>
      <c r="S262" s="315">
        <f t="shared" si="75"/>
        <v>20</v>
      </c>
      <c r="T262" s="315">
        <f t="shared" si="76"/>
        <v>9</v>
      </c>
      <c r="U262" s="315">
        <f t="shared" si="77"/>
        <v>351</v>
      </c>
      <c r="V262" s="591">
        <f t="shared" si="84"/>
        <v>9</v>
      </c>
      <c r="W262" s="598">
        <f t="shared" si="78"/>
        <v>9</v>
      </c>
    </row>
    <row r="263" spans="2:23" ht="15">
      <c r="B263" s="1043" t="s">
        <v>1096</v>
      </c>
      <c r="C263" s="1043" t="s">
        <v>1097</v>
      </c>
      <c r="D263" s="1046"/>
      <c r="E263" s="1043" t="s">
        <v>706</v>
      </c>
      <c r="F263" s="1032">
        <f>VALUE(Data.Sard!G261)</f>
        <v>0.2214719807885413</v>
      </c>
      <c r="G263" s="844">
        <f>Data.Sard!J261</f>
        <v>1.034093236019175</v>
      </c>
      <c r="H263" s="1043">
        <v>103566813</v>
      </c>
      <c r="I263" s="264">
        <f>VALUE(Data.Sard!L261)</f>
        <v>2.0419999999999998</v>
      </c>
      <c r="J263" s="904">
        <f>Data.Sard!N261</f>
        <v>0.15234866505001565</v>
      </c>
      <c r="K263" s="595">
        <f t="shared" si="79"/>
        <v>90</v>
      </c>
      <c r="L263" s="591">
        <f t="shared" si="80"/>
        <v>292</v>
      </c>
      <c r="M263" s="591">
        <f t="shared" si="81"/>
        <v>223</v>
      </c>
      <c r="N263" s="591">
        <f t="shared" si="82"/>
        <v>48</v>
      </c>
      <c r="O263" s="591">
        <f t="shared" si="83"/>
        <v>92</v>
      </c>
      <c r="P263" s="315">
        <f t="shared" si="72"/>
        <v>19</v>
      </c>
      <c r="Q263" s="315">
        <f t="shared" si="73"/>
        <v>82</v>
      </c>
      <c r="R263" s="315">
        <f t="shared" si="74"/>
        <v>214</v>
      </c>
      <c r="S263" s="315">
        <f t="shared" si="75"/>
        <v>55</v>
      </c>
      <c r="T263" s="315">
        <f t="shared" si="76"/>
        <v>76</v>
      </c>
      <c r="U263" s="315">
        <f t="shared" si="77"/>
        <v>446</v>
      </c>
      <c r="V263" s="591">
        <f t="shared" si="84"/>
        <v>25</v>
      </c>
      <c r="W263" s="598">
        <f t="shared" si="78"/>
        <v>25</v>
      </c>
    </row>
    <row r="264" spans="2:23" ht="15">
      <c r="B264" s="996" t="s">
        <v>1098</v>
      </c>
      <c r="C264" s="1043" t="s">
        <v>1099</v>
      </c>
      <c r="D264" s="1046"/>
      <c r="E264" s="1043" t="s">
        <v>736</v>
      </c>
      <c r="F264" s="1032">
        <f>VALUE(Data.Sard!G262)</f>
        <v>0.12810335797462361</v>
      </c>
      <c r="G264" s="844">
        <f>Data.Sard!J262</f>
        <v>-9.3524908748919753</v>
      </c>
      <c r="H264" s="1043">
        <v>1938347414</v>
      </c>
      <c r="I264" s="264">
        <f>VALUE(Data.Sard!L262)</f>
        <v>0.13</v>
      </c>
      <c r="J264" s="904">
        <f>Data.Sard!N262</f>
        <v>0.17139105228169238</v>
      </c>
      <c r="K264" s="595">
        <f t="shared" si="79"/>
        <v>187</v>
      </c>
      <c r="L264" s="591">
        <f t="shared" si="80"/>
        <v>561</v>
      </c>
      <c r="M264" s="591">
        <f t="shared" si="81"/>
        <v>40</v>
      </c>
      <c r="N264" s="591">
        <f t="shared" si="82"/>
        <v>254</v>
      </c>
      <c r="O264" s="591">
        <f t="shared" si="83"/>
        <v>71</v>
      </c>
      <c r="P264" s="315">
        <f t="shared" si="72"/>
        <v>78</v>
      </c>
      <c r="Q264" s="315">
        <f t="shared" si="73"/>
        <v>351</v>
      </c>
      <c r="R264" s="315">
        <f t="shared" si="74"/>
        <v>31</v>
      </c>
      <c r="S264" s="315">
        <f t="shared" si="75"/>
        <v>151</v>
      </c>
      <c r="T264" s="315">
        <f t="shared" si="76"/>
        <v>55</v>
      </c>
      <c r="U264" s="315">
        <f t="shared" si="77"/>
        <v>666</v>
      </c>
      <c r="V264" s="591">
        <f t="shared" si="84"/>
        <v>100</v>
      </c>
      <c r="W264" s="598">
        <f t="shared" si="78"/>
        <v>100</v>
      </c>
    </row>
    <row r="265" spans="2:23" ht="15">
      <c r="B265" s="1043" t="s">
        <v>1100</v>
      </c>
      <c r="C265" s="1043" t="s">
        <v>1101</v>
      </c>
      <c r="D265" s="1046"/>
      <c r="E265" s="1043" t="s">
        <v>584</v>
      </c>
      <c r="F265" s="1032">
        <f>VALUE(Data.Sard!G263)</f>
        <v>6.1663747376580334E-2</v>
      </c>
      <c r="G265" s="844">
        <f>Data.Sard!J263</f>
        <v>0.71421490962244227</v>
      </c>
      <c r="H265" s="1043">
        <v>15825254</v>
      </c>
      <c r="I265" s="264">
        <f>VALUE(Data.Sard!L263)</f>
        <v>1.73</v>
      </c>
      <c r="J265" s="904">
        <f>Data.Sard!N263</f>
        <v>-1.8969641201532991E-2</v>
      </c>
      <c r="K265" s="595">
        <f t="shared" si="79"/>
        <v>301</v>
      </c>
      <c r="L265" s="591">
        <f t="shared" si="80"/>
        <v>315</v>
      </c>
      <c r="M265" s="591">
        <f t="shared" si="81"/>
        <v>425</v>
      </c>
      <c r="N265" s="591">
        <f t="shared" si="82"/>
        <v>54</v>
      </c>
      <c r="O265" s="591">
        <f t="shared" si="83"/>
        <v>449</v>
      </c>
      <c r="P265" s="315">
        <f t="shared" si="72"/>
        <v>192</v>
      </c>
      <c r="Q265" s="315">
        <f t="shared" si="73"/>
        <v>105</v>
      </c>
      <c r="R265" s="315">
        <f t="shared" si="74"/>
        <v>416</v>
      </c>
      <c r="S265" s="315">
        <f t="shared" si="75"/>
        <v>49</v>
      </c>
      <c r="T265" s="315">
        <f t="shared" si="76"/>
        <v>433</v>
      </c>
      <c r="U265" s="315">
        <f t="shared" si="77"/>
        <v>1195</v>
      </c>
      <c r="V265" s="591">
        <f t="shared" si="84"/>
        <v>306</v>
      </c>
      <c r="W265" s="598">
        <f t="shared" si="78"/>
        <v>306</v>
      </c>
    </row>
    <row r="266" spans="2:23" ht="15">
      <c r="B266" s="996" t="s">
        <v>1102</v>
      </c>
      <c r="C266" s="1043" t="s">
        <v>1103</v>
      </c>
      <c r="D266" s="1046"/>
      <c r="E266" s="1043" t="s">
        <v>736</v>
      </c>
      <c r="F266" s="1032">
        <f>VALUE(Data.Sard!G264)</f>
        <v>0.13057765712262187</v>
      </c>
      <c r="G266" s="844">
        <f>Data.Sard!J264</f>
        <v>26.215887555274794</v>
      </c>
      <c r="H266" s="1043">
        <v>6558104852</v>
      </c>
      <c r="I266" s="264">
        <f>VALUE(Data.Sard!L264)</f>
        <v>1.671</v>
      </c>
      <c r="J266" s="904">
        <f>Data.Sard!N264</f>
        <v>0.12895947825501008</v>
      </c>
      <c r="K266" s="595">
        <f t="shared" si="79"/>
        <v>182</v>
      </c>
      <c r="L266" s="591">
        <f t="shared" si="80"/>
        <v>19</v>
      </c>
      <c r="M266" s="591">
        <f t="shared" si="81"/>
        <v>18</v>
      </c>
      <c r="N266" s="591">
        <f t="shared" si="82"/>
        <v>56</v>
      </c>
      <c r="O266" s="591">
        <f t="shared" si="83"/>
        <v>110</v>
      </c>
      <c r="P266" s="315">
        <f t="shared" si="72"/>
        <v>73</v>
      </c>
      <c r="Q266" s="315">
        <f t="shared" si="73"/>
        <v>191</v>
      </c>
      <c r="R266" s="315">
        <f t="shared" si="74"/>
        <v>9</v>
      </c>
      <c r="S266" s="315">
        <f t="shared" si="75"/>
        <v>47</v>
      </c>
      <c r="T266" s="315">
        <f t="shared" si="76"/>
        <v>94</v>
      </c>
      <c r="U266" s="315">
        <f t="shared" si="77"/>
        <v>414</v>
      </c>
      <c r="V266" s="591">
        <f t="shared" si="84"/>
        <v>19</v>
      </c>
      <c r="W266" s="598">
        <f t="shared" si="78"/>
        <v>19</v>
      </c>
    </row>
    <row r="267" spans="2:23" ht="15">
      <c r="B267" s="996" t="s">
        <v>1104</v>
      </c>
      <c r="C267" s="1043" t="s">
        <v>1105</v>
      </c>
      <c r="D267" s="1046"/>
      <c r="E267" s="1043" t="s">
        <v>546</v>
      </c>
      <c r="F267" s="1032">
        <f>VALUE(Data.Sard!G265)</f>
        <v>-3.1038244487800785E-2</v>
      </c>
      <c r="G267" s="844">
        <f>Data.Sard!J265</f>
        <v>8.0966353475977133</v>
      </c>
      <c r="H267" s="1043">
        <v>24551019</v>
      </c>
      <c r="I267" s="264">
        <f>VALUE(Data.Sard!L265)</f>
        <v>-0.40699999999999997</v>
      </c>
      <c r="J267" s="904">
        <f>Data.Sard!N265</f>
        <v>9.0894214178463863E-3</v>
      </c>
      <c r="K267" s="595">
        <f t="shared" si="79"/>
        <v>473</v>
      </c>
      <c r="L267" s="591">
        <f t="shared" si="80"/>
        <v>78</v>
      </c>
      <c r="M267" s="591">
        <f t="shared" si="81"/>
        <v>368</v>
      </c>
      <c r="N267" s="591">
        <f t="shared" si="82"/>
        <v>372</v>
      </c>
      <c r="O267" s="591">
        <f t="shared" si="83"/>
        <v>396</v>
      </c>
      <c r="P267" s="315">
        <f t="shared" si="72"/>
        <v>364</v>
      </c>
      <c r="Q267" s="315">
        <f t="shared" si="73"/>
        <v>132</v>
      </c>
      <c r="R267" s="315">
        <f t="shared" si="74"/>
        <v>359</v>
      </c>
      <c r="S267" s="315">
        <f t="shared" si="75"/>
        <v>269</v>
      </c>
      <c r="T267" s="315">
        <f t="shared" si="76"/>
        <v>380</v>
      </c>
      <c r="U267" s="315">
        <f t="shared" si="77"/>
        <v>1504</v>
      </c>
      <c r="V267" s="591">
        <f t="shared" si="84"/>
        <v>468</v>
      </c>
      <c r="W267" s="598">
        <f t="shared" si="78"/>
        <v>468</v>
      </c>
    </row>
    <row r="268" spans="2:23" ht="15">
      <c r="B268" s="996" t="s">
        <v>1106</v>
      </c>
      <c r="C268" s="1043" t="s">
        <v>1107</v>
      </c>
      <c r="D268" s="1046"/>
      <c r="E268" s="1043" t="s">
        <v>736</v>
      </c>
      <c r="F268" s="1032">
        <f>VALUE(Data.Sard!G266)</f>
        <v>5.0473628930268064E-2</v>
      </c>
      <c r="G268" s="844"/>
      <c r="H268" s="1043">
        <v>564290898</v>
      </c>
      <c r="I268" s="264">
        <f>VALUE(Data.Sard!L266)</f>
        <v>-3.141</v>
      </c>
      <c r="J268" s="904">
        <f>Data.Sard!N266</f>
        <v>0.10819495524681845</v>
      </c>
      <c r="K268" s="595">
        <f t="shared" si="79"/>
        <v>329</v>
      </c>
      <c r="L268" s="591">
        <f t="shared" si="80"/>
        <v>397</v>
      </c>
      <c r="M268" s="591">
        <f t="shared" si="81"/>
        <v>91</v>
      </c>
      <c r="N268" s="591">
        <f t="shared" si="82"/>
        <v>503</v>
      </c>
      <c r="O268" s="591">
        <f t="shared" si="83"/>
        <v>137</v>
      </c>
      <c r="P268" s="315">
        <f t="shared" si="72"/>
        <v>220</v>
      </c>
      <c r="Q268" s="315">
        <f t="shared" si="73"/>
        <v>187</v>
      </c>
      <c r="R268" s="315">
        <f t="shared" si="74"/>
        <v>82</v>
      </c>
      <c r="S268" s="315">
        <f t="shared" si="75"/>
        <v>400</v>
      </c>
      <c r="T268" s="315">
        <f t="shared" si="76"/>
        <v>121</v>
      </c>
      <c r="U268" s="315">
        <f t="shared" si="77"/>
        <v>1010</v>
      </c>
      <c r="V268" s="591">
        <f t="shared" si="84"/>
        <v>241</v>
      </c>
      <c r="W268" s="598">
        <f t="shared" si="78"/>
        <v>241</v>
      </c>
    </row>
    <row r="269" spans="2:23" ht="15">
      <c r="B269" s="996" t="s">
        <v>1108</v>
      </c>
      <c r="C269" s="1043" t="s">
        <v>1109</v>
      </c>
      <c r="D269" s="1046"/>
      <c r="E269" s="1043" t="s">
        <v>570</v>
      </c>
      <c r="F269" s="1032"/>
      <c r="G269" s="844">
        <f>Data.Sard!J267</f>
        <v>5.8088686732011077</v>
      </c>
      <c r="H269" s="1043">
        <v>9109</v>
      </c>
      <c r="I269" s="264">
        <f>VALUE(Data.Sard!L267)</f>
        <v>0.27900000000000003</v>
      </c>
      <c r="J269" s="904"/>
      <c r="K269" s="595">
        <f t="shared" si="79"/>
        <v>442</v>
      </c>
      <c r="L269" s="591">
        <f t="shared" si="80"/>
        <v>106</v>
      </c>
      <c r="M269" s="591">
        <f t="shared" si="81"/>
        <v>661</v>
      </c>
      <c r="N269" s="591">
        <f t="shared" si="82"/>
        <v>216</v>
      </c>
      <c r="O269" s="591">
        <f t="shared" si="83"/>
        <v>419</v>
      </c>
      <c r="P269" s="315">
        <f t="shared" si="72"/>
        <v>333</v>
      </c>
      <c r="Q269" s="315">
        <f t="shared" si="73"/>
        <v>104</v>
      </c>
      <c r="R269" s="315">
        <f t="shared" si="74"/>
        <v>652</v>
      </c>
      <c r="S269" s="315">
        <f t="shared" si="75"/>
        <v>113</v>
      </c>
      <c r="T269" s="315">
        <f t="shared" si="76"/>
        <v>403</v>
      </c>
      <c r="U269" s="315">
        <f t="shared" si="77"/>
        <v>1605</v>
      </c>
      <c r="V269" s="591">
        <f t="shared" si="84"/>
        <v>534</v>
      </c>
      <c r="W269" s="598">
        <f t="shared" si="78"/>
        <v>534</v>
      </c>
    </row>
    <row r="270" spans="2:23" ht="15">
      <c r="B270" s="1043" t="s">
        <v>1110</v>
      </c>
      <c r="C270" s="1043" t="s">
        <v>1111</v>
      </c>
      <c r="D270" s="1046"/>
      <c r="E270" s="1043" t="s">
        <v>579</v>
      </c>
      <c r="F270" s="1032">
        <f>VALUE(Data.Sard!G268)</f>
        <v>-9.8770835883386102E-2</v>
      </c>
      <c r="G270" s="844"/>
      <c r="H270" s="1043">
        <v>1287350</v>
      </c>
      <c r="I270" s="264"/>
      <c r="J270" s="904">
        <f>Data.Sard!N268</f>
        <v>0.85337095821381814</v>
      </c>
      <c r="K270" s="595">
        <f t="shared" si="79"/>
        <v>522</v>
      </c>
      <c r="L270" s="591">
        <f t="shared" si="80"/>
        <v>397</v>
      </c>
      <c r="M270" s="591">
        <f t="shared" si="81"/>
        <v>606</v>
      </c>
      <c r="N270" s="591">
        <f t="shared" si="82"/>
        <v>285</v>
      </c>
      <c r="O270" s="591">
        <f t="shared" si="83"/>
        <v>2</v>
      </c>
      <c r="P270" s="315">
        <f t="shared" si="72"/>
        <v>413</v>
      </c>
      <c r="Q270" s="315">
        <f t="shared" si="73"/>
        <v>187</v>
      </c>
      <c r="R270" s="315">
        <f t="shared" si="74"/>
        <v>597</v>
      </c>
      <c r="S270" s="315">
        <f t="shared" si="75"/>
        <v>182</v>
      </c>
      <c r="T270" s="315">
        <f t="shared" si="76"/>
        <v>14</v>
      </c>
      <c r="U270" s="315">
        <f t="shared" si="77"/>
        <v>1393</v>
      </c>
      <c r="V270" s="591">
        <f t="shared" si="84"/>
        <v>403</v>
      </c>
      <c r="W270" s="598">
        <f t="shared" si="78"/>
        <v>403</v>
      </c>
    </row>
    <row r="271" spans="2:23" ht="15">
      <c r="B271" s="996" t="s">
        <v>1112</v>
      </c>
      <c r="C271" s="1043" t="s">
        <v>1113</v>
      </c>
      <c r="D271" s="1046"/>
      <c r="E271" s="1053"/>
      <c r="F271" s="1032"/>
      <c r="G271" s="844">
        <f>Data.Sard!J269</f>
        <v>0.42614619623195527</v>
      </c>
      <c r="H271" s="1043">
        <v>28</v>
      </c>
      <c r="I271" s="264"/>
      <c r="J271" s="904"/>
      <c r="K271" s="595">
        <f t="shared" si="79"/>
        <v>442</v>
      </c>
      <c r="L271" s="591">
        <f t="shared" si="80"/>
        <v>339</v>
      </c>
      <c r="M271" s="591">
        <f t="shared" si="81"/>
        <v>673</v>
      </c>
      <c r="N271" s="591">
        <f t="shared" si="82"/>
        <v>285</v>
      </c>
      <c r="O271" s="591">
        <f t="shared" si="83"/>
        <v>419</v>
      </c>
      <c r="P271" s="315">
        <f t="shared" si="72"/>
        <v>333</v>
      </c>
      <c r="Q271" s="315">
        <f t="shared" si="73"/>
        <v>129</v>
      </c>
      <c r="R271" s="315">
        <f t="shared" si="74"/>
        <v>664</v>
      </c>
      <c r="S271" s="315">
        <f t="shared" si="75"/>
        <v>182</v>
      </c>
      <c r="T271" s="315">
        <f t="shared" si="76"/>
        <v>403</v>
      </c>
      <c r="U271" s="315">
        <f t="shared" si="77"/>
        <v>1711</v>
      </c>
      <c r="V271" s="591">
        <f t="shared" si="84"/>
        <v>591</v>
      </c>
      <c r="W271" s="598">
        <f t="shared" si="78"/>
        <v>591</v>
      </c>
    </row>
    <row r="272" spans="2:23" ht="15">
      <c r="B272" s="996" t="s">
        <v>1114</v>
      </c>
      <c r="C272" s="1043" t="s">
        <v>1115</v>
      </c>
      <c r="D272" s="1046"/>
      <c r="E272" s="1043" t="s">
        <v>988</v>
      </c>
      <c r="F272" s="1032">
        <f>VALUE(Data.Sard!G270)</f>
        <v>0.21654879906273081</v>
      </c>
      <c r="G272" s="844">
        <f>Data.Sard!J270</f>
        <v>-0.29853195263151466</v>
      </c>
      <c r="H272" s="1043">
        <v>114593329</v>
      </c>
      <c r="I272" s="264"/>
      <c r="J272" s="904">
        <f>Data.Sard!N270</f>
        <v>0.11275063321640076</v>
      </c>
      <c r="K272" s="595">
        <f t="shared" si="79"/>
        <v>95</v>
      </c>
      <c r="L272" s="591">
        <f t="shared" si="80"/>
        <v>462</v>
      </c>
      <c r="M272" s="591">
        <f t="shared" si="81"/>
        <v>216</v>
      </c>
      <c r="N272" s="591">
        <f t="shared" si="82"/>
        <v>285</v>
      </c>
      <c r="O272" s="591">
        <f t="shared" si="83"/>
        <v>127</v>
      </c>
      <c r="P272" s="315">
        <f t="shared" si="72"/>
        <v>14</v>
      </c>
      <c r="Q272" s="315">
        <f t="shared" si="73"/>
        <v>252</v>
      </c>
      <c r="R272" s="315">
        <f t="shared" si="74"/>
        <v>207</v>
      </c>
      <c r="S272" s="315">
        <f t="shared" si="75"/>
        <v>182</v>
      </c>
      <c r="T272" s="315">
        <f t="shared" si="76"/>
        <v>111</v>
      </c>
      <c r="U272" s="315">
        <f t="shared" si="77"/>
        <v>766</v>
      </c>
      <c r="V272" s="591">
        <f t="shared" si="84"/>
        <v>133</v>
      </c>
      <c r="W272" s="598">
        <f t="shared" si="78"/>
        <v>133</v>
      </c>
    </row>
    <row r="273" spans="2:23" ht="15">
      <c r="B273" s="1043" t="s">
        <v>1116</v>
      </c>
      <c r="C273" s="1043" t="s">
        <v>1117</v>
      </c>
      <c r="D273" s="1046"/>
      <c r="E273" s="1043" t="s">
        <v>556</v>
      </c>
      <c r="F273" s="1032">
        <f>VALUE(Data.Sard!G271)</f>
        <v>-0.15195871634508012</v>
      </c>
      <c r="G273" s="844">
        <f>Data.Sard!J271</f>
        <v>7.8656908618743584</v>
      </c>
      <c r="H273" s="1043">
        <v>11710378</v>
      </c>
      <c r="I273" s="264">
        <f>VALUE(Data.Sard!L271)</f>
        <v>1.968</v>
      </c>
      <c r="J273" s="904">
        <f>Data.Sard!N271</f>
        <v>-0.11518413552678726</v>
      </c>
      <c r="K273" s="595">
        <f t="shared" si="79"/>
        <v>536</v>
      </c>
      <c r="L273" s="591">
        <f t="shared" si="80"/>
        <v>82</v>
      </c>
      <c r="M273" s="591">
        <f t="shared" si="81"/>
        <v>452</v>
      </c>
      <c r="N273" s="591">
        <f t="shared" si="82"/>
        <v>49</v>
      </c>
      <c r="O273" s="591">
        <f t="shared" si="83"/>
        <v>513</v>
      </c>
      <c r="P273" s="315">
        <f t="shared" si="72"/>
        <v>427</v>
      </c>
      <c r="Q273" s="315">
        <f t="shared" si="73"/>
        <v>128</v>
      </c>
      <c r="R273" s="315">
        <f t="shared" si="74"/>
        <v>443</v>
      </c>
      <c r="S273" s="315">
        <f t="shared" si="75"/>
        <v>54</v>
      </c>
      <c r="T273" s="315">
        <f t="shared" si="76"/>
        <v>497</v>
      </c>
      <c r="U273" s="315">
        <f t="shared" si="77"/>
        <v>1549</v>
      </c>
      <c r="V273" s="591">
        <f t="shared" si="84"/>
        <v>489</v>
      </c>
      <c r="W273" s="598">
        <f t="shared" si="78"/>
        <v>489</v>
      </c>
    </row>
    <row r="274" spans="2:23" ht="15">
      <c r="B274" s="1043" t="s">
        <v>1118</v>
      </c>
      <c r="C274" s="1043" t="s">
        <v>1119</v>
      </c>
      <c r="D274" s="1046"/>
      <c r="E274" s="1043" t="s">
        <v>603</v>
      </c>
      <c r="F274" s="1032">
        <f>VALUE(Data.Sard!G272)</f>
        <v>4.3901758253315618E-2</v>
      </c>
      <c r="G274" s="844">
        <f>Data.Sard!J272</f>
        <v>0.7949315527646359</v>
      </c>
      <c r="H274" s="1043">
        <v>38196927</v>
      </c>
      <c r="I274" s="264">
        <f>VALUE(Data.Sard!L272)</f>
        <v>-1.0960000000000001</v>
      </c>
      <c r="J274" s="904">
        <f>Data.Sard!N272</f>
        <v>5.6149406067178567E-2</v>
      </c>
      <c r="K274" s="595">
        <f t="shared" si="79"/>
        <v>346</v>
      </c>
      <c r="L274" s="591">
        <f t="shared" si="80"/>
        <v>309</v>
      </c>
      <c r="M274" s="591">
        <f t="shared" si="81"/>
        <v>325</v>
      </c>
      <c r="N274" s="591">
        <f t="shared" si="82"/>
        <v>441</v>
      </c>
      <c r="O274" s="591">
        <f t="shared" si="83"/>
        <v>259</v>
      </c>
      <c r="P274" s="315">
        <f t="shared" si="72"/>
        <v>237</v>
      </c>
      <c r="Q274" s="315">
        <f t="shared" si="73"/>
        <v>99</v>
      </c>
      <c r="R274" s="315">
        <f t="shared" si="74"/>
        <v>316</v>
      </c>
      <c r="S274" s="315">
        <f t="shared" si="75"/>
        <v>338</v>
      </c>
      <c r="T274" s="315">
        <f t="shared" si="76"/>
        <v>243</v>
      </c>
      <c r="U274" s="315">
        <f t="shared" si="77"/>
        <v>1233</v>
      </c>
      <c r="V274" s="591">
        <f t="shared" si="84"/>
        <v>326</v>
      </c>
      <c r="W274" s="598">
        <f t="shared" si="78"/>
        <v>326</v>
      </c>
    </row>
    <row r="275" spans="2:23" ht="15">
      <c r="B275" s="1043" t="s">
        <v>1120</v>
      </c>
      <c r="C275" s="1043" t="s">
        <v>1121</v>
      </c>
      <c r="D275" s="1046"/>
      <c r="E275" s="1043" t="s">
        <v>603</v>
      </c>
      <c r="F275" s="1032">
        <f>VALUE(Data.Sard!G273)</f>
        <v>0.19516633658885396</v>
      </c>
      <c r="G275" s="844"/>
      <c r="H275" s="1043">
        <v>613299123</v>
      </c>
      <c r="I275" s="264">
        <f>VALUE(Data.Sard!L273)</f>
        <v>-1.661</v>
      </c>
      <c r="J275" s="904">
        <f>Data.Sard!N273</f>
        <v>8.7411244327055021E-2</v>
      </c>
      <c r="K275" s="595">
        <f t="shared" si="79"/>
        <v>112</v>
      </c>
      <c r="L275" s="591">
        <f t="shared" si="80"/>
        <v>397</v>
      </c>
      <c r="M275" s="591">
        <f t="shared" si="81"/>
        <v>86</v>
      </c>
      <c r="N275" s="591">
        <f t="shared" si="82"/>
        <v>474</v>
      </c>
      <c r="O275" s="591">
        <f t="shared" si="83"/>
        <v>185</v>
      </c>
      <c r="P275" s="315">
        <f t="shared" si="72"/>
        <v>3</v>
      </c>
      <c r="Q275" s="315">
        <f t="shared" si="73"/>
        <v>187</v>
      </c>
      <c r="R275" s="315">
        <f t="shared" si="74"/>
        <v>77</v>
      </c>
      <c r="S275" s="315">
        <f t="shared" si="75"/>
        <v>371</v>
      </c>
      <c r="T275" s="315">
        <f t="shared" si="76"/>
        <v>169</v>
      </c>
      <c r="U275" s="315">
        <f t="shared" si="77"/>
        <v>807</v>
      </c>
      <c r="V275" s="591">
        <f t="shared" si="84"/>
        <v>148</v>
      </c>
      <c r="W275" s="598">
        <f t="shared" si="78"/>
        <v>148</v>
      </c>
    </row>
    <row r="276" spans="2:23" ht="15">
      <c r="B276" s="996" t="s">
        <v>1122</v>
      </c>
      <c r="C276" s="1043" t="s">
        <v>1123</v>
      </c>
      <c r="D276" s="1046"/>
      <c r="E276" s="1043" t="s">
        <v>570</v>
      </c>
      <c r="F276" s="1032"/>
      <c r="G276" s="844">
        <f>Data.Sard!J274</f>
        <v>-0.4202215434615324</v>
      </c>
      <c r="H276" s="1043">
        <v>63</v>
      </c>
      <c r="I276" s="264">
        <f>VALUE(Data.Sard!L274)</f>
        <v>-0.251</v>
      </c>
      <c r="J276" s="904"/>
      <c r="K276" s="595">
        <f t="shared" si="79"/>
        <v>442</v>
      </c>
      <c r="L276" s="591">
        <f t="shared" si="80"/>
        <v>467</v>
      </c>
      <c r="M276" s="591">
        <f t="shared" si="81"/>
        <v>669</v>
      </c>
      <c r="N276" s="591">
        <f t="shared" si="82"/>
        <v>349</v>
      </c>
      <c r="O276" s="591">
        <f t="shared" si="83"/>
        <v>419</v>
      </c>
      <c r="P276" s="315">
        <f t="shared" si="72"/>
        <v>333</v>
      </c>
      <c r="Q276" s="315">
        <f t="shared" si="73"/>
        <v>257</v>
      </c>
      <c r="R276" s="315">
        <f t="shared" si="74"/>
        <v>660</v>
      </c>
      <c r="S276" s="315">
        <f t="shared" si="75"/>
        <v>246</v>
      </c>
      <c r="T276" s="315">
        <f t="shared" si="76"/>
        <v>403</v>
      </c>
      <c r="U276" s="315">
        <f t="shared" si="77"/>
        <v>1899</v>
      </c>
      <c r="V276" s="591">
        <f t="shared" si="84"/>
        <v>682</v>
      </c>
      <c r="W276" s="598">
        <f t="shared" si="78"/>
        <v>682</v>
      </c>
    </row>
    <row r="277" spans="2:23" ht="15">
      <c r="B277" s="996" t="s">
        <v>1124</v>
      </c>
      <c r="C277" s="1043" t="s">
        <v>1125</v>
      </c>
      <c r="D277" s="1046"/>
      <c r="E277" s="1043" t="s">
        <v>603</v>
      </c>
      <c r="F277" s="1032">
        <f>VALUE(Data.Sard!G275)</f>
        <v>-0.17034807491329387</v>
      </c>
      <c r="G277" s="844">
        <f>Data.Sard!J275</f>
        <v>0.52033508628027314</v>
      </c>
      <c r="H277" s="1043">
        <v>1992451</v>
      </c>
      <c r="I277" s="264"/>
      <c r="J277" s="904">
        <f>Data.Sard!N275</f>
        <v>-0.57540013169666981</v>
      </c>
      <c r="K277" s="595">
        <f t="shared" si="79"/>
        <v>540</v>
      </c>
      <c r="L277" s="591">
        <f t="shared" si="80"/>
        <v>327</v>
      </c>
      <c r="M277" s="591">
        <f t="shared" si="81"/>
        <v>587</v>
      </c>
      <c r="N277" s="591">
        <f t="shared" si="82"/>
        <v>285</v>
      </c>
      <c r="O277" s="591">
        <f t="shared" si="83"/>
        <v>562</v>
      </c>
      <c r="P277" s="315">
        <f t="shared" si="72"/>
        <v>431</v>
      </c>
      <c r="Q277" s="315">
        <f t="shared" si="73"/>
        <v>117</v>
      </c>
      <c r="R277" s="315">
        <f t="shared" si="74"/>
        <v>578</v>
      </c>
      <c r="S277" s="315">
        <f t="shared" si="75"/>
        <v>182</v>
      </c>
      <c r="T277" s="315">
        <f t="shared" si="76"/>
        <v>546</v>
      </c>
      <c r="U277" s="315">
        <f t="shared" si="77"/>
        <v>1854</v>
      </c>
      <c r="V277" s="591">
        <f t="shared" si="84"/>
        <v>665</v>
      </c>
      <c r="W277" s="598">
        <f t="shared" si="78"/>
        <v>665</v>
      </c>
    </row>
    <row r="278" spans="2:23" ht="15">
      <c r="B278" s="1043" t="s">
        <v>1126</v>
      </c>
      <c r="C278" s="1043" t="s">
        <v>1127</v>
      </c>
      <c r="D278" s="1046"/>
      <c r="E278" s="1043" t="s">
        <v>603</v>
      </c>
      <c r="F278" s="1032">
        <f>VALUE(Data.Sard!G276)</f>
        <v>0.1271555885992478</v>
      </c>
      <c r="G278" s="844">
        <f>Data.Sard!J276</f>
        <v>-3.8927170593123464</v>
      </c>
      <c r="H278" s="1043">
        <v>20647196</v>
      </c>
      <c r="I278" s="264">
        <f>VALUE(Data.Sard!L276)</f>
        <v>0.33300000000000002</v>
      </c>
      <c r="J278" s="904">
        <f>Data.Sard!N276</f>
        <v>7.1958587676550043E-2</v>
      </c>
      <c r="K278" s="595">
        <f t="shared" si="79"/>
        <v>189</v>
      </c>
      <c r="L278" s="591">
        <f t="shared" si="80"/>
        <v>531</v>
      </c>
      <c r="M278" s="591">
        <f t="shared" si="81"/>
        <v>390</v>
      </c>
      <c r="N278" s="591">
        <f t="shared" si="82"/>
        <v>204</v>
      </c>
      <c r="O278" s="591">
        <f t="shared" si="83"/>
        <v>215</v>
      </c>
      <c r="P278" s="315">
        <f t="shared" si="72"/>
        <v>80</v>
      </c>
      <c r="Q278" s="315">
        <f t="shared" si="73"/>
        <v>321</v>
      </c>
      <c r="R278" s="315">
        <f t="shared" si="74"/>
        <v>381</v>
      </c>
      <c r="S278" s="315">
        <f t="shared" si="75"/>
        <v>101</v>
      </c>
      <c r="T278" s="315">
        <f t="shared" si="76"/>
        <v>199</v>
      </c>
      <c r="U278" s="315">
        <f t="shared" si="77"/>
        <v>1082</v>
      </c>
      <c r="V278" s="591">
        <f t="shared" si="84"/>
        <v>270</v>
      </c>
      <c r="W278" s="598">
        <f t="shared" si="78"/>
        <v>270</v>
      </c>
    </row>
    <row r="279" spans="2:23" ht="15">
      <c r="B279" s="996" t="s">
        <v>1128</v>
      </c>
      <c r="C279" s="1043" t="s">
        <v>1129</v>
      </c>
      <c r="D279" s="1046"/>
      <c r="E279" s="1043" t="s">
        <v>648</v>
      </c>
      <c r="F279" s="1032">
        <f>VALUE(Data.Sard!G277)</f>
        <v>-5.4360159338416467E-2</v>
      </c>
      <c r="G279" s="844">
        <f>Data.Sard!J277</f>
        <v>9.2548049843150473</v>
      </c>
      <c r="H279" s="1043">
        <v>3723875</v>
      </c>
      <c r="I279" s="264">
        <f>VALUE(Data.Sard!L277)</f>
        <v>-0.621</v>
      </c>
      <c r="J279" s="904">
        <f>Data.Sard!N277</f>
        <v>-0.3365048591899526</v>
      </c>
      <c r="K279" s="595">
        <f t="shared" si="79"/>
        <v>492</v>
      </c>
      <c r="L279" s="591">
        <f t="shared" si="80"/>
        <v>66</v>
      </c>
      <c r="M279" s="591">
        <f t="shared" si="81"/>
        <v>549</v>
      </c>
      <c r="N279" s="591">
        <f t="shared" si="82"/>
        <v>400</v>
      </c>
      <c r="O279" s="591">
        <f t="shared" si="83"/>
        <v>551</v>
      </c>
      <c r="P279" s="315">
        <f t="shared" si="72"/>
        <v>383</v>
      </c>
      <c r="Q279" s="315">
        <f t="shared" si="73"/>
        <v>144</v>
      </c>
      <c r="R279" s="315">
        <f t="shared" si="74"/>
        <v>540</v>
      </c>
      <c r="S279" s="315">
        <f t="shared" si="75"/>
        <v>297</v>
      </c>
      <c r="T279" s="315">
        <f t="shared" si="76"/>
        <v>535</v>
      </c>
      <c r="U279" s="315">
        <f t="shared" si="77"/>
        <v>1899</v>
      </c>
      <c r="V279" s="591">
        <f t="shared" si="84"/>
        <v>682</v>
      </c>
      <c r="W279" s="598">
        <f t="shared" si="78"/>
        <v>682</v>
      </c>
    </row>
    <row r="280" spans="2:23" ht="15">
      <c r="B280" s="996" t="s">
        <v>1130</v>
      </c>
      <c r="C280" s="1043" t="s">
        <v>1131</v>
      </c>
      <c r="D280" s="1046"/>
      <c r="E280" s="1043" t="s">
        <v>603</v>
      </c>
      <c r="F280" s="1032">
        <f>VALUE(Data.Sard!G278)</f>
        <v>5.3418146733629546E-2</v>
      </c>
      <c r="G280" s="844">
        <f>Data.Sard!J278</f>
        <v>6.3934159368399586</v>
      </c>
      <c r="H280" s="1043">
        <v>7806260</v>
      </c>
      <c r="I280" s="264">
        <f>VALUE(Data.Sard!L278)</f>
        <v>1.9610000000000001</v>
      </c>
      <c r="J280" s="904">
        <f>Data.Sard!N278</f>
        <v>1.5554807617831927E-2</v>
      </c>
      <c r="K280" s="595">
        <f t="shared" si="79"/>
        <v>324</v>
      </c>
      <c r="L280" s="591">
        <f t="shared" si="80"/>
        <v>99</v>
      </c>
      <c r="M280" s="591">
        <f t="shared" si="81"/>
        <v>490</v>
      </c>
      <c r="N280" s="591">
        <f t="shared" si="82"/>
        <v>50</v>
      </c>
      <c r="O280" s="591">
        <f t="shared" si="83"/>
        <v>378</v>
      </c>
      <c r="P280" s="315">
        <f t="shared" si="72"/>
        <v>215</v>
      </c>
      <c r="Q280" s="315">
        <f t="shared" si="73"/>
        <v>111</v>
      </c>
      <c r="R280" s="315">
        <f t="shared" si="74"/>
        <v>481</v>
      </c>
      <c r="S280" s="315">
        <f t="shared" si="75"/>
        <v>53</v>
      </c>
      <c r="T280" s="315">
        <f t="shared" si="76"/>
        <v>362</v>
      </c>
      <c r="U280" s="315">
        <f t="shared" si="77"/>
        <v>1222</v>
      </c>
      <c r="V280" s="591">
        <f t="shared" si="84"/>
        <v>322</v>
      </c>
      <c r="W280" s="598">
        <f t="shared" si="78"/>
        <v>322</v>
      </c>
    </row>
    <row r="281" spans="2:23" ht="15">
      <c r="B281" s="996" t="s">
        <v>1132</v>
      </c>
      <c r="C281" s="1043" t="s">
        <v>1133</v>
      </c>
      <c r="D281" s="1046"/>
      <c r="E281" s="1043" t="s">
        <v>603</v>
      </c>
      <c r="F281" s="1032">
        <f>VALUE(Data.Sard!G279)</f>
        <v>-15.016320676797836</v>
      </c>
      <c r="G281" s="844"/>
      <c r="H281" s="1043">
        <v>13611744</v>
      </c>
      <c r="I281" s="264">
        <f>VALUE(Data.Sard!L279)</f>
        <v>1.0669999999999999</v>
      </c>
      <c r="J281" s="904">
        <f>Data.Sard!N279</f>
        <v>0.18705002009309576</v>
      </c>
      <c r="K281" s="595">
        <f t="shared" si="79"/>
        <v>607</v>
      </c>
      <c r="L281" s="591">
        <f t="shared" si="80"/>
        <v>397</v>
      </c>
      <c r="M281" s="591">
        <f t="shared" si="81"/>
        <v>437</v>
      </c>
      <c r="N281" s="591">
        <f t="shared" si="82"/>
        <v>94</v>
      </c>
      <c r="O281" s="591">
        <f t="shared" si="83"/>
        <v>59</v>
      </c>
      <c r="P281" s="315">
        <f t="shared" si="72"/>
        <v>498</v>
      </c>
      <c r="Q281" s="315">
        <f t="shared" si="73"/>
        <v>187</v>
      </c>
      <c r="R281" s="315">
        <f t="shared" si="74"/>
        <v>428</v>
      </c>
      <c r="S281" s="315">
        <f t="shared" si="75"/>
        <v>9</v>
      </c>
      <c r="T281" s="315">
        <f t="shared" si="76"/>
        <v>43</v>
      </c>
      <c r="U281" s="315">
        <f t="shared" si="77"/>
        <v>1165</v>
      </c>
      <c r="V281" s="591">
        <f t="shared" si="84"/>
        <v>296</v>
      </c>
      <c r="W281" s="598">
        <f t="shared" si="78"/>
        <v>296</v>
      </c>
    </row>
    <row r="282" spans="2:23" ht="15">
      <c r="B282" s="996" t="s">
        <v>1134</v>
      </c>
      <c r="C282" s="1043" t="s">
        <v>1135</v>
      </c>
      <c r="D282" s="1046"/>
      <c r="E282" s="1043" t="s">
        <v>603</v>
      </c>
      <c r="F282" s="1032"/>
      <c r="G282" s="844"/>
      <c r="H282" s="1043">
        <v>4147534</v>
      </c>
      <c r="I282" s="264">
        <f>VALUE(Data.Sard!L280)</f>
        <v>0.78900000000000003</v>
      </c>
      <c r="J282" s="904"/>
      <c r="K282" s="595">
        <f t="shared" si="79"/>
        <v>442</v>
      </c>
      <c r="L282" s="591">
        <f t="shared" si="80"/>
        <v>397</v>
      </c>
      <c r="M282" s="591">
        <f t="shared" si="81"/>
        <v>544</v>
      </c>
      <c r="N282" s="591">
        <f t="shared" si="82"/>
        <v>130</v>
      </c>
      <c r="O282" s="591">
        <f t="shared" si="83"/>
        <v>419</v>
      </c>
      <c r="P282" s="315">
        <f t="shared" si="72"/>
        <v>333</v>
      </c>
      <c r="Q282" s="315">
        <f t="shared" si="73"/>
        <v>187</v>
      </c>
      <c r="R282" s="315">
        <f t="shared" si="74"/>
        <v>535</v>
      </c>
      <c r="S282" s="315">
        <f t="shared" si="75"/>
        <v>27</v>
      </c>
      <c r="T282" s="315">
        <f t="shared" si="76"/>
        <v>403</v>
      </c>
      <c r="U282" s="315">
        <f t="shared" si="77"/>
        <v>1485</v>
      </c>
      <c r="V282" s="591">
        <f t="shared" si="84"/>
        <v>454</v>
      </c>
      <c r="W282" s="598">
        <f t="shared" si="78"/>
        <v>454</v>
      </c>
    </row>
    <row r="283" spans="2:23" ht="15">
      <c r="B283" s="996" t="s">
        <v>1136</v>
      </c>
      <c r="C283" s="1043" t="s">
        <v>1137</v>
      </c>
      <c r="D283" s="1046"/>
      <c r="E283" s="1043" t="s">
        <v>603</v>
      </c>
      <c r="F283" s="1032"/>
      <c r="G283" s="844"/>
      <c r="H283" s="1043">
        <v>339193</v>
      </c>
      <c r="I283" s="264"/>
      <c r="J283" s="904"/>
      <c r="K283" s="595">
        <f t="shared" si="79"/>
        <v>442</v>
      </c>
      <c r="L283" s="591">
        <f t="shared" si="80"/>
        <v>397</v>
      </c>
      <c r="M283" s="591">
        <f t="shared" si="81"/>
        <v>635</v>
      </c>
      <c r="N283" s="591">
        <f t="shared" si="82"/>
        <v>285</v>
      </c>
      <c r="O283" s="591">
        <f t="shared" si="83"/>
        <v>419</v>
      </c>
      <c r="P283" s="315">
        <f t="shared" si="72"/>
        <v>333</v>
      </c>
      <c r="Q283" s="315">
        <f t="shared" si="73"/>
        <v>187</v>
      </c>
      <c r="R283" s="315">
        <f t="shared" si="74"/>
        <v>626</v>
      </c>
      <c r="S283" s="315">
        <f t="shared" si="75"/>
        <v>182</v>
      </c>
      <c r="T283" s="315">
        <f t="shared" si="76"/>
        <v>403</v>
      </c>
      <c r="U283" s="315">
        <f t="shared" si="77"/>
        <v>1731</v>
      </c>
      <c r="V283" s="591">
        <f t="shared" si="84"/>
        <v>604</v>
      </c>
      <c r="W283" s="598">
        <f t="shared" si="78"/>
        <v>604</v>
      </c>
    </row>
    <row r="284" spans="2:23" ht="15">
      <c r="B284" s="996" t="s">
        <v>1138</v>
      </c>
      <c r="C284" s="1043" t="s">
        <v>1139</v>
      </c>
      <c r="D284" s="1046"/>
      <c r="E284" s="1043" t="s">
        <v>603</v>
      </c>
      <c r="F284" s="1032"/>
      <c r="G284" s="844"/>
      <c r="H284" s="1043">
        <v>20729</v>
      </c>
      <c r="I284" s="264"/>
      <c r="J284" s="904"/>
      <c r="K284" s="595">
        <f t="shared" si="79"/>
        <v>442</v>
      </c>
      <c r="L284" s="591">
        <f t="shared" si="80"/>
        <v>397</v>
      </c>
      <c r="M284" s="591">
        <f t="shared" si="81"/>
        <v>659</v>
      </c>
      <c r="N284" s="591">
        <f t="shared" si="82"/>
        <v>285</v>
      </c>
      <c r="O284" s="591">
        <f t="shared" si="83"/>
        <v>419</v>
      </c>
      <c r="P284" s="315">
        <f t="shared" si="72"/>
        <v>333</v>
      </c>
      <c r="Q284" s="315">
        <f t="shared" si="73"/>
        <v>187</v>
      </c>
      <c r="R284" s="315">
        <f t="shared" si="74"/>
        <v>650</v>
      </c>
      <c r="S284" s="315">
        <f t="shared" si="75"/>
        <v>182</v>
      </c>
      <c r="T284" s="315">
        <f t="shared" si="76"/>
        <v>403</v>
      </c>
      <c r="U284" s="315">
        <f t="shared" si="77"/>
        <v>1755</v>
      </c>
      <c r="V284" s="591">
        <f t="shared" si="84"/>
        <v>620</v>
      </c>
      <c r="W284" s="598">
        <f t="shared" si="78"/>
        <v>620</v>
      </c>
    </row>
    <row r="285" spans="2:23" ht="15">
      <c r="B285" s="996" t="s">
        <v>1140</v>
      </c>
      <c r="C285" s="1043" t="s">
        <v>1141</v>
      </c>
      <c r="D285" s="1046"/>
      <c r="E285" s="1043" t="s">
        <v>603</v>
      </c>
      <c r="F285" s="1032"/>
      <c r="G285" s="844">
        <f>Data.Sard!J283</f>
        <v>-3.8332321297826479</v>
      </c>
      <c r="H285" s="1043">
        <v>2040660</v>
      </c>
      <c r="I285" s="264"/>
      <c r="J285" s="904"/>
      <c r="K285" s="595">
        <f t="shared" si="79"/>
        <v>442</v>
      </c>
      <c r="L285" s="591">
        <f t="shared" si="80"/>
        <v>529</v>
      </c>
      <c r="M285" s="591">
        <f t="shared" si="81"/>
        <v>586</v>
      </c>
      <c r="N285" s="591">
        <f t="shared" si="82"/>
        <v>285</v>
      </c>
      <c r="O285" s="591">
        <f t="shared" si="83"/>
        <v>419</v>
      </c>
      <c r="P285" s="315">
        <f t="shared" si="72"/>
        <v>333</v>
      </c>
      <c r="Q285" s="315">
        <f t="shared" si="73"/>
        <v>319</v>
      </c>
      <c r="R285" s="315">
        <f t="shared" si="74"/>
        <v>577</v>
      </c>
      <c r="S285" s="315">
        <f t="shared" si="75"/>
        <v>182</v>
      </c>
      <c r="T285" s="315">
        <f t="shared" si="76"/>
        <v>403</v>
      </c>
      <c r="U285" s="315">
        <f t="shared" si="77"/>
        <v>1814</v>
      </c>
      <c r="V285" s="591">
        <f t="shared" si="84"/>
        <v>651</v>
      </c>
      <c r="W285" s="598">
        <f t="shared" si="78"/>
        <v>651</v>
      </c>
    </row>
    <row r="286" spans="2:23" ht="15">
      <c r="B286" s="1043" t="s">
        <v>1142</v>
      </c>
      <c r="C286" s="1043" t="s">
        <v>1143</v>
      </c>
      <c r="D286" s="1046"/>
      <c r="E286" s="1043" t="s">
        <v>603</v>
      </c>
      <c r="F286" s="1032">
        <f>VALUE(Data.Sard!G284)</f>
        <v>3.3568286417133408</v>
      </c>
      <c r="G286" s="844">
        <f>Data.Sard!J284</f>
        <v>2.3765040819418557</v>
      </c>
      <c r="H286" s="1043">
        <v>7616998</v>
      </c>
      <c r="I286" s="264"/>
      <c r="J286" s="904">
        <f>Data.Sard!N284</f>
        <v>-1.6520564858945093</v>
      </c>
      <c r="K286" s="595">
        <f t="shared" si="79"/>
        <v>6</v>
      </c>
      <c r="L286" s="591">
        <f t="shared" si="80"/>
        <v>215</v>
      </c>
      <c r="M286" s="591">
        <f t="shared" si="81"/>
        <v>494</v>
      </c>
      <c r="N286" s="591">
        <f t="shared" si="82"/>
        <v>285</v>
      </c>
      <c r="O286" s="591">
        <f t="shared" si="83"/>
        <v>583</v>
      </c>
      <c r="P286" s="315">
        <f t="shared" si="72"/>
        <v>103</v>
      </c>
      <c r="Q286" s="315">
        <f t="shared" si="73"/>
        <v>5</v>
      </c>
      <c r="R286" s="315">
        <f t="shared" si="74"/>
        <v>485</v>
      </c>
      <c r="S286" s="315">
        <f t="shared" si="75"/>
        <v>182</v>
      </c>
      <c r="T286" s="315">
        <f t="shared" si="76"/>
        <v>567</v>
      </c>
      <c r="U286" s="315">
        <f t="shared" si="77"/>
        <v>1342</v>
      </c>
      <c r="V286" s="591">
        <f t="shared" si="84"/>
        <v>384</v>
      </c>
      <c r="W286" s="598">
        <f t="shared" si="78"/>
        <v>384</v>
      </c>
    </row>
    <row r="287" spans="2:23" ht="15">
      <c r="B287" s="1043" t="s">
        <v>1144</v>
      </c>
      <c r="C287" s="1043" t="s">
        <v>1145</v>
      </c>
      <c r="D287" s="1046"/>
      <c r="E287" s="1043" t="s">
        <v>570</v>
      </c>
      <c r="F287" s="1032">
        <f>VALUE(Data.Sard!G285)</f>
        <v>0.19456085684419008</v>
      </c>
      <c r="G287" s="844">
        <f>Data.Sard!J285</f>
        <v>1.4419475736105154</v>
      </c>
      <c r="H287" s="1043">
        <v>2932908925</v>
      </c>
      <c r="I287" s="264">
        <f>VALUE(Data.Sard!L285)</f>
        <v>0.64300000000000002</v>
      </c>
      <c r="J287" s="904">
        <f>Data.Sard!N285</f>
        <v>4.8073932742465832E-2</v>
      </c>
      <c r="K287" s="595">
        <f t="shared" si="79"/>
        <v>113</v>
      </c>
      <c r="L287" s="591">
        <f t="shared" si="80"/>
        <v>275</v>
      </c>
      <c r="M287" s="591">
        <f t="shared" si="81"/>
        <v>33</v>
      </c>
      <c r="N287" s="591">
        <f t="shared" si="82"/>
        <v>149</v>
      </c>
      <c r="O287" s="591">
        <f t="shared" si="83"/>
        <v>284</v>
      </c>
      <c r="P287" s="315">
        <f t="shared" si="72"/>
        <v>4</v>
      </c>
      <c r="Q287" s="315">
        <f t="shared" si="73"/>
        <v>65</v>
      </c>
      <c r="R287" s="315">
        <f t="shared" si="74"/>
        <v>24</v>
      </c>
      <c r="S287" s="315">
        <f t="shared" si="75"/>
        <v>46</v>
      </c>
      <c r="T287" s="315">
        <f t="shared" si="76"/>
        <v>268</v>
      </c>
      <c r="U287" s="315">
        <f t="shared" si="77"/>
        <v>407</v>
      </c>
      <c r="V287" s="591">
        <f t="shared" si="84"/>
        <v>17</v>
      </c>
      <c r="W287" s="598">
        <f t="shared" si="78"/>
        <v>17</v>
      </c>
    </row>
    <row r="288" spans="2:23" ht="15">
      <c r="B288" s="996" t="s">
        <v>1146</v>
      </c>
      <c r="C288" s="1043" t="s">
        <v>1147</v>
      </c>
      <c r="D288" s="1046"/>
      <c r="E288" s="1043" t="s">
        <v>603</v>
      </c>
      <c r="F288" s="1032">
        <f>VALUE(Data.Sard!G286)</f>
        <v>4.0816558853822134E-2</v>
      </c>
      <c r="G288" s="844">
        <f>Data.Sard!J286</f>
        <v>10.074214585525022</v>
      </c>
      <c r="H288" s="1043">
        <v>4144425</v>
      </c>
      <c r="I288" s="264">
        <f>VALUE(Data.Sard!L286)</f>
        <v>-3.9E-2</v>
      </c>
      <c r="J288" s="904">
        <f>Data.Sard!N286</f>
        <v>2.4527027439581121E-2</v>
      </c>
      <c r="K288" s="595">
        <f t="shared" si="79"/>
        <v>352</v>
      </c>
      <c r="L288" s="591">
        <f t="shared" si="80"/>
        <v>61</v>
      </c>
      <c r="M288" s="591">
        <f t="shared" si="81"/>
        <v>545</v>
      </c>
      <c r="N288" s="591">
        <f t="shared" si="82"/>
        <v>298</v>
      </c>
      <c r="O288" s="591">
        <f t="shared" si="83"/>
        <v>353</v>
      </c>
      <c r="P288" s="315">
        <f t="shared" si="72"/>
        <v>243</v>
      </c>
      <c r="Q288" s="315">
        <f t="shared" si="73"/>
        <v>149</v>
      </c>
      <c r="R288" s="315">
        <f t="shared" si="74"/>
        <v>536</v>
      </c>
      <c r="S288" s="315">
        <f t="shared" si="75"/>
        <v>195</v>
      </c>
      <c r="T288" s="315">
        <f t="shared" si="76"/>
        <v>337</v>
      </c>
      <c r="U288" s="315">
        <f t="shared" si="77"/>
        <v>1460</v>
      </c>
      <c r="V288" s="591">
        <f t="shared" si="84"/>
        <v>442</v>
      </c>
      <c r="W288" s="598">
        <f t="shared" si="78"/>
        <v>442</v>
      </c>
    </row>
    <row r="289" spans="2:23" ht="15">
      <c r="B289" s="1043" t="s">
        <v>1148</v>
      </c>
      <c r="C289" s="1043" t="s">
        <v>1149</v>
      </c>
      <c r="D289" s="1046"/>
      <c r="E289" s="1043" t="s">
        <v>603</v>
      </c>
      <c r="F289" s="1032">
        <f>VALUE(Data.Sard!G287)</f>
        <v>3.4677117714946575E-2</v>
      </c>
      <c r="G289" s="844">
        <f>Data.Sard!J287</f>
        <v>-12.599851194436935</v>
      </c>
      <c r="H289" s="1043">
        <v>9375943</v>
      </c>
      <c r="I289" s="264">
        <f>VALUE(Data.Sard!L287)</f>
        <v>-1.341</v>
      </c>
      <c r="J289" s="904">
        <f>Data.Sard!N287</f>
        <v>1.1506966687608578E-2</v>
      </c>
      <c r="K289" s="595">
        <f t="shared" si="79"/>
        <v>362</v>
      </c>
      <c r="L289" s="591">
        <f t="shared" si="80"/>
        <v>570</v>
      </c>
      <c r="M289" s="591">
        <f t="shared" si="81"/>
        <v>475</v>
      </c>
      <c r="N289" s="591">
        <f t="shared" si="82"/>
        <v>457</v>
      </c>
      <c r="O289" s="591">
        <f t="shared" si="83"/>
        <v>386</v>
      </c>
      <c r="P289" s="315">
        <f t="shared" si="72"/>
        <v>253</v>
      </c>
      <c r="Q289" s="315">
        <f t="shared" si="73"/>
        <v>360</v>
      </c>
      <c r="R289" s="315">
        <f t="shared" si="74"/>
        <v>466</v>
      </c>
      <c r="S289" s="315">
        <f t="shared" si="75"/>
        <v>354</v>
      </c>
      <c r="T289" s="315">
        <f t="shared" si="76"/>
        <v>370</v>
      </c>
      <c r="U289" s="315">
        <f t="shared" si="77"/>
        <v>1803</v>
      </c>
      <c r="V289" s="591">
        <f t="shared" si="84"/>
        <v>646</v>
      </c>
      <c r="W289" s="598">
        <f t="shared" si="78"/>
        <v>646</v>
      </c>
    </row>
    <row r="290" spans="2:23" ht="15">
      <c r="B290" s="996" t="s">
        <v>1150</v>
      </c>
      <c r="C290" s="1043" t="s">
        <v>1151</v>
      </c>
      <c r="D290" s="1046"/>
      <c r="E290" s="1043" t="s">
        <v>603</v>
      </c>
      <c r="F290" s="1032">
        <f>VALUE(Data.Sard!G288)</f>
        <v>-5.809548527170633E-3</v>
      </c>
      <c r="G290" s="844">
        <f>Data.Sard!J288</f>
        <v>1.1204709101684991</v>
      </c>
      <c r="H290" s="1043">
        <v>10912045</v>
      </c>
      <c r="I290" s="264">
        <f>VALUE(Data.Sard!L288)</f>
        <v>-1.25</v>
      </c>
      <c r="J290" s="904">
        <f>Data.Sard!N288</f>
        <v>-3.5018060247394324E-2</v>
      </c>
      <c r="K290" s="595">
        <f t="shared" si="79"/>
        <v>452</v>
      </c>
      <c r="L290" s="591">
        <f t="shared" si="80"/>
        <v>285</v>
      </c>
      <c r="M290" s="591">
        <f t="shared" si="81"/>
        <v>463</v>
      </c>
      <c r="N290" s="591">
        <f t="shared" si="82"/>
        <v>454</v>
      </c>
      <c r="O290" s="591">
        <f t="shared" si="83"/>
        <v>466</v>
      </c>
      <c r="P290" s="315">
        <f t="shared" si="72"/>
        <v>343</v>
      </c>
      <c r="Q290" s="315">
        <f t="shared" si="73"/>
        <v>75</v>
      </c>
      <c r="R290" s="315">
        <f t="shared" si="74"/>
        <v>454</v>
      </c>
      <c r="S290" s="315">
        <f t="shared" si="75"/>
        <v>351</v>
      </c>
      <c r="T290" s="315">
        <f t="shared" si="76"/>
        <v>450</v>
      </c>
      <c r="U290" s="315">
        <f t="shared" si="77"/>
        <v>1673</v>
      </c>
      <c r="V290" s="591">
        <f t="shared" si="84"/>
        <v>573</v>
      </c>
      <c r="W290" s="598">
        <f t="shared" si="78"/>
        <v>573</v>
      </c>
    </row>
    <row r="291" spans="2:23" ht="15">
      <c r="B291" s="1043" t="s">
        <v>1152</v>
      </c>
      <c r="C291" s="1043" t="s">
        <v>1153</v>
      </c>
      <c r="D291" s="1046"/>
      <c r="E291" s="1043" t="s">
        <v>556</v>
      </c>
      <c r="F291" s="1032">
        <f>VALUE(Data.Sard!G289)</f>
        <v>0.1416534031328304</v>
      </c>
      <c r="G291" s="844">
        <f>Data.Sard!J289</f>
        <v>5.5584100531447493</v>
      </c>
      <c r="H291" s="1043">
        <v>26714974</v>
      </c>
      <c r="I291" s="264">
        <f>VALUE(Data.Sard!L289)</f>
        <v>3.2000000000000001E-2</v>
      </c>
      <c r="J291" s="904">
        <f>Data.Sard!N289</f>
        <v>9.5205787750820184E-2</v>
      </c>
      <c r="K291" s="595">
        <f t="shared" si="79"/>
        <v>165</v>
      </c>
      <c r="L291" s="591">
        <f t="shared" si="80"/>
        <v>113</v>
      </c>
      <c r="M291" s="591">
        <f t="shared" si="81"/>
        <v>358</v>
      </c>
      <c r="N291" s="591">
        <f t="shared" si="82"/>
        <v>280</v>
      </c>
      <c r="O291" s="591">
        <f t="shared" si="83"/>
        <v>167</v>
      </c>
      <c r="P291" s="315">
        <f t="shared" si="72"/>
        <v>56</v>
      </c>
      <c r="Q291" s="315">
        <f t="shared" si="73"/>
        <v>97</v>
      </c>
      <c r="R291" s="315">
        <f t="shared" si="74"/>
        <v>349</v>
      </c>
      <c r="S291" s="315">
        <f t="shared" si="75"/>
        <v>177</v>
      </c>
      <c r="T291" s="315">
        <f t="shared" si="76"/>
        <v>151</v>
      </c>
      <c r="U291" s="315">
        <f t="shared" si="77"/>
        <v>830</v>
      </c>
      <c r="V291" s="591">
        <f t="shared" si="84"/>
        <v>158</v>
      </c>
      <c r="W291" s="598">
        <f t="shared" si="78"/>
        <v>158</v>
      </c>
    </row>
    <row r="292" spans="2:23" ht="15">
      <c r="B292" s="996" t="s">
        <v>1154</v>
      </c>
      <c r="C292" s="1043" t="s">
        <v>1155</v>
      </c>
      <c r="D292" s="1046"/>
      <c r="E292" s="1043" t="s">
        <v>546</v>
      </c>
      <c r="F292" s="1032">
        <f>VALUE(Data.Sard!G290)</f>
        <v>1.1045386807464599E-2</v>
      </c>
      <c r="G292" s="844">
        <f>Data.Sard!J290</f>
        <v>-1.7070839928623971</v>
      </c>
      <c r="H292" s="1043">
        <v>79260537</v>
      </c>
      <c r="I292" s="264"/>
      <c r="J292" s="904">
        <f>Data.Sard!N290</f>
        <v>1.5663538901864626E-2</v>
      </c>
      <c r="K292" s="595">
        <f t="shared" si="79"/>
        <v>420</v>
      </c>
      <c r="L292" s="591">
        <f t="shared" si="80"/>
        <v>497</v>
      </c>
      <c r="M292" s="591">
        <f t="shared" si="81"/>
        <v>251</v>
      </c>
      <c r="N292" s="591">
        <f t="shared" si="82"/>
        <v>285</v>
      </c>
      <c r="O292" s="591">
        <f t="shared" si="83"/>
        <v>376</v>
      </c>
      <c r="P292" s="315">
        <f t="shared" si="72"/>
        <v>311</v>
      </c>
      <c r="Q292" s="315">
        <f t="shared" si="73"/>
        <v>287</v>
      </c>
      <c r="R292" s="315">
        <f t="shared" si="74"/>
        <v>242</v>
      </c>
      <c r="S292" s="315">
        <f t="shared" si="75"/>
        <v>182</v>
      </c>
      <c r="T292" s="315">
        <f t="shared" si="76"/>
        <v>360</v>
      </c>
      <c r="U292" s="315">
        <f t="shared" si="77"/>
        <v>1382</v>
      </c>
      <c r="V292" s="591">
        <f t="shared" si="84"/>
        <v>400</v>
      </c>
      <c r="W292" s="598">
        <f t="shared" si="78"/>
        <v>400</v>
      </c>
    </row>
    <row r="293" spans="2:23" ht="15">
      <c r="B293" s="996" t="s">
        <v>1156</v>
      </c>
      <c r="C293" s="1043" t="s">
        <v>1157</v>
      </c>
      <c r="D293" s="1046"/>
      <c r="E293" s="1043" t="s">
        <v>546</v>
      </c>
      <c r="F293" s="1032">
        <f>VALUE(Data.Sard!G291)</f>
        <v>-1.1395331527994099</v>
      </c>
      <c r="G293" s="844">
        <f>Data.Sard!J291</f>
        <v>6.5219033098677173</v>
      </c>
      <c r="H293" s="1043">
        <v>15429064</v>
      </c>
      <c r="I293" s="264">
        <f>VALUE(Data.Sard!L291)</f>
        <v>10.927</v>
      </c>
      <c r="J293" s="904">
        <f>Data.Sard!N291</f>
        <v>-2.2140675266752523</v>
      </c>
      <c r="K293" s="595">
        <f t="shared" si="79"/>
        <v>597</v>
      </c>
      <c r="L293" s="591">
        <f t="shared" si="80"/>
        <v>94</v>
      </c>
      <c r="M293" s="591">
        <f t="shared" si="81"/>
        <v>427</v>
      </c>
      <c r="N293" s="591">
        <f t="shared" si="82"/>
        <v>16</v>
      </c>
      <c r="O293" s="591">
        <f t="shared" si="83"/>
        <v>586</v>
      </c>
      <c r="P293" s="315">
        <f t="shared" ref="P293:P356" si="85">IFERROR(ABS(K$3-K293),"N/A")</f>
        <v>488</v>
      </c>
      <c r="Q293" s="315">
        <f t="shared" ref="Q293:Q356" si="86">IFERROR(ABS(L$3-L293),"N/A")</f>
        <v>116</v>
      </c>
      <c r="R293" s="315">
        <f t="shared" ref="R293:R356" si="87">IFERROR(ABS(M$3-M293),"N/A")</f>
        <v>418</v>
      </c>
      <c r="S293" s="315">
        <f t="shared" ref="S293:S356" si="88">IFERROR(ABS(N$3-N293),"N/A")</f>
        <v>87</v>
      </c>
      <c r="T293" s="315">
        <f t="shared" ref="T293:T356" si="89">IFERROR(ABS(O$3-O293),"N/A")</f>
        <v>570</v>
      </c>
      <c r="U293" s="315">
        <f t="shared" ref="U293:U356" si="90">SUM(P293:T293)</f>
        <v>1679</v>
      </c>
      <c r="V293" s="591">
        <f t="shared" si="84"/>
        <v>576</v>
      </c>
      <c r="W293" s="598">
        <f t="shared" ref="W293:W356" si="91">IF(Y293="Not suitable","-",V293)</f>
        <v>576</v>
      </c>
    </row>
    <row r="294" spans="2:23" ht="15">
      <c r="B294" s="1043" t="s">
        <v>1158</v>
      </c>
      <c r="C294" s="1043" t="s">
        <v>1159</v>
      </c>
      <c r="D294" s="1046"/>
      <c r="E294" s="1043" t="s">
        <v>603</v>
      </c>
      <c r="F294" s="1032">
        <f>VALUE(Data.Sard!G292)</f>
        <v>0.23033708029398645</v>
      </c>
      <c r="G294" s="844">
        <f>Data.Sard!J292</f>
        <v>5.6441803523651668</v>
      </c>
      <c r="H294" s="1043">
        <v>14958892</v>
      </c>
      <c r="I294" s="264">
        <f>VALUE(Data.Sard!L292)</f>
        <v>-0.18099999999999999</v>
      </c>
      <c r="J294" s="904">
        <f>Data.Sard!N292</f>
        <v>3.63526537792229E-2</v>
      </c>
      <c r="K294" s="595">
        <f t="shared" si="79"/>
        <v>86</v>
      </c>
      <c r="L294" s="591">
        <f t="shared" si="80"/>
        <v>111</v>
      </c>
      <c r="M294" s="591">
        <f t="shared" si="81"/>
        <v>432</v>
      </c>
      <c r="N294" s="591">
        <f t="shared" si="82"/>
        <v>338</v>
      </c>
      <c r="O294" s="591">
        <f t="shared" si="83"/>
        <v>317</v>
      </c>
      <c r="P294" s="315">
        <f t="shared" si="85"/>
        <v>23</v>
      </c>
      <c r="Q294" s="315">
        <f t="shared" si="86"/>
        <v>99</v>
      </c>
      <c r="R294" s="315">
        <f t="shared" si="87"/>
        <v>423</v>
      </c>
      <c r="S294" s="315">
        <f t="shared" si="88"/>
        <v>235</v>
      </c>
      <c r="T294" s="315">
        <f t="shared" si="89"/>
        <v>301</v>
      </c>
      <c r="U294" s="315">
        <f t="shared" si="90"/>
        <v>1081</v>
      </c>
      <c r="V294" s="591">
        <f t="shared" si="84"/>
        <v>269</v>
      </c>
      <c r="W294" s="598">
        <f t="shared" si="91"/>
        <v>269</v>
      </c>
    </row>
    <row r="295" spans="2:23" ht="15">
      <c r="B295" s="1043" t="s">
        <v>1160</v>
      </c>
      <c r="C295" s="1043" t="s">
        <v>1161</v>
      </c>
      <c r="D295" s="1046"/>
      <c r="E295" s="1043" t="s">
        <v>532</v>
      </c>
      <c r="F295" s="1032">
        <f>VALUE(Data.Sard!G293)</f>
        <v>7.9607325701499129E-2</v>
      </c>
      <c r="G295" s="844">
        <f>Data.Sard!J293</f>
        <v>-5.6917771865772169</v>
      </c>
      <c r="H295" s="1043">
        <v>14652210</v>
      </c>
      <c r="I295" s="264">
        <f>VALUE(Data.Sard!L293)</f>
        <v>-0.81399999999999995</v>
      </c>
      <c r="J295" s="904">
        <f>Data.Sard!N293</f>
        <v>4.8441441924544748E-2</v>
      </c>
      <c r="K295" s="595">
        <f t="shared" si="79"/>
        <v>267</v>
      </c>
      <c r="L295" s="591">
        <f t="shared" si="80"/>
        <v>546</v>
      </c>
      <c r="M295" s="591">
        <f t="shared" si="81"/>
        <v>434</v>
      </c>
      <c r="N295" s="591">
        <f t="shared" si="82"/>
        <v>421</v>
      </c>
      <c r="O295" s="591">
        <f t="shared" si="83"/>
        <v>283</v>
      </c>
      <c r="P295" s="315">
        <f t="shared" si="85"/>
        <v>158</v>
      </c>
      <c r="Q295" s="315">
        <f t="shared" si="86"/>
        <v>336</v>
      </c>
      <c r="R295" s="315">
        <f t="shared" si="87"/>
        <v>425</v>
      </c>
      <c r="S295" s="315">
        <f t="shared" si="88"/>
        <v>318</v>
      </c>
      <c r="T295" s="315">
        <f t="shared" si="89"/>
        <v>267</v>
      </c>
      <c r="U295" s="315">
        <f t="shared" si="90"/>
        <v>1504</v>
      </c>
      <c r="V295" s="591">
        <f t="shared" si="84"/>
        <v>468</v>
      </c>
      <c r="W295" s="598">
        <f t="shared" si="91"/>
        <v>468</v>
      </c>
    </row>
    <row r="296" spans="2:23" ht="15">
      <c r="B296" s="1043" t="s">
        <v>1162</v>
      </c>
      <c r="C296" s="1043" t="s">
        <v>1163</v>
      </c>
      <c r="D296" s="1046"/>
      <c r="E296" s="1043" t="s">
        <v>611</v>
      </c>
      <c r="F296" s="1032">
        <f>VALUE(Data.Sard!G294)</f>
        <v>-5.809885939126346</v>
      </c>
      <c r="G296" s="844">
        <f>Data.Sard!J294</f>
        <v>-33.110837438423644</v>
      </c>
      <c r="H296" s="1043">
        <v>25945850</v>
      </c>
      <c r="I296" s="264">
        <f>VALUE(Data.Sard!L294)</f>
        <v>8.1000000000000003E-2</v>
      </c>
      <c r="J296" s="904">
        <f>Data.Sard!N294</f>
        <v>-8.2951945107654759E-2</v>
      </c>
      <c r="K296" s="595">
        <f t="shared" si="79"/>
        <v>605</v>
      </c>
      <c r="L296" s="591">
        <f t="shared" si="80"/>
        <v>588</v>
      </c>
      <c r="M296" s="591">
        <f t="shared" si="81"/>
        <v>360</v>
      </c>
      <c r="N296" s="591">
        <f t="shared" si="82"/>
        <v>266</v>
      </c>
      <c r="O296" s="591">
        <f t="shared" si="83"/>
        <v>498</v>
      </c>
      <c r="P296" s="315">
        <f t="shared" si="85"/>
        <v>496</v>
      </c>
      <c r="Q296" s="315">
        <f t="shared" si="86"/>
        <v>378</v>
      </c>
      <c r="R296" s="315">
        <f t="shared" si="87"/>
        <v>351</v>
      </c>
      <c r="S296" s="315">
        <f t="shared" si="88"/>
        <v>163</v>
      </c>
      <c r="T296" s="315">
        <f t="shared" si="89"/>
        <v>482</v>
      </c>
      <c r="U296" s="315">
        <f t="shared" si="90"/>
        <v>1870</v>
      </c>
      <c r="V296" s="591">
        <f t="shared" si="84"/>
        <v>672</v>
      </c>
      <c r="W296" s="598">
        <f t="shared" si="91"/>
        <v>672</v>
      </c>
    </row>
    <row r="297" spans="2:23" ht="15">
      <c r="B297" s="996" t="s">
        <v>1164</v>
      </c>
      <c r="C297" s="1043" t="s">
        <v>1165</v>
      </c>
      <c r="D297" s="1046"/>
      <c r="E297" s="1043" t="s">
        <v>1012</v>
      </c>
      <c r="F297" s="1032">
        <f>VALUE(Data.Sard!G295)</f>
        <v>-3.5288800506191813E-2</v>
      </c>
      <c r="G297" s="844">
        <f>Data.Sard!J295</f>
        <v>-21.5869222858657</v>
      </c>
      <c r="H297" s="1043">
        <v>10331578</v>
      </c>
      <c r="I297" s="264">
        <f>VALUE(Data.Sard!L295)</f>
        <v>0.33900000000000002</v>
      </c>
      <c r="J297" s="904">
        <f>Data.Sard!N295</f>
        <v>-1.0455922876838157E-2</v>
      </c>
      <c r="K297" s="595">
        <f t="shared" si="79"/>
        <v>477</v>
      </c>
      <c r="L297" s="591">
        <f t="shared" si="80"/>
        <v>581</v>
      </c>
      <c r="M297" s="591">
        <f t="shared" si="81"/>
        <v>467</v>
      </c>
      <c r="N297" s="591">
        <f t="shared" si="82"/>
        <v>203</v>
      </c>
      <c r="O297" s="591">
        <f t="shared" si="83"/>
        <v>441</v>
      </c>
      <c r="P297" s="315">
        <f t="shared" si="85"/>
        <v>368</v>
      </c>
      <c r="Q297" s="315">
        <f t="shared" si="86"/>
        <v>371</v>
      </c>
      <c r="R297" s="315">
        <f t="shared" si="87"/>
        <v>458</v>
      </c>
      <c r="S297" s="315">
        <f t="shared" si="88"/>
        <v>100</v>
      </c>
      <c r="T297" s="315">
        <f t="shared" si="89"/>
        <v>425</v>
      </c>
      <c r="U297" s="315">
        <f t="shared" si="90"/>
        <v>1722</v>
      </c>
      <c r="V297" s="591">
        <f t="shared" si="84"/>
        <v>598</v>
      </c>
      <c r="W297" s="598">
        <f t="shared" si="91"/>
        <v>598</v>
      </c>
    </row>
    <row r="298" spans="2:23" ht="15">
      <c r="B298" s="1043" t="s">
        <v>1166</v>
      </c>
      <c r="C298" s="1043" t="s">
        <v>1167</v>
      </c>
      <c r="D298" s="1046"/>
      <c r="E298" s="1043" t="s">
        <v>587</v>
      </c>
      <c r="F298" s="1032">
        <f>VALUE(Data.Sard!G296)</f>
        <v>12.325041545399987</v>
      </c>
      <c r="G298" s="844">
        <f>Data.Sard!J296</f>
        <v>2.3012369969589037</v>
      </c>
      <c r="H298" s="1043">
        <v>50197124</v>
      </c>
      <c r="I298" s="264">
        <f>VALUE(Data.Sard!L296)</f>
        <v>-13.632</v>
      </c>
      <c r="J298" s="904">
        <f>Data.Sard!N296</f>
        <v>-2.336913161671688E-2</v>
      </c>
      <c r="K298" s="595">
        <f t="shared" si="79"/>
        <v>1</v>
      </c>
      <c r="L298" s="591">
        <f t="shared" si="80"/>
        <v>224</v>
      </c>
      <c r="M298" s="591">
        <f t="shared" si="81"/>
        <v>296</v>
      </c>
      <c r="N298" s="591">
        <f t="shared" si="82"/>
        <v>534</v>
      </c>
      <c r="O298" s="591">
        <f t="shared" si="83"/>
        <v>456</v>
      </c>
      <c r="P298" s="315">
        <f t="shared" si="85"/>
        <v>108</v>
      </c>
      <c r="Q298" s="315">
        <f t="shared" si="86"/>
        <v>14</v>
      </c>
      <c r="R298" s="315">
        <f t="shared" si="87"/>
        <v>287</v>
      </c>
      <c r="S298" s="315">
        <f t="shared" si="88"/>
        <v>431</v>
      </c>
      <c r="T298" s="315">
        <f t="shared" si="89"/>
        <v>440</v>
      </c>
      <c r="U298" s="315">
        <f t="shared" si="90"/>
        <v>1280</v>
      </c>
      <c r="V298" s="591">
        <f t="shared" si="84"/>
        <v>353</v>
      </c>
      <c r="W298" s="598">
        <f t="shared" si="91"/>
        <v>353</v>
      </c>
    </row>
    <row r="299" spans="2:23" ht="15">
      <c r="B299" s="996" t="s">
        <v>1168</v>
      </c>
      <c r="C299" s="1043" t="s">
        <v>1169</v>
      </c>
      <c r="D299" s="1046"/>
      <c r="E299" s="1043" t="s">
        <v>736</v>
      </c>
      <c r="F299" s="1032">
        <f>VALUE(Data.Sard!G297)</f>
        <v>0.13865637826958715</v>
      </c>
      <c r="G299" s="844">
        <f>Data.Sard!J297</f>
        <v>20.571335339747151</v>
      </c>
      <c r="H299" s="1043">
        <v>14716594275</v>
      </c>
      <c r="I299" s="264"/>
      <c r="J299" s="904">
        <f>Data.Sard!N297</f>
        <v>0.2133966113935655</v>
      </c>
      <c r="K299" s="595">
        <f t="shared" si="79"/>
        <v>171</v>
      </c>
      <c r="L299" s="591">
        <f t="shared" si="80"/>
        <v>26</v>
      </c>
      <c r="M299" s="591">
        <f t="shared" si="81"/>
        <v>11</v>
      </c>
      <c r="N299" s="591">
        <f t="shared" si="82"/>
        <v>285</v>
      </c>
      <c r="O299" s="591">
        <f t="shared" si="83"/>
        <v>41</v>
      </c>
      <c r="P299" s="315">
        <f t="shared" si="85"/>
        <v>62</v>
      </c>
      <c r="Q299" s="315">
        <f t="shared" si="86"/>
        <v>184</v>
      </c>
      <c r="R299" s="315">
        <f t="shared" si="87"/>
        <v>2</v>
      </c>
      <c r="S299" s="315">
        <f t="shared" si="88"/>
        <v>182</v>
      </c>
      <c r="T299" s="315">
        <f t="shared" si="89"/>
        <v>25</v>
      </c>
      <c r="U299" s="315">
        <f t="shared" si="90"/>
        <v>455</v>
      </c>
      <c r="V299" s="591">
        <f t="shared" si="84"/>
        <v>26</v>
      </c>
      <c r="W299" s="598">
        <f t="shared" si="91"/>
        <v>26</v>
      </c>
    </row>
    <row r="300" spans="2:23" ht="15">
      <c r="B300" s="1043" t="s">
        <v>1170</v>
      </c>
      <c r="C300" s="1043" t="s">
        <v>1171</v>
      </c>
      <c r="D300" s="1046"/>
      <c r="E300" s="1043" t="s">
        <v>532</v>
      </c>
      <c r="F300" s="1032">
        <f>VALUE(Data.Sard!G298)</f>
        <v>-6.8800105475864237E-2</v>
      </c>
      <c r="G300" s="844">
        <f>Data.Sard!J298</f>
        <v>-3.026236376990548</v>
      </c>
      <c r="H300" s="1043">
        <v>495493166</v>
      </c>
      <c r="I300" s="264">
        <f>VALUE(Data.Sard!L298)</f>
        <v>0.107</v>
      </c>
      <c r="J300" s="904">
        <f>Data.Sard!N298</f>
        <v>7.4761010666765564E-3</v>
      </c>
      <c r="K300" s="595">
        <f t="shared" si="79"/>
        <v>500</v>
      </c>
      <c r="L300" s="591">
        <f t="shared" si="80"/>
        <v>519</v>
      </c>
      <c r="M300" s="591">
        <f t="shared" si="81"/>
        <v>100</v>
      </c>
      <c r="N300" s="591">
        <f t="shared" si="82"/>
        <v>259</v>
      </c>
      <c r="O300" s="591">
        <f t="shared" si="83"/>
        <v>401</v>
      </c>
      <c r="P300" s="315">
        <f t="shared" si="85"/>
        <v>391</v>
      </c>
      <c r="Q300" s="315">
        <f t="shared" si="86"/>
        <v>309</v>
      </c>
      <c r="R300" s="315">
        <f t="shared" si="87"/>
        <v>91</v>
      </c>
      <c r="S300" s="315">
        <f t="shared" si="88"/>
        <v>156</v>
      </c>
      <c r="T300" s="315">
        <f t="shared" si="89"/>
        <v>385</v>
      </c>
      <c r="U300" s="315">
        <f t="shared" si="90"/>
        <v>1332</v>
      </c>
      <c r="V300" s="591">
        <f t="shared" si="84"/>
        <v>379</v>
      </c>
      <c r="W300" s="598">
        <f t="shared" si="91"/>
        <v>379</v>
      </c>
    </row>
    <row r="301" spans="2:23" ht="15">
      <c r="B301" s="996" t="s">
        <v>1172</v>
      </c>
      <c r="C301" s="1043" t="s">
        <v>1173</v>
      </c>
      <c r="D301" s="1046"/>
      <c r="E301" s="1043" t="s">
        <v>546</v>
      </c>
      <c r="F301" s="1032">
        <f>VALUE(Data.Sard!G299)</f>
        <v>-6.4951918092882158E-2</v>
      </c>
      <c r="G301" s="844">
        <f>Data.Sard!J299</f>
        <v>3.5699393432796311</v>
      </c>
      <c r="H301" s="1043">
        <v>63789225</v>
      </c>
      <c r="I301" s="264">
        <f>VALUE(Data.Sard!L299)</f>
        <v>-1.738</v>
      </c>
      <c r="J301" s="904">
        <f>Data.Sard!N299</f>
        <v>-7.7668798269997355E-2</v>
      </c>
      <c r="K301" s="595">
        <f t="shared" si="79"/>
        <v>499</v>
      </c>
      <c r="L301" s="591">
        <f t="shared" si="80"/>
        <v>161</v>
      </c>
      <c r="M301" s="591">
        <f t="shared" si="81"/>
        <v>269</v>
      </c>
      <c r="N301" s="591">
        <f t="shared" si="82"/>
        <v>475</v>
      </c>
      <c r="O301" s="591">
        <f t="shared" si="83"/>
        <v>496</v>
      </c>
      <c r="P301" s="315">
        <f t="shared" si="85"/>
        <v>390</v>
      </c>
      <c r="Q301" s="315">
        <f t="shared" si="86"/>
        <v>49</v>
      </c>
      <c r="R301" s="315">
        <f t="shared" si="87"/>
        <v>260</v>
      </c>
      <c r="S301" s="315">
        <f t="shared" si="88"/>
        <v>372</v>
      </c>
      <c r="T301" s="315">
        <f t="shared" si="89"/>
        <v>480</v>
      </c>
      <c r="U301" s="315">
        <f t="shared" si="90"/>
        <v>1551</v>
      </c>
      <c r="V301" s="591">
        <f t="shared" si="84"/>
        <v>491</v>
      </c>
      <c r="W301" s="598">
        <f t="shared" si="91"/>
        <v>491</v>
      </c>
    </row>
    <row r="302" spans="2:23" ht="15">
      <c r="B302" s="1043" t="s">
        <v>1174</v>
      </c>
      <c r="C302" s="1043" t="s">
        <v>1175</v>
      </c>
      <c r="D302" s="1046"/>
      <c r="E302" s="1043" t="s">
        <v>584</v>
      </c>
      <c r="F302" s="1032">
        <f>VALUE(Data.Sard!G300)</f>
        <v>0.10687723769039498</v>
      </c>
      <c r="G302" s="844">
        <f>Data.Sard!J300</f>
        <v>4.6238964439741954</v>
      </c>
      <c r="H302" s="1043">
        <v>26962495</v>
      </c>
      <c r="I302" s="264">
        <f>VALUE(Data.Sard!L300)</f>
        <v>-0.34100000000000003</v>
      </c>
      <c r="J302" s="904">
        <f>Data.Sard!N300</f>
        <v>3.7040733886021991E-2</v>
      </c>
      <c r="K302" s="595">
        <f t="shared" si="79"/>
        <v>220</v>
      </c>
      <c r="L302" s="591">
        <f t="shared" si="80"/>
        <v>130</v>
      </c>
      <c r="M302" s="591">
        <f t="shared" si="81"/>
        <v>356</v>
      </c>
      <c r="N302" s="591">
        <f t="shared" si="82"/>
        <v>361</v>
      </c>
      <c r="O302" s="591">
        <f t="shared" si="83"/>
        <v>313</v>
      </c>
      <c r="P302" s="315">
        <f t="shared" si="85"/>
        <v>111</v>
      </c>
      <c r="Q302" s="315">
        <f t="shared" si="86"/>
        <v>80</v>
      </c>
      <c r="R302" s="315">
        <f t="shared" si="87"/>
        <v>347</v>
      </c>
      <c r="S302" s="315">
        <f t="shared" si="88"/>
        <v>258</v>
      </c>
      <c r="T302" s="315">
        <f t="shared" si="89"/>
        <v>297</v>
      </c>
      <c r="U302" s="315">
        <f t="shared" si="90"/>
        <v>1093</v>
      </c>
      <c r="V302" s="591">
        <f t="shared" si="84"/>
        <v>273</v>
      </c>
      <c r="W302" s="598">
        <f t="shared" si="91"/>
        <v>273</v>
      </c>
    </row>
    <row r="303" spans="2:23" ht="15">
      <c r="B303" s="996" t="s">
        <v>1176</v>
      </c>
      <c r="C303" s="1043" t="s">
        <v>1177</v>
      </c>
      <c r="D303" s="1046"/>
      <c r="E303" s="1043" t="s">
        <v>603</v>
      </c>
      <c r="F303" s="1032">
        <f>VALUE(Data.Sard!G301)</f>
        <v>0.14354194934653283</v>
      </c>
      <c r="G303" s="844">
        <f>Data.Sard!J301</f>
        <v>13.841452874371448</v>
      </c>
      <c r="H303" s="1043">
        <v>309328467</v>
      </c>
      <c r="I303" s="264">
        <f>VALUE(Data.Sard!L301)</f>
        <v>1.7130000000000001</v>
      </c>
      <c r="J303" s="904">
        <f>Data.Sard!N301</f>
        <v>8.8071109032611089E-2</v>
      </c>
      <c r="K303" s="595">
        <f t="shared" si="79"/>
        <v>164</v>
      </c>
      <c r="L303" s="591">
        <f t="shared" si="80"/>
        <v>43</v>
      </c>
      <c r="M303" s="591">
        <f t="shared" si="81"/>
        <v>134</v>
      </c>
      <c r="N303" s="591">
        <f t="shared" si="82"/>
        <v>55</v>
      </c>
      <c r="O303" s="591">
        <f t="shared" si="83"/>
        <v>183</v>
      </c>
      <c r="P303" s="315">
        <f t="shared" si="85"/>
        <v>55</v>
      </c>
      <c r="Q303" s="315">
        <f t="shared" si="86"/>
        <v>167</v>
      </c>
      <c r="R303" s="315">
        <f t="shared" si="87"/>
        <v>125</v>
      </c>
      <c r="S303" s="315">
        <f t="shared" si="88"/>
        <v>48</v>
      </c>
      <c r="T303" s="315">
        <f t="shared" si="89"/>
        <v>167</v>
      </c>
      <c r="U303" s="315">
        <f t="shared" si="90"/>
        <v>562</v>
      </c>
      <c r="V303" s="591">
        <f t="shared" si="84"/>
        <v>54</v>
      </c>
      <c r="W303" s="598">
        <f t="shared" si="91"/>
        <v>54</v>
      </c>
    </row>
    <row r="304" spans="2:23" ht="15">
      <c r="B304" s="1043" t="s">
        <v>1178</v>
      </c>
      <c r="C304" s="1043" t="s">
        <v>1179</v>
      </c>
      <c r="D304" s="1046"/>
      <c r="E304" s="1043" t="s">
        <v>603</v>
      </c>
      <c r="F304" s="1032">
        <f>VALUE(Data.Sard!G302)</f>
        <v>2.542298367693787E-2</v>
      </c>
      <c r="G304" s="844"/>
      <c r="H304" s="1043">
        <v>1664819</v>
      </c>
      <c r="I304" s="264">
        <f>VALUE(Data.Sard!L302)</f>
        <v>-0.95799999999999996</v>
      </c>
      <c r="J304" s="904">
        <f>Data.Sard!N302</f>
        <v>3.6008870933428375E-2</v>
      </c>
      <c r="K304" s="595">
        <f t="shared" si="79"/>
        <v>383</v>
      </c>
      <c r="L304" s="591">
        <f t="shared" si="80"/>
        <v>397</v>
      </c>
      <c r="M304" s="591">
        <f t="shared" si="81"/>
        <v>597</v>
      </c>
      <c r="N304" s="591">
        <f t="shared" si="82"/>
        <v>433</v>
      </c>
      <c r="O304" s="591">
        <f t="shared" si="83"/>
        <v>319</v>
      </c>
      <c r="P304" s="315">
        <f t="shared" si="85"/>
        <v>274</v>
      </c>
      <c r="Q304" s="315">
        <f t="shared" si="86"/>
        <v>187</v>
      </c>
      <c r="R304" s="315">
        <f t="shared" si="87"/>
        <v>588</v>
      </c>
      <c r="S304" s="315">
        <f t="shared" si="88"/>
        <v>330</v>
      </c>
      <c r="T304" s="315">
        <f t="shared" si="89"/>
        <v>303</v>
      </c>
      <c r="U304" s="315">
        <f t="shared" si="90"/>
        <v>1682</v>
      </c>
      <c r="V304" s="591">
        <f t="shared" si="84"/>
        <v>579</v>
      </c>
      <c r="W304" s="598">
        <f t="shared" si="91"/>
        <v>579</v>
      </c>
    </row>
    <row r="305" spans="2:23" ht="15">
      <c r="B305" s="996" t="s">
        <v>1180</v>
      </c>
      <c r="C305" s="1043" t="s">
        <v>1181</v>
      </c>
      <c r="D305" s="1046"/>
      <c r="E305" s="1043" t="s">
        <v>570</v>
      </c>
      <c r="F305" s="1032"/>
      <c r="G305" s="844">
        <f>Data.Sard!J303</f>
        <v>0.45737415842411289</v>
      </c>
      <c r="H305" s="1043">
        <v>21657</v>
      </c>
      <c r="I305" s="264">
        <f>VALUE(Data.Sard!L303)</f>
        <v>0.35499999999999998</v>
      </c>
      <c r="J305" s="904"/>
      <c r="K305" s="595">
        <f t="shared" si="79"/>
        <v>442</v>
      </c>
      <c r="L305" s="591">
        <f t="shared" si="80"/>
        <v>333</v>
      </c>
      <c r="M305" s="591">
        <f t="shared" si="81"/>
        <v>658</v>
      </c>
      <c r="N305" s="591">
        <f t="shared" si="82"/>
        <v>198</v>
      </c>
      <c r="O305" s="591">
        <f t="shared" si="83"/>
        <v>419</v>
      </c>
      <c r="P305" s="315">
        <f t="shared" si="85"/>
        <v>333</v>
      </c>
      <c r="Q305" s="315">
        <f t="shared" si="86"/>
        <v>123</v>
      </c>
      <c r="R305" s="315">
        <f t="shared" si="87"/>
        <v>649</v>
      </c>
      <c r="S305" s="315">
        <f t="shared" si="88"/>
        <v>95</v>
      </c>
      <c r="T305" s="315">
        <f t="shared" si="89"/>
        <v>403</v>
      </c>
      <c r="U305" s="315">
        <f t="shared" si="90"/>
        <v>1603</v>
      </c>
      <c r="V305" s="591">
        <f t="shared" si="84"/>
        <v>531</v>
      </c>
      <c r="W305" s="598">
        <f t="shared" si="91"/>
        <v>531</v>
      </c>
    </row>
    <row r="306" spans="2:23" ht="15">
      <c r="B306" s="1043" t="s">
        <v>1182</v>
      </c>
      <c r="C306" s="1043" t="s">
        <v>1183</v>
      </c>
      <c r="D306" s="1046"/>
      <c r="E306" s="1043" t="s">
        <v>603</v>
      </c>
      <c r="F306" s="1032">
        <f>VALUE(Data.Sard!G304)</f>
        <v>0.21758605608550741</v>
      </c>
      <c r="G306" s="844">
        <f>Data.Sard!J304</f>
        <v>3.6872987717451395</v>
      </c>
      <c r="H306" s="1043">
        <v>509132257</v>
      </c>
      <c r="I306" s="264"/>
      <c r="J306" s="904">
        <f>Data.Sard!N304</f>
        <v>0.18508431673775885</v>
      </c>
      <c r="K306" s="595">
        <f t="shared" si="79"/>
        <v>94</v>
      </c>
      <c r="L306" s="591">
        <f t="shared" si="80"/>
        <v>156</v>
      </c>
      <c r="M306" s="591">
        <f t="shared" si="81"/>
        <v>96</v>
      </c>
      <c r="N306" s="591">
        <f t="shared" si="82"/>
        <v>285</v>
      </c>
      <c r="O306" s="591">
        <f t="shared" si="83"/>
        <v>60</v>
      </c>
      <c r="P306" s="315">
        <f t="shared" si="85"/>
        <v>15</v>
      </c>
      <c r="Q306" s="315">
        <f t="shared" si="86"/>
        <v>54</v>
      </c>
      <c r="R306" s="315">
        <f t="shared" si="87"/>
        <v>87</v>
      </c>
      <c r="S306" s="315">
        <f t="shared" si="88"/>
        <v>182</v>
      </c>
      <c r="T306" s="315">
        <f t="shared" si="89"/>
        <v>44</v>
      </c>
      <c r="U306" s="315">
        <f t="shared" si="90"/>
        <v>382</v>
      </c>
      <c r="V306" s="591">
        <f t="shared" si="84"/>
        <v>12</v>
      </c>
      <c r="W306" s="598">
        <f t="shared" si="91"/>
        <v>12</v>
      </c>
    </row>
    <row r="307" spans="2:23" ht="15">
      <c r="B307" s="996" t="s">
        <v>1184</v>
      </c>
      <c r="C307" s="1043" t="s">
        <v>1185</v>
      </c>
      <c r="D307" s="1046"/>
      <c r="E307" s="1043" t="s">
        <v>1048</v>
      </c>
      <c r="F307" s="1032">
        <f>VALUE(Data.Sard!G305)</f>
        <v>6.6901013998205014E-2</v>
      </c>
      <c r="G307" s="844"/>
      <c r="H307" s="1043">
        <v>158514577</v>
      </c>
      <c r="I307" s="264">
        <f>VALUE(Data.Sard!L305)</f>
        <v>0.23599999999999999</v>
      </c>
      <c r="J307" s="904">
        <f>Data.Sard!N305</f>
        <v>5.5506580036218917E-2</v>
      </c>
      <c r="K307" s="595">
        <f t="shared" si="79"/>
        <v>289</v>
      </c>
      <c r="L307" s="591">
        <f t="shared" si="80"/>
        <v>397</v>
      </c>
      <c r="M307" s="591">
        <f t="shared" si="81"/>
        <v>187</v>
      </c>
      <c r="N307" s="591">
        <f t="shared" si="82"/>
        <v>227</v>
      </c>
      <c r="O307" s="591">
        <f t="shared" si="83"/>
        <v>263</v>
      </c>
      <c r="P307" s="315">
        <f t="shared" si="85"/>
        <v>180</v>
      </c>
      <c r="Q307" s="315">
        <f t="shared" si="86"/>
        <v>187</v>
      </c>
      <c r="R307" s="315">
        <f t="shared" si="87"/>
        <v>178</v>
      </c>
      <c r="S307" s="315">
        <f t="shared" si="88"/>
        <v>124</v>
      </c>
      <c r="T307" s="315">
        <f t="shared" si="89"/>
        <v>247</v>
      </c>
      <c r="U307" s="315">
        <f t="shared" si="90"/>
        <v>916</v>
      </c>
      <c r="V307" s="591">
        <f t="shared" si="84"/>
        <v>190</v>
      </c>
      <c r="W307" s="598">
        <f t="shared" si="91"/>
        <v>190</v>
      </c>
    </row>
    <row r="308" spans="2:23" ht="15">
      <c r="B308" s="1043" t="s">
        <v>1186</v>
      </c>
      <c r="C308" s="1043" t="s">
        <v>1187</v>
      </c>
      <c r="D308" s="1046"/>
      <c r="E308" s="1043" t="s">
        <v>1043</v>
      </c>
      <c r="F308" s="1032"/>
      <c r="G308" s="844"/>
      <c r="H308" s="1043">
        <v>347153</v>
      </c>
      <c r="I308" s="264">
        <f>VALUE(Data.Sard!L306)</f>
        <v>-0.63500000000000001</v>
      </c>
      <c r="J308" s="904"/>
      <c r="K308" s="595">
        <f t="shared" si="79"/>
        <v>442</v>
      </c>
      <c r="L308" s="591">
        <f t="shared" si="80"/>
        <v>397</v>
      </c>
      <c r="M308" s="591">
        <f t="shared" si="81"/>
        <v>634</v>
      </c>
      <c r="N308" s="591">
        <f t="shared" si="82"/>
        <v>402</v>
      </c>
      <c r="O308" s="591">
        <f t="shared" si="83"/>
        <v>419</v>
      </c>
      <c r="P308" s="315">
        <f t="shared" si="85"/>
        <v>333</v>
      </c>
      <c r="Q308" s="315">
        <f t="shared" si="86"/>
        <v>187</v>
      </c>
      <c r="R308" s="315">
        <f t="shared" si="87"/>
        <v>625</v>
      </c>
      <c r="S308" s="315">
        <f t="shared" si="88"/>
        <v>299</v>
      </c>
      <c r="T308" s="315">
        <f t="shared" si="89"/>
        <v>403</v>
      </c>
      <c r="U308" s="315">
        <f t="shared" si="90"/>
        <v>1847</v>
      </c>
      <c r="V308" s="591">
        <f t="shared" si="84"/>
        <v>661</v>
      </c>
      <c r="W308" s="598">
        <f t="shared" si="91"/>
        <v>661</v>
      </c>
    </row>
    <row r="309" spans="2:23" ht="15">
      <c r="B309" s="1043" t="s">
        <v>1188</v>
      </c>
      <c r="C309" s="1043" t="s">
        <v>1189</v>
      </c>
      <c r="D309" s="1046"/>
      <c r="E309" s="1043" t="s">
        <v>1048</v>
      </c>
      <c r="F309" s="1032"/>
      <c r="G309" s="844">
        <f>Data.Sard!J307</f>
        <v>2.9312999217978399</v>
      </c>
      <c r="H309" s="1043">
        <v>4014151</v>
      </c>
      <c r="I309" s="264"/>
      <c r="J309" s="904"/>
      <c r="K309" s="595">
        <f t="shared" si="79"/>
        <v>442</v>
      </c>
      <c r="L309" s="591">
        <f t="shared" si="80"/>
        <v>185</v>
      </c>
      <c r="M309" s="591">
        <f t="shared" si="81"/>
        <v>546</v>
      </c>
      <c r="N309" s="591">
        <f t="shared" si="82"/>
        <v>285</v>
      </c>
      <c r="O309" s="591">
        <f t="shared" si="83"/>
        <v>419</v>
      </c>
      <c r="P309" s="315">
        <f t="shared" si="85"/>
        <v>333</v>
      </c>
      <c r="Q309" s="315">
        <f t="shared" si="86"/>
        <v>25</v>
      </c>
      <c r="R309" s="315">
        <f t="shared" si="87"/>
        <v>537</v>
      </c>
      <c r="S309" s="315">
        <f t="shared" si="88"/>
        <v>182</v>
      </c>
      <c r="T309" s="315">
        <f t="shared" si="89"/>
        <v>403</v>
      </c>
      <c r="U309" s="315">
        <f t="shared" si="90"/>
        <v>1480</v>
      </c>
      <c r="V309" s="591">
        <f t="shared" si="84"/>
        <v>451</v>
      </c>
      <c r="W309" s="598">
        <f t="shared" si="91"/>
        <v>451</v>
      </c>
    </row>
    <row r="310" spans="2:23" ht="15">
      <c r="B310" s="1043" t="s">
        <v>1190</v>
      </c>
      <c r="C310" s="1043" t="s">
        <v>1191</v>
      </c>
      <c r="D310" s="1046"/>
      <c r="E310" s="1043" t="s">
        <v>584</v>
      </c>
      <c r="F310" s="1032">
        <f>VALUE(Data.Sard!G308)</f>
        <v>4.0839022410495356E-2</v>
      </c>
      <c r="G310" s="844"/>
      <c r="H310" s="1043">
        <v>20624608</v>
      </c>
      <c r="I310" s="264"/>
      <c r="J310" s="904">
        <f>Data.Sard!N308</f>
        <v>5.8723768006944108E-2</v>
      </c>
      <c r="K310" s="595">
        <f t="shared" si="79"/>
        <v>351</v>
      </c>
      <c r="L310" s="591">
        <f t="shared" si="80"/>
        <v>397</v>
      </c>
      <c r="M310" s="591">
        <f t="shared" si="81"/>
        <v>391</v>
      </c>
      <c r="N310" s="591">
        <f t="shared" si="82"/>
        <v>285</v>
      </c>
      <c r="O310" s="591">
        <f t="shared" si="83"/>
        <v>247</v>
      </c>
      <c r="P310" s="315">
        <f t="shared" si="85"/>
        <v>242</v>
      </c>
      <c r="Q310" s="315">
        <f t="shared" si="86"/>
        <v>187</v>
      </c>
      <c r="R310" s="315">
        <f t="shared" si="87"/>
        <v>382</v>
      </c>
      <c r="S310" s="315">
        <f t="shared" si="88"/>
        <v>182</v>
      </c>
      <c r="T310" s="315">
        <f t="shared" si="89"/>
        <v>231</v>
      </c>
      <c r="U310" s="315">
        <f t="shared" si="90"/>
        <v>1224</v>
      </c>
      <c r="V310" s="591">
        <f t="shared" si="84"/>
        <v>324</v>
      </c>
      <c r="W310" s="598">
        <f t="shared" si="91"/>
        <v>324</v>
      </c>
    </row>
    <row r="311" spans="2:23" ht="15">
      <c r="B311" s="1043" t="s">
        <v>1192</v>
      </c>
      <c r="C311" s="1043" t="s">
        <v>1193</v>
      </c>
      <c r="D311" s="1046"/>
      <c r="E311" s="1043" t="s">
        <v>1043</v>
      </c>
      <c r="F311" s="1032"/>
      <c r="G311" s="844">
        <f>Data.Sard!J309</f>
        <v>3.8566545206996001</v>
      </c>
      <c r="H311" s="1043">
        <v>1890086</v>
      </c>
      <c r="I311" s="264">
        <f>VALUE(Data.Sard!L309)</f>
        <v>0.312</v>
      </c>
      <c r="J311" s="904"/>
      <c r="K311" s="595">
        <f t="shared" si="79"/>
        <v>442</v>
      </c>
      <c r="L311" s="591">
        <f t="shared" si="80"/>
        <v>151</v>
      </c>
      <c r="M311" s="591">
        <f t="shared" si="81"/>
        <v>593</v>
      </c>
      <c r="N311" s="591">
        <f t="shared" si="82"/>
        <v>212</v>
      </c>
      <c r="O311" s="591">
        <f t="shared" si="83"/>
        <v>419</v>
      </c>
      <c r="P311" s="315">
        <f t="shared" si="85"/>
        <v>333</v>
      </c>
      <c r="Q311" s="315">
        <f t="shared" si="86"/>
        <v>59</v>
      </c>
      <c r="R311" s="315">
        <f t="shared" si="87"/>
        <v>584</v>
      </c>
      <c r="S311" s="315">
        <f t="shared" si="88"/>
        <v>109</v>
      </c>
      <c r="T311" s="315">
        <f t="shared" si="89"/>
        <v>403</v>
      </c>
      <c r="U311" s="315">
        <f t="shared" si="90"/>
        <v>1488</v>
      </c>
      <c r="V311" s="591">
        <f t="shared" si="84"/>
        <v>456</v>
      </c>
      <c r="W311" s="598">
        <f t="shared" si="91"/>
        <v>456</v>
      </c>
    </row>
    <row r="312" spans="2:23" ht="15">
      <c r="B312" s="1043" t="s">
        <v>1194</v>
      </c>
      <c r="C312" s="1043" t="s">
        <v>1195</v>
      </c>
      <c r="D312" s="1046"/>
      <c r="E312" s="1043" t="s">
        <v>603</v>
      </c>
      <c r="F312" s="1032">
        <f>VALUE(Data.Sard!G310)</f>
        <v>8.5586525183031045E-2</v>
      </c>
      <c r="G312" s="844">
        <f>Data.Sard!J310</f>
        <v>0</v>
      </c>
      <c r="H312" s="1043">
        <v>130113223</v>
      </c>
      <c r="I312" s="264"/>
      <c r="J312" s="904">
        <f>Data.Sard!N310</f>
        <v>7.093174083238242E-2</v>
      </c>
      <c r="K312" s="595">
        <f t="shared" si="79"/>
        <v>255</v>
      </c>
      <c r="L312" s="591">
        <f t="shared" si="80"/>
        <v>397</v>
      </c>
      <c r="M312" s="591">
        <f t="shared" si="81"/>
        <v>206</v>
      </c>
      <c r="N312" s="591">
        <f t="shared" si="82"/>
        <v>285</v>
      </c>
      <c r="O312" s="591">
        <f t="shared" si="83"/>
        <v>216</v>
      </c>
      <c r="P312" s="315">
        <f t="shared" si="85"/>
        <v>146</v>
      </c>
      <c r="Q312" s="315">
        <f t="shared" si="86"/>
        <v>187</v>
      </c>
      <c r="R312" s="315">
        <f t="shared" si="87"/>
        <v>197</v>
      </c>
      <c r="S312" s="315">
        <f t="shared" si="88"/>
        <v>182</v>
      </c>
      <c r="T312" s="315">
        <f t="shared" si="89"/>
        <v>200</v>
      </c>
      <c r="U312" s="315">
        <f t="shared" si="90"/>
        <v>912</v>
      </c>
      <c r="V312" s="591">
        <f t="shared" si="84"/>
        <v>189</v>
      </c>
      <c r="W312" s="598">
        <f t="shared" si="91"/>
        <v>189</v>
      </c>
    </row>
    <row r="313" spans="2:23" ht="15">
      <c r="B313" s="1043" t="s">
        <v>1196</v>
      </c>
      <c r="C313" s="1043" t="s">
        <v>1197</v>
      </c>
      <c r="D313" s="994"/>
      <c r="E313" s="1043" t="s">
        <v>1198</v>
      </c>
      <c r="F313" s="1032">
        <f>VALUE(Data.Sard!G311)</f>
        <v>-0.71080991911326064</v>
      </c>
      <c r="G313" s="844">
        <f>Data.Sard!J311</f>
        <v>4.1608274585087592</v>
      </c>
      <c r="H313" s="1003">
        <v>0</v>
      </c>
      <c r="I313" s="264">
        <f>VALUE(Data.Sard!L311)</f>
        <v>6.0000000000000001E-3</v>
      </c>
      <c r="J313" s="904"/>
      <c r="K313" s="595">
        <f t="shared" si="79"/>
        <v>591</v>
      </c>
      <c r="L313" s="591">
        <f t="shared" si="80"/>
        <v>141</v>
      </c>
      <c r="M313" s="591">
        <f t="shared" si="81"/>
        <v>677</v>
      </c>
      <c r="N313" s="591">
        <f t="shared" si="82"/>
        <v>284</v>
      </c>
      <c r="O313" s="591">
        <f t="shared" si="83"/>
        <v>419</v>
      </c>
      <c r="P313" s="315">
        <f t="shared" si="85"/>
        <v>482</v>
      </c>
      <c r="Q313" s="315">
        <f t="shared" si="86"/>
        <v>69</v>
      </c>
      <c r="R313" s="315">
        <f t="shared" si="87"/>
        <v>668</v>
      </c>
      <c r="S313" s="315">
        <f t="shared" si="88"/>
        <v>181</v>
      </c>
      <c r="T313" s="315">
        <f t="shared" si="89"/>
        <v>403</v>
      </c>
      <c r="U313" s="315">
        <f t="shared" si="90"/>
        <v>1803</v>
      </c>
      <c r="V313" s="591">
        <f t="shared" si="84"/>
        <v>646</v>
      </c>
      <c r="W313" s="598">
        <f t="shared" si="91"/>
        <v>646</v>
      </c>
    </row>
    <row r="314" spans="2:23" ht="15">
      <c r="B314" s="1043" t="s">
        <v>1199</v>
      </c>
      <c r="C314" s="1043" t="s">
        <v>1200</v>
      </c>
      <c r="D314" s="1046"/>
      <c r="E314" s="1043" t="s">
        <v>611</v>
      </c>
      <c r="F314" s="1032">
        <f>VALUE(Data.Sard!G312)</f>
        <v>3.830034800679348E-2</v>
      </c>
      <c r="G314" s="844">
        <f>Data.Sard!J312</f>
        <v>5.3805868426716405E-2</v>
      </c>
      <c r="H314" s="1043">
        <v>24827703</v>
      </c>
      <c r="I314" s="264"/>
      <c r="J314" s="904">
        <f>Data.Sard!N312</f>
        <v>0.162384757374161</v>
      </c>
      <c r="K314" s="595">
        <f t="shared" si="79"/>
        <v>355</v>
      </c>
      <c r="L314" s="591">
        <f t="shared" si="80"/>
        <v>385</v>
      </c>
      <c r="M314" s="591">
        <f t="shared" si="81"/>
        <v>366</v>
      </c>
      <c r="N314" s="591">
        <f t="shared" si="82"/>
        <v>285</v>
      </c>
      <c r="O314" s="591">
        <f t="shared" si="83"/>
        <v>85</v>
      </c>
      <c r="P314" s="315">
        <f t="shared" si="85"/>
        <v>246</v>
      </c>
      <c r="Q314" s="315">
        <f t="shared" si="86"/>
        <v>175</v>
      </c>
      <c r="R314" s="315">
        <f t="shared" si="87"/>
        <v>357</v>
      </c>
      <c r="S314" s="315">
        <f t="shared" si="88"/>
        <v>182</v>
      </c>
      <c r="T314" s="315">
        <f t="shared" si="89"/>
        <v>69</v>
      </c>
      <c r="U314" s="315">
        <f t="shared" si="90"/>
        <v>1029</v>
      </c>
      <c r="V314" s="591">
        <f t="shared" si="84"/>
        <v>254</v>
      </c>
      <c r="W314" s="598">
        <f t="shared" si="91"/>
        <v>254</v>
      </c>
    </row>
    <row r="315" spans="2:23" ht="15">
      <c r="B315" s="996" t="s">
        <v>1201</v>
      </c>
      <c r="C315" s="1043" t="s">
        <v>1202</v>
      </c>
      <c r="D315" s="1046"/>
      <c r="E315" s="1043" t="s">
        <v>570</v>
      </c>
      <c r="F315" s="1032">
        <f>VALUE(Data.Sard!G313)</f>
        <v>0</v>
      </c>
      <c r="G315" s="844">
        <f>Data.Sard!J313</f>
        <v>13.803116246954852</v>
      </c>
      <c r="H315" s="1043">
        <v>49</v>
      </c>
      <c r="I315" s="264">
        <f>VALUE(Data.Sard!L313)</f>
        <v>1.41</v>
      </c>
      <c r="J315" s="904">
        <f>Data.Sard!N313</f>
        <v>1</v>
      </c>
      <c r="K315" s="595">
        <f t="shared" si="79"/>
        <v>442</v>
      </c>
      <c r="L315" s="591">
        <f t="shared" si="80"/>
        <v>44</v>
      </c>
      <c r="M315" s="591">
        <f t="shared" si="81"/>
        <v>670</v>
      </c>
      <c r="N315" s="591">
        <f t="shared" si="82"/>
        <v>67</v>
      </c>
      <c r="O315" s="591">
        <f t="shared" si="83"/>
        <v>1</v>
      </c>
      <c r="P315" s="315">
        <f t="shared" si="85"/>
        <v>333</v>
      </c>
      <c r="Q315" s="315">
        <f t="shared" si="86"/>
        <v>166</v>
      </c>
      <c r="R315" s="315">
        <f t="shared" si="87"/>
        <v>661</v>
      </c>
      <c r="S315" s="315">
        <f t="shared" si="88"/>
        <v>36</v>
      </c>
      <c r="T315" s="315">
        <f t="shared" si="89"/>
        <v>15</v>
      </c>
      <c r="U315" s="315">
        <f t="shared" si="90"/>
        <v>1211</v>
      </c>
      <c r="V315" s="591">
        <f t="shared" si="84"/>
        <v>312</v>
      </c>
      <c r="W315" s="598">
        <f t="shared" si="91"/>
        <v>312</v>
      </c>
    </row>
    <row r="316" spans="2:23" ht="15">
      <c r="B316" s="1043" t="s">
        <v>1203</v>
      </c>
      <c r="C316" s="1043" t="s">
        <v>1204</v>
      </c>
      <c r="D316" s="1046"/>
      <c r="E316" s="1043" t="s">
        <v>611</v>
      </c>
      <c r="F316" s="1032">
        <f>VALUE(Data.Sard!G314)</f>
        <v>4.9976797848285674E-2</v>
      </c>
      <c r="G316" s="844">
        <f>Data.Sard!J314</f>
        <v>11.717444246430423</v>
      </c>
      <c r="H316" s="1043">
        <v>19292197</v>
      </c>
      <c r="I316" s="264"/>
      <c r="J316" s="904">
        <f>Data.Sard!N314</f>
        <v>7.5564712586920879E-2</v>
      </c>
      <c r="K316" s="595">
        <f t="shared" si="79"/>
        <v>330</v>
      </c>
      <c r="L316" s="591">
        <f t="shared" si="80"/>
        <v>56</v>
      </c>
      <c r="M316" s="591">
        <f t="shared" si="81"/>
        <v>400</v>
      </c>
      <c r="N316" s="591">
        <f t="shared" si="82"/>
        <v>285</v>
      </c>
      <c r="O316" s="591">
        <f t="shared" si="83"/>
        <v>208</v>
      </c>
      <c r="P316" s="315">
        <f t="shared" si="85"/>
        <v>221</v>
      </c>
      <c r="Q316" s="315">
        <f t="shared" si="86"/>
        <v>154</v>
      </c>
      <c r="R316" s="315">
        <f t="shared" si="87"/>
        <v>391</v>
      </c>
      <c r="S316" s="315">
        <f t="shared" si="88"/>
        <v>182</v>
      </c>
      <c r="T316" s="315">
        <f t="shared" si="89"/>
        <v>192</v>
      </c>
      <c r="U316" s="315">
        <f t="shared" si="90"/>
        <v>1140</v>
      </c>
      <c r="V316" s="591">
        <f t="shared" si="84"/>
        <v>290</v>
      </c>
      <c r="W316" s="598">
        <f t="shared" si="91"/>
        <v>290</v>
      </c>
    </row>
    <row r="317" spans="2:23" ht="15">
      <c r="B317" s="1043" t="s">
        <v>1205</v>
      </c>
      <c r="C317" s="1043" t="s">
        <v>1206</v>
      </c>
      <c r="D317" s="1046"/>
      <c r="E317" s="1043" t="s">
        <v>570</v>
      </c>
      <c r="F317" s="1032">
        <f>VALUE(Data.Sard!G315)</f>
        <v>-4.2269877644848138E-2</v>
      </c>
      <c r="G317" s="844">
        <f>Data.Sard!J315</f>
        <v>-3.2197207077706858</v>
      </c>
      <c r="H317" s="1043">
        <v>1722629819</v>
      </c>
      <c r="I317" s="264">
        <f>VALUE(Data.Sard!L315)</f>
        <v>-0.10199999999999999</v>
      </c>
      <c r="J317" s="904">
        <f>Data.Sard!N315</f>
        <v>4.9975135380446421E-2</v>
      </c>
      <c r="K317" s="595">
        <f t="shared" si="79"/>
        <v>485</v>
      </c>
      <c r="L317" s="591">
        <f t="shared" si="80"/>
        <v>522</v>
      </c>
      <c r="M317" s="591">
        <f t="shared" si="81"/>
        <v>43</v>
      </c>
      <c r="N317" s="591">
        <f t="shared" si="82"/>
        <v>315</v>
      </c>
      <c r="O317" s="591">
        <f t="shared" si="83"/>
        <v>280</v>
      </c>
      <c r="P317" s="315">
        <f t="shared" si="85"/>
        <v>376</v>
      </c>
      <c r="Q317" s="315">
        <f t="shared" si="86"/>
        <v>312</v>
      </c>
      <c r="R317" s="315">
        <f t="shared" si="87"/>
        <v>34</v>
      </c>
      <c r="S317" s="315">
        <f t="shared" si="88"/>
        <v>212</v>
      </c>
      <c r="T317" s="315">
        <f t="shared" si="89"/>
        <v>264</v>
      </c>
      <c r="U317" s="315">
        <f t="shared" si="90"/>
        <v>1198</v>
      </c>
      <c r="V317" s="591">
        <f t="shared" si="84"/>
        <v>307</v>
      </c>
      <c r="W317" s="598">
        <f t="shared" si="91"/>
        <v>307</v>
      </c>
    </row>
    <row r="318" spans="2:23" ht="15">
      <c r="B318" s="996" t="s">
        <v>1207</v>
      </c>
      <c r="C318" s="1043" t="s">
        <v>1208</v>
      </c>
      <c r="D318" s="1046"/>
      <c r="E318" s="1043" t="s">
        <v>546</v>
      </c>
      <c r="F318" s="1032">
        <f>VALUE(Data.Sard!G316)</f>
        <v>-0.17958576602445381</v>
      </c>
      <c r="G318" s="844">
        <f>Data.Sard!J316</f>
        <v>-5.3603717120806422</v>
      </c>
      <c r="H318" s="1043">
        <v>23771523</v>
      </c>
      <c r="I318" s="264">
        <f>VALUE(Data.Sard!L316)</f>
        <v>1.1859999999999999</v>
      </c>
      <c r="J318" s="904">
        <f>Data.Sard!N316</f>
        <v>-7.527476783111868E-2</v>
      </c>
      <c r="K318" s="595">
        <f t="shared" si="79"/>
        <v>541</v>
      </c>
      <c r="L318" s="591">
        <f t="shared" si="80"/>
        <v>541</v>
      </c>
      <c r="M318" s="591">
        <f t="shared" si="81"/>
        <v>373</v>
      </c>
      <c r="N318" s="591">
        <f t="shared" si="82"/>
        <v>82</v>
      </c>
      <c r="O318" s="591">
        <f t="shared" si="83"/>
        <v>495</v>
      </c>
      <c r="P318" s="315">
        <f t="shared" si="85"/>
        <v>432</v>
      </c>
      <c r="Q318" s="315">
        <f t="shared" si="86"/>
        <v>331</v>
      </c>
      <c r="R318" s="315">
        <f t="shared" si="87"/>
        <v>364</v>
      </c>
      <c r="S318" s="315">
        <f t="shared" si="88"/>
        <v>21</v>
      </c>
      <c r="T318" s="315">
        <f t="shared" si="89"/>
        <v>479</v>
      </c>
      <c r="U318" s="315">
        <f t="shared" si="90"/>
        <v>1627</v>
      </c>
      <c r="V318" s="591">
        <f t="shared" si="84"/>
        <v>548</v>
      </c>
      <c r="W318" s="598">
        <f t="shared" si="91"/>
        <v>548</v>
      </c>
    </row>
    <row r="319" spans="2:23" ht="15">
      <c r="B319" s="996" t="s">
        <v>1209</v>
      </c>
      <c r="C319" s="1043" t="s">
        <v>1210</v>
      </c>
      <c r="D319" s="1046"/>
      <c r="E319" s="1043" t="s">
        <v>683</v>
      </c>
      <c r="F319" s="1032">
        <f>VALUE(Data.Sard!G317)</f>
        <v>0.2391427172398207</v>
      </c>
      <c r="G319" s="844"/>
      <c r="H319" s="1043">
        <v>22949946</v>
      </c>
      <c r="I319" s="264">
        <f>VALUE(Data.Sard!L317)</f>
        <v>-2.95</v>
      </c>
      <c r="J319" s="904">
        <f>Data.Sard!N317</f>
        <v>-0.21393671867102471</v>
      </c>
      <c r="K319" s="595">
        <f t="shared" si="79"/>
        <v>82</v>
      </c>
      <c r="L319" s="591">
        <f t="shared" si="80"/>
        <v>397</v>
      </c>
      <c r="M319" s="591">
        <f t="shared" si="81"/>
        <v>378</v>
      </c>
      <c r="N319" s="591">
        <f t="shared" si="82"/>
        <v>501</v>
      </c>
      <c r="O319" s="591">
        <f t="shared" si="83"/>
        <v>538</v>
      </c>
      <c r="P319" s="315">
        <f t="shared" si="85"/>
        <v>27</v>
      </c>
      <c r="Q319" s="315">
        <f t="shared" si="86"/>
        <v>187</v>
      </c>
      <c r="R319" s="315">
        <f t="shared" si="87"/>
        <v>369</v>
      </c>
      <c r="S319" s="315">
        <f t="shared" si="88"/>
        <v>398</v>
      </c>
      <c r="T319" s="315">
        <f t="shared" si="89"/>
        <v>522</v>
      </c>
      <c r="U319" s="315">
        <f t="shared" si="90"/>
        <v>1503</v>
      </c>
      <c r="V319" s="591">
        <f t="shared" si="84"/>
        <v>467</v>
      </c>
      <c r="W319" s="598">
        <f t="shared" si="91"/>
        <v>467</v>
      </c>
    </row>
    <row r="320" spans="2:23" ht="15">
      <c r="B320" s="996" t="s">
        <v>1211</v>
      </c>
      <c r="C320" s="1043" t="s">
        <v>1212</v>
      </c>
      <c r="D320" s="1046"/>
      <c r="E320" s="1043" t="s">
        <v>603</v>
      </c>
      <c r="F320" s="1032"/>
      <c r="G320" s="844">
        <f>Data.Sard!J318</f>
        <v>39.55459888466423</v>
      </c>
      <c r="H320" s="1043">
        <v>28179</v>
      </c>
      <c r="I320" s="264"/>
      <c r="J320" s="904"/>
      <c r="K320" s="595">
        <f t="shared" si="79"/>
        <v>442</v>
      </c>
      <c r="L320" s="591">
        <f t="shared" si="80"/>
        <v>14</v>
      </c>
      <c r="M320" s="591">
        <f t="shared" si="81"/>
        <v>656</v>
      </c>
      <c r="N320" s="591">
        <f t="shared" si="82"/>
        <v>285</v>
      </c>
      <c r="O320" s="591">
        <f t="shared" si="83"/>
        <v>419</v>
      </c>
      <c r="P320" s="315">
        <f t="shared" si="85"/>
        <v>333</v>
      </c>
      <c r="Q320" s="315">
        <f t="shared" si="86"/>
        <v>196</v>
      </c>
      <c r="R320" s="315">
        <f t="shared" si="87"/>
        <v>647</v>
      </c>
      <c r="S320" s="315">
        <f t="shared" si="88"/>
        <v>182</v>
      </c>
      <c r="T320" s="315">
        <f t="shared" si="89"/>
        <v>403</v>
      </c>
      <c r="U320" s="315">
        <f t="shared" si="90"/>
        <v>1761</v>
      </c>
      <c r="V320" s="591">
        <f t="shared" si="84"/>
        <v>623</v>
      </c>
      <c r="W320" s="598">
        <f t="shared" si="91"/>
        <v>623</v>
      </c>
    </row>
    <row r="321" spans="2:23" ht="15">
      <c r="B321" s="1043" t="s">
        <v>1213</v>
      </c>
      <c r="C321" s="1043" t="s">
        <v>1214</v>
      </c>
      <c r="D321" s="1046"/>
      <c r="E321" s="1043" t="s">
        <v>1048</v>
      </c>
      <c r="F321" s="1032">
        <f>VALUE(Data.Sard!G319)</f>
        <v>8.9269619192730229E-2</v>
      </c>
      <c r="G321" s="844">
        <f>Data.Sard!J319</f>
        <v>13.002502239933264</v>
      </c>
      <c r="H321" s="1043">
        <v>17953184</v>
      </c>
      <c r="I321" s="264"/>
      <c r="J321" s="904">
        <f>Data.Sard!N319</f>
        <v>1.0165977782213467E-2</v>
      </c>
      <c r="K321" s="595">
        <f t="shared" si="79"/>
        <v>247</v>
      </c>
      <c r="L321" s="591">
        <f t="shared" si="80"/>
        <v>50</v>
      </c>
      <c r="M321" s="591">
        <f t="shared" si="81"/>
        <v>414</v>
      </c>
      <c r="N321" s="591">
        <f t="shared" si="82"/>
        <v>285</v>
      </c>
      <c r="O321" s="591">
        <f t="shared" si="83"/>
        <v>392</v>
      </c>
      <c r="P321" s="315">
        <f t="shared" si="85"/>
        <v>138</v>
      </c>
      <c r="Q321" s="315">
        <f t="shared" si="86"/>
        <v>160</v>
      </c>
      <c r="R321" s="315">
        <f t="shared" si="87"/>
        <v>405</v>
      </c>
      <c r="S321" s="315">
        <f t="shared" si="88"/>
        <v>182</v>
      </c>
      <c r="T321" s="315">
        <f t="shared" si="89"/>
        <v>376</v>
      </c>
      <c r="U321" s="315">
        <f t="shared" si="90"/>
        <v>1261</v>
      </c>
      <c r="V321" s="591">
        <f t="shared" si="84"/>
        <v>341</v>
      </c>
      <c r="W321" s="598">
        <f t="shared" si="91"/>
        <v>341</v>
      </c>
    </row>
    <row r="322" spans="2:23" ht="15">
      <c r="B322" s="1043" t="s">
        <v>1215</v>
      </c>
      <c r="C322" s="1043" t="s">
        <v>1216</v>
      </c>
      <c r="D322" s="1046"/>
      <c r="E322" s="1043" t="s">
        <v>584</v>
      </c>
      <c r="F322" s="1032">
        <f>VALUE(Data.Sard!G320)</f>
        <v>5.2388076948808975E-2</v>
      </c>
      <c r="G322" s="844">
        <f>Data.Sard!J320</f>
        <v>5.5395039755444255</v>
      </c>
      <c r="H322" s="1043">
        <v>322416227</v>
      </c>
      <c r="I322" s="264">
        <f>VALUE(Data.Sard!L320)</f>
        <v>-0.59699999999999998</v>
      </c>
      <c r="J322" s="904">
        <f>Data.Sard!N320</f>
        <v>2.69550388730447E-2</v>
      </c>
      <c r="K322" s="595">
        <f t="shared" si="79"/>
        <v>326</v>
      </c>
      <c r="L322" s="591">
        <f t="shared" si="80"/>
        <v>114</v>
      </c>
      <c r="M322" s="591">
        <f t="shared" si="81"/>
        <v>128</v>
      </c>
      <c r="N322" s="591">
        <f t="shared" si="82"/>
        <v>399</v>
      </c>
      <c r="O322" s="591">
        <f t="shared" si="83"/>
        <v>344</v>
      </c>
      <c r="P322" s="315">
        <f t="shared" si="85"/>
        <v>217</v>
      </c>
      <c r="Q322" s="315">
        <f t="shared" si="86"/>
        <v>96</v>
      </c>
      <c r="R322" s="315">
        <f t="shared" si="87"/>
        <v>119</v>
      </c>
      <c r="S322" s="315">
        <f t="shared" si="88"/>
        <v>296</v>
      </c>
      <c r="T322" s="315">
        <f t="shared" si="89"/>
        <v>328</v>
      </c>
      <c r="U322" s="315">
        <f t="shared" si="90"/>
        <v>1056</v>
      </c>
      <c r="V322" s="591">
        <f t="shared" si="84"/>
        <v>260</v>
      </c>
      <c r="W322" s="598">
        <f t="shared" si="91"/>
        <v>260</v>
      </c>
    </row>
    <row r="323" spans="2:23" ht="15">
      <c r="B323" s="996" t="s">
        <v>1217</v>
      </c>
      <c r="C323" s="1043" t="s">
        <v>1218</v>
      </c>
      <c r="D323" s="1046"/>
      <c r="E323" s="1043" t="s">
        <v>603</v>
      </c>
      <c r="F323" s="1032">
        <f>VALUE(Data.Sard!G321)</f>
        <v>8.6943852099481619E-2</v>
      </c>
      <c r="G323" s="844">
        <f>Data.Sard!J321</f>
        <v>3.0514738990272616</v>
      </c>
      <c r="H323" s="1043">
        <v>4691966</v>
      </c>
      <c r="I323" s="264">
        <f>VALUE(Data.Sard!L321)</f>
        <v>-0.34100000000000003</v>
      </c>
      <c r="J323" s="904">
        <f>Data.Sard!N321</f>
        <v>3.8874527878465355E-2</v>
      </c>
      <c r="K323" s="595">
        <f t="shared" si="79"/>
        <v>251</v>
      </c>
      <c r="L323" s="591">
        <f t="shared" si="80"/>
        <v>182</v>
      </c>
      <c r="M323" s="591">
        <f t="shared" si="81"/>
        <v>531</v>
      </c>
      <c r="N323" s="591">
        <f t="shared" si="82"/>
        <v>361</v>
      </c>
      <c r="O323" s="591">
        <f t="shared" si="83"/>
        <v>307</v>
      </c>
      <c r="P323" s="315">
        <f t="shared" si="85"/>
        <v>142</v>
      </c>
      <c r="Q323" s="315">
        <f t="shared" si="86"/>
        <v>28</v>
      </c>
      <c r="R323" s="315">
        <f t="shared" si="87"/>
        <v>522</v>
      </c>
      <c r="S323" s="315">
        <f t="shared" si="88"/>
        <v>258</v>
      </c>
      <c r="T323" s="315">
        <f t="shared" si="89"/>
        <v>291</v>
      </c>
      <c r="U323" s="315">
        <f t="shared" si="90"/>
        <v>1241</v>
      </c>
      <c r="V323" s="591">
        <f t="shared" si="84"/>
        <v>329</v>
      </c>
      <c r="W323" s="598">
        <f t="shared" si="91"/>
        <v>329</v>
      </c>
    </row>
    <row r="324" spans="2:23" ht="15">
      <c r="B324" s="1043" t="s">
        <v>1219</v>
      </c>
      <c r="C324" s="1043" t="s">
        <v>1220</v>
      </c>
      <c r="D324" s="1046"/>
      <c r="E324" s="1043" t="s">
        <v>603</v>
      </c>
      <c r="F324" s="1032">
        <f>VALUE(Data.Sard!G322)</f>
        <v>0.21176399267885904</v>
      </c>
      <c r="G324" s="844">
        <f>Data.Sard!J322</f>
        <v>6.4122279015476238</v>
      </c>
      <c r="H324" s="1043">
        <v>314615950</v>
      </c>
      <c r="I324" s="264">
        <f>VALUE(Data.Sard!L322)</f>
        <v>-0.16500000000000001</v>
      </c>
      <c r="J324" s="904">
        <f>Data.Sard!N322</f>
        <v>5.7867834225977528E-2</v>
      </c>
      <c r="K324" s="595">
        <f t="shared" si="79"/>
        <v>99</v>
      </c>
      <c r="L324" s="591">
        <f t="shared" si="80"/>
        <v>96</v>
      </c>
      <c r="M324" s="591">
        <f t="shared" si="81"/>
        <v>132</v>
      </c>
      <c r="N324" s="591">
        <f t="shared" si="82"/>
        <v>332</v>
      </c>
      <c r="O324" s="591">
        <f t="shared" si="83"/>
        <v>252</v>
      </c>
      <c r="P324" s="315">
        <f t="shared" si="85"/>
        <v>10</v>
      </c>
      <c r="Q324" s="315">
        <f t="shared" si="86"/>
        <v>114</v>
      </c>
      <c r="R324" s="315">
        <f t="shared" si="87"/>
        <v>123</v>
      </c>
      <c r="S324" s="315">
        <f t="shared" si="88"/>
        <v>229</v>
      </c>
      <c r="T324" s="315">
        <f t="shared" si="89"/>
        <v>236</v>
      </c>
      <c r="U324" s="315">
        <f t="shared" si="90"/>
        <v>712</v>
      </c>
      <c r="V324" s="591">
        <f t="shared" si="84"/>
        <v>118</v>
      </c>
      <c r="W324" s="598">
        <f t="shared" si="91"/>
        <v>118</v>
      </c>
    </row>
    <row r="325" spans="2:23" ht="15">
      <c r="B325" s="996" t="s">
        <v>1221</v>
      </c>
      <c r="C325" s="1043" t="s">
        <v>1222</v>
      </c>
      <c r="D325" s="1046"/>
      <c r="E325" s="1043" t="s">
        <v>736</v>
      </c>
      <c r="F325" s="1032">
        <f>VALUE(Data.Sard!G323)</f>
        <v>6.006308916369673E-2</v>
      </c>
      <c r="G325" s="844">
        <f>Data.Sard!J323</f>
        <v>0</v>
      </c>
      <c r="H325" s="1043">
        <v>271781140</v>
      </c>
      <c r="I325" s="264">
        <f>VALUE(Data.Sard!L323)</f>
        <v>6.5000000000000002E-2</v>
      </c>
      <c r="J325" s="904">
        <f>Data.Sard!N323</f>
        <v>2.8314752458206884E-2</v>
      </c>
      <c r="K325" s="595">
        <f t="shared" ref="K325:K388" si="92">IFERROR(_xlfn.RANK.EQ(F325,F$3:F$706),"N/A")</f>
        <v>304</v>
      </c>
      <c r="L325" s="591">
        <f t="shared" ref="L325:L388" si="93">IFERROR(_xlfn.RANK.EQ(G325,G$3:G$706),"N/A")</f>
        <v>397</v>
      </c>
      <c r="M325" s="591">
        <f t="shared" ref="M325:M388" si="94">IFERROR(_xlfn.RANK.EQ(H325,H$3:H$706),"N/A")</f>
        <v>144</v>
      </c>
      <c r="N325" s="591">
        <f t="shared" ref="N325:N388" si="95">IFERROR(_xlfn.RANK.EQ(I325,I$3:I$706),"N/A")</f>
        <v>271</v>
      </c>
      <c r="O325" s="591">
        <f t="shared" ref="O325:O388" si="96">IFERROR(_xlfn.RANK.EQ(J325,J$3:J$706),"N/A")</f>
        <v>341</v>
      </c>
      <c r="P325" s="315">
        <f t="shared" si="85"/>
        <v>195</v>
      </c>
      <c r="Q325" s="315">
        <f t="shared" si="86"/>
        <v>187</v>
      </c>
      <c r="R325" s="315">
        <f t="shared" si="87"/>
        <v>135</v>
      </c>
      <c r="S325" s="315">
        <f t="shared" si="88"/>
        <v>168</v>
      </c>
      <c r="T325" s="315">
        <f t="shared" si="89"/>
        <v>325</v>
      </c>
      <c r="U325" s="315">
        <f t="shared" si="90"/>
        <v>1010</v>
      </c>
      <c r="V325" s="591">
        <f t="shared" ref="V325:V388" si="97">_xlfn.RANK.EQ(U325,$U$4:$U$706,1)</f>
        <v>241</v>
      </c>
      <c r="W325" s="598">
        <f t="shared" si="91"/>
        <v>241</v>
      </c>
    </row>
    <row r="326" spans="2:23" ht="15">
      <c r="B326" s="996" t="s">
        <v>1223</v>
      </c>
      <c r="C326" s="1043" t="s">
        <v>1224</v>
      </c>
      <c r="D326" s="1046"/>
      <c r="E326" s="1043" t="s">
        <v>1048</v>
      </c>
      <c r="F326" s="1032">
        <f>VALUE(Data.Sard!G324)</f>
        <v>-0.13238445008926294</v>
      </c>
      <c r="G326" s="844">
        <f>Data.Sard!J324</f>
        <v>9.3521672688026829</v>
      </c>
      <c r="H326" s="1043">
        <v>11540621</v>
      </c>
      <c r="I326" s="264">
        <f>VALUE(Data.Sard!L324)</f>
        <v>2.5419999999999998</v>
      </c>
      <c r="J326" s="904">
        <f>Data.Sard!N324</f>
        <v>-5.5083531757577289</v>
      </c>
      <c r="K326" s="595">
        <f t="shared" si="92"/>
        <v>529</v>
      </c>
      <c r="L326" s="591">
        <f t="shared" si="93"/>
        <v>65</v>
      </c>
      <c r="M326" s="591">
        <f t="shared" si="94"/>
        <v>457</v>
      </c>
      <c r="N326" s="591">
        <f t="shared" si="95"/>
        <v>39</v>
      </c>
      <c r="O326" s="591">
        <f t="shared" si="96"/>
        <v>592</v>
      </c>
      <c r="P326" s="315">
        <f t="shared" si="85"/>
        <v>420</v>
      </c>
      <c r="Q326" s="315">
        <f t="shared" si="86"/>
        <v>145</v>
      </c>
      <c r="R326" s="315">
        <f t="shared" si="87"/>
        <v>448</v>
      </c>
      <c r="S326" s="315">
        <f t="shared" si="88"/>
        <v>64</v>
      </c>
      <c r="T326" s="315">
        <f t="shared" si="89"/>
        <v>576</v>
      </c>
      <c r="U326" s="315">
        <f t="shared" si="90"/>
        <v>1653</v>
      </c>
      <c r="V326" s="591">
        <f t="shared" si="97"/>
        <v>558</v>
      </c>
      <c r="W326" s="598">
        <f t="shared" si="91"/>
        <v>558</v>
      </c>
    </row>
    <row r="327" spans="2:23" ht="15">
      <c r="B327" s="996" t="s">
        <v>1225</v>
      </c>
      <c r="C327" s="1043" t="s">
        <v>1226</v>
      </c>
      <c r="D327" s="1046"/>
      <c r="E327" s="1043" t="s">
        <v>573</v>
      </c>
      <c r="F327" s="1032">
        <f>VALUE(Data.Sard!G325)</f>
        <v>0.40100370103626959</v>
      </c>
      <c r="G327" s="844">
        <f>Data.Sard!J325</f>
        <v>-4.6705550084111733</v>
      </c>
      <c r="H327" s="1043">
        <v>23042250</v>
      </c>
      <c r="I327" s="264">
        <f>VALUE(Data.Sard!L325)</f>
        <v>0.89900000000000002</v>
      </c>
      <c r="J327" s="904">
        <f>Data.Sard!N325</f>
        <v>9.2659011960671292E-2</v>
      </c>
      <c r="K327" s="595">
        <f t="shared" si="92"/>
        <v>39</v>
      </c>
      <c r="L327" s="591">
        <f t="shared" si="93"/>
        <v>536</v>
      </c>
      <c r="M327" s="591">
        <f t="shared" si="94"/>
        <v>375</v>
      </c>
      <c r="N327" s="591">
        <f t="shared" si="95"/>
        <v>117</v>
      </c>
      <c r="O327" s="591">
        <f t="shared" si="96"/>
        <v>171</v>
      </c>
      <c r="P327" s="315">
        <f t="shared" si="85"/>
        <v>70</v>
      </c>
      <c r="Q327" s="315">
        <f t="shared" si="86"/>
        <v>326</v>
      </c>
      <c r="R327" s="315">
        <f t="shared" si="87"/>
        <v>366</v>
      </c>
      <c r="S327" s="315">
        <f t="shared" si="88"/>
        <v>14</v>
      </c>
      <c r="T327" s="315">
        <f t="shared" si="89"/>
        <v>155</v>
      </c>
      <c r="U327" s="315">
        <f t="shared" si="90"/>
        <v>931</v>
      </c>
      <c r="V327" s="591">
        <f t="shared" si="97"/>
        <v>201</v>
      </c>
      <c r="W327" s="598">
        <f t="shared" si="91"/>
        <v>201</v>
      </c>
    </row>
    <row r="328" spans="2:23" ht="15">
      <c r="B328" s="996" t="s">
        <v>1227</v>
      </c>
      <c r="C328" s="1043" t="s">
        <v>1228</v>
      </c>
      <c r="D328" s="1046"/>
      <c r="E328" s="1043" t="s">
        <v>546</v>
      </c>
      <c r="F328" s="1032">
        <f>VALUE(Data.Sard!G326)</f>
        <v>-3.3436157287422226E-2</v>
      </c>
      <c r="G328" s="844">
        <f>Data.Sard!J326</f>
        <v>-9.7660244919235719</v>
      </c>
      <c r="H328" s="1043">
        <v>18601537</v>
      </c>
      <c r="I328" s="264">
        <f>VALUE(Data.Sard!L326)</f>
        <v>-1.3819999999999999</v>
      </c>
      <c r="J328" s="904">
        <f>Data.Sard!N326</f>
        <v>-5.7184184485357455E-2</v>
      </c>
      <c r="K328" s="595">
        <f t="shared" si="92"/>
        <v>475</v>
      </c>
      <c r="L328" s="591">
        <f t="shared" si="93"/>
        <v>564</v>
      </c>
      <c r="M328" s="591">
        <f t="shared" si="94"/>
        <v>407</v>
      </c>
      <c r="N328" s="591">
        <f t="shared" si="95"/>
        <v>462</v>
      </c>
      <c r="O328" s="591">
        <f t="shared" si="96"/>
        <v>479</v>
      </c>
      <c r="P328" s="315">
        <f t="shared" si="85"/>
        <v>366</v>
      </c>
      <c r="Q328" s="315">
        <f t="shared" si="86"/>
        <v>354</v>
      </c>
      <c r="R328" s="315">
        <f t="shared" si="87"/>
        <v>398</v>
      </c>
      <c r="S328" s="315">
        <f t="shared" si="88"/>
        <v>359</v>
      </c>
      <c r="T328" s="315">
        <f t="shared" si="89"/>
        <v>463</v>
      </c>
      <c r="U328" s="315">
        <f t="shared" si="90"/>
        <v>1940</v>
      </c>
      <c r="V328" s="591">
        <f t="shared" si="97"/>
        <v>690</v>
      </c>
      <c r="W328" s="598">
        <f t="shared" si="91"/>
        <v>690</v>
      </c>
    </row>
    <row r="329" spans="2:23" ht="15">
      <c r="B329" s="1043" t="s">
        <v>1229</v>
      </c>
      <c r="C329" s="1043" t="s">
        <v>1230</v>
      </c>
      <c r="D329" s="1046"/>
      <c r="E329" s="1043" t="s">
        <v>603</v>
      </c>
      <c r="F329" s="1032">
        <f>VALUE(Data.Sard!G327)</f>
        <v>-7.6133990255287581E-2</v>
      </c>
      <c r="G329" s="844">
        <f>Data.Sard!J327</f>
        <v>0.51792894190282512</v>
      </c>
      <c r="H329" s="1043">
        <v>3686847</v>
      </c>
      <c r="I329" s="264">
        <f>VALUE(Data.Sard!L327)</f>
        <v>-0.48099999999999998</v>
      </c>
      <c r="J329" s="904">
        <f>Data.Sard!N327</f>
        <v>-1.0927546889632567</v>
      </c>
      <c r="K329" s="595">
        <f t="shared" si="92"/>
        <v>506</v>
      </c>
      <c r="L329" s="591">
        <f t="shared" si="93"/>
        <v>329</v>
      </c>
      <c r="M329" s="591">
        <f t="shared" si="94"/>
        <v>551</v>
      </c>
      <c r="N329" s="591">
        <f t="shared" si="95"/>
        <v>385</v>
      </c>
      <c r="O329" s="591">
        <f t="shared" si="96"/>
        <v>578</v>
      </c>
      <c r="P329" s="315">
        <f t="shared" si="85"/>
        <v>397</v>
      </c>
      <c r="Q329" s="315">
        <f t="shared" si="86"/>
        <v>119</v>
      </c>
      <c r="R329" s="315">
        <f t="shared" si="87"/>
        <v>542</v>
      </c>
      <c r="S329" s="315">
        <f t="shared" si="88"/>
        <v>282</v>
      </c>
      <c r="T329" s="315">
        <f t="shared" si="89"/>
        <v>562</v>
      </c>
      <c r="U329" s="315">
        <f t="shared" si="90"/>
        <v>1902</v>
      </c>
      <c r="V329" s="591">
        <f t="shared" si="97"/>
        <v>684</v>
      </c>
      <c r="W329" s="598">
        <f t="shared" si="91"/>
        <v>684</v>
      </c>
    </row>
    <row r="330" spans="2:23" ht="15">
      <c r="B330" s="1043" t="s">
        <v>1231</v>
      </c>
      <c r="C330" s="1043" t="s">
        <v>1232</v>
      </c>
      <c r="D330" s="1046"/>
      <c r="E330" s="1043" t="s">
        <v>603</v>
      </c>
      <c r="F330" s="1032">
        <f>VALUE(Data.Sard!G328)</f>
        <v>0.41665171459950828</v>
      </c>
      <c r="G330" s="844">
        <f>Data.Sard!J328</f>
        <v>0</v>
      </c>
      <c r="H330" s="1043">
        <v>4818310328</v>
      </c>
      <c r="I330" s="264">
        <f>VALUE(Data.Sard!L328)</f>
        <v>-0.74099999999999999</v>
      </c>
      <c r="J330" s="904">
        <f>Data.Sard!N328</f>
        <v>0.16636548728582279</v>
      </c>
      <c r="K330" s="595">
        <f t="shared" si="92"/>
        <v>36</v>
      </c>
      <c r="L330" s="591">
        <f t="shared" si="93"/>
        <v>397</v>
      </c>
      <c r="M330" s="591">
        <f t="shared" si="94"/>
        <v>25</v>
      </c>
      <c r="N330" s="591">
        <f t="shared" si="95"/>
        <v>417</v>
      </c>
      <c r="O330" s="591">
        <f t="shared" si="96"/>
        <v>76</v>
      </c>
      <c r="P330" s="315">
        <f t="shared" si="85"/>
        <v>73</v>
      </c>
      <c r="Q330" s="315">
        <f t="shared" si="86"/>
        <v>187</v>
      </c>
      <c r="R330" s="315">
        <f t="shared" si="87"/>
        <v>16</v>
      </c>
      <c r="S330" s="315">
        <f t="shared" si="88"/>
        <v>314</v>
      </c>
      <c r="T330" s="315">
        <f t="shared" si="89"/>
        <v>60</v>
      </c>
      <c r="U330" s="315">
        <f t="shared" si="90"/>
        <v>650</v>
      </c>
      <c r="V330" s="591">
        <f t="shared" si="97"/>
        <v>96</v>
      </c>
      <c r="W330" s="598">
        <f t="shared" si="91"/>
        <v>96</v>
      </c>
    </row>
    <row r="331" spans="2:23" ht="15">
      <c r="B331" s="996" t="s">
        <v>1233</v>
      </c>
      <c r="C331" s="1043" t="s">
        <v>1234</v>
      </c>
      <c r="D331" s="1046"/>
      <c r="E331" s="1043" t="s">
        <v>570</v>
      </c>
      <c r="F331" s="1032">
        <f>VALUE(Data.Sard!G329)</f>
        <v>0.17211931834000627</v>
      </c>
      <c r="G331" s="844">
        <f>Data.Sard!J329</f>
        <v>9.8915888535874341</v>
      </c>
      <c r="H331" s="1043">
        <v>2989870</v>
      </c>
      <c r="I331" s="264">
        <f>VALUE(Data.Sard!L329)</f>
        <v>0.23100000000000001</v>
      </c>
      <c r="J331" s="904">
        <f>Data.Sard!N329</f>
        <v>0.74000026867190738</v>
      </c>
      <c r="K331" s="595">
        <f t="shared" si="92"/>
        <v>135</v>
      </c>
      <c r="L331" s="591">
        <f t="shared" si="93"/>
        <v>62</v>
      </c>
      <c r="M331" s="591">
        <f t="shared" si="94"/>
        <v>565</v>
      </c>
      <c r="N331" s="591">
        <f t="shared" si="95"/>
        <v>229</v>
      </c>
      <c r="O331" s="591">
        <f t="shared" si="96"/>
        <v>4</v>
      </c>
      <c r="P331" s="315">
        <f t="shared" si="85"/>
        <v>26</v>
      </c>
      <c r="Q331" s="315">
        <f t="shared" si="86"/>
        <v>148</v>
      </c>
      <c r="R331" s="315">
        <f t="shared" si="87"/>
        <v>556</v>
      </c>
      <c r="S331" s="315">
        <f t="shared" si="88"/>
        <v>126</v>
      </c>
      <c r="T331" s="315">
        <f t="shared" si="89"/>
        <v>12</v>
      </c>
      <c r="U331" s="315">
        <f t="shared" si="90"/>
        <v>868</v>
      </c>
      <c r="V331" s="591">
        <f t="shared" si="97"/>
        <v>175</v>
      </c>
      <c r="W331" s="598">
        <f t="shared" si="91"/>
        <v>175</v>
      </c>
    </row>
    <row r="332" spans="2:23" ht="15">
      <c r="B332" s="1043" t="s">
        <v>1235</v>
      </c>
      <c r="C332" s="1043" t="s">
        <v>1236</v>
      </c>
      <c r="D332" s="1046"/>
      <c r="E332" s="1043" t="s">
        <v>678</v>
      </c>
      <c r="F332" s="1032">
        <f>VALUE(Data.Sard!G330)</f>
        <v>-7.704183489194659E-2</v>
      </c>
      <c r="G332" s="844">
        <f>Data.Sard!J330</f>
        <v>2.1798825256975038</v>
      </c>
      <c r="H332" s="1043">
        <v>755579</v>
      </c>
      <c r="I332" s="264"/>
      <c r="J332" s="904">
        <f>Data.Sard!N330</f>
        <v>0.146844036495411</v>
      </c>
      <c r="K332" s="595">
        <f t="shared" si="92"/>
        <v>508</v>
      </c>
      <c r="L332" s="591">
        <f t="shared" si="93"/>
        <v>231</v>
      </c>
      <c r="M332" s="591">
        <f t="shared" si="94"/>
        <v>618</v>
      </c>
      <c r="N332" s="591">
        <f t="shared" si="95"/>
        <v>285</v>
      </c>
      <c r="O332" s="591">
        <f t="shared" si="96"/>
        <v>96</v>
      </c>
      <c r="P332" s="315">
        <f t="shared" si="85"/>
        <v>399</v>
      </c>
      <c r="Q332" s="315">
        <f t="shared" si="86"/>
        <v>21</v>
      </c>
      <c r="R332" s="315">
        <f t="shared" si="87"/>
        <v>609</v>
      </c>
      <c r="S332" s="315">
        <f t="shared" si="88"/>
        <v>182</v>
      </c>
      <c r="T332" s="315">
        <f t="shared" si="89"/>
        <v>80</v>
      </c>
      <c r="U332" s="315">
        <f t="shared" si="90"/>
        <v>1291</v>
      </c>
      <c r="V332" s="591">
        <f t="shared" si="97"/>
        <v>362</v>
      </c>
      <c r="W332" s="598">
        <f t="shared" si="91"/>
        <v>362</v>
      </c>
    </row>
    <row r="333" spans="2:23" ht="15">
      <c r="B333" s="996" t="s">
        <v>1237</v>
      </c>
      <c r="C333" s="1043" t="s">
        <v>1238</v>
      </c>
      <c r="D333" s="1046"/>
      <c r="E333" s="1043" t="s">
        <v>546</v>
      </c>
      <c r="F333" s="1032">
        <f>VALUE(Data.Sard!G331)</f>
        <v>0.20727123878986342</v>
      </c>
      <c r="G333" s="844">
        <f>Data.Sard!J331</f>
        <v>19.423746803463043</v>
      </c>
      <c r="H333" s="1043">
        <v>27</v>
      </c>
      <c r="I333" s="264">
        <f>VALUE(Data.Sard!L331)</f>
        <v>-0.16600000000000001</v>
      </c>
      <c r="J333" s="904">
        <f>Data.Sard!N331</f>
        <v>9.8326165650815256E-2</v>
      </c>
      <c r="K333" s="595">
        <f t="shared" si="92"/>
        <v>102</v>
      </c>
      <c r="L333" s="591">
        <f t="shared" si="93"/>
        <v>29</v>
      </c>
      <c r="M333" s="591">
        <f t="shared" si="94"/>
        <v>674</v>
      </c>
      <c r="N333" s="591">
        <f t="shared" si="95"/>
        <v>334</v>
      </c>
      <c r="O333" s="591">
        <f t="shared" si="96"/>
        <v>161</v>
      </c>
      <c r="P333" s="315">
        <f t="shared" si="85"/>
        <v>7</v>
      </c>
      <c r="Q333" s="315">
        <f t="shared" si="86"/>
        <v>181</v>
      </c>
      <c r="R333" s="315">
        <f t="shared" si="87"/>
        <v>665</v>
      </c>
      <c r="S333" s="315">
        <f t="shared" si="88"/>
        <v>231</v>
      </c>
      <c r="T333" s="315">
        <f t="shared" si="89"/>
        <v>145</v>
      </c>
      <c r="U333" s="315">
        <f t="shared" si="90"/>
        <v>1229</v>
      </c>
      <c r="V333" s="591">
        <f t="shared" si="97"/>
        <v>325</v>
      </c>
      <c r="W333" s="598">
        <f t="shared" si="91"/>
        <v>325</v>
      </c>
    </row>
    <row r="334" spans="2:23" ht="15">
      <c r="B334" s="996" t="s">
        <v>1239</v>
      </c>
      <c r="C334" s="1043" t="s">
        <v>1240</v>
      </c>
      <c r="D334" s="1046"/>
      <c r="E334" s="1043" t="s">
        <v>603</v>
      </c>
      <c r="F334" s="1032">
        <f>VALUE(Data.Sard!G332)</f>
        <v>-2.1350705204550631E-2</v>
      </c>
      <c r="G334" s="844"/>
      <c r="H334" s="1043">
        <v>2100827</v>
      </c>
      <c r="I334" s="264"/>
      <c r="J334" s="904">
        <f>Data.Sard!N332</f>
        <v>4.7451000534786826E-2</v>
      </c>
      <c r="K334" s="595">
        <f t="shared" si="92"/>
        <v>463</v>
      </c>
      <c r="L334" s="591">
        <f t="shared" si="93"/>
        <v>397</v>
      </c>
      <c r="M334" s="591">
        <f t="shared" si="94"/>
        <v>584</v>
      </c>
      <c r="N334" s="591">
        <f t="shared" si="95"/>
        <v>285</v>
      </c>
      <c r="O334" s="591">
        <f t="shared" si="96"/>
        <v>287</v>
      </c>
      <c r="P334" s="315">
        <f t="shared" si="85"/>
        <v>354</v>
      </c>
      <c r="Q334" s="315">
        <f t="shared" si="86"/>
        <v>187</v>
      </c>
      <c r="R334" s="315">
        <f t="shared" si="87"/>
        <v>575</v>
      </c>
      <c r="S334" s="315">
        <f t="shared" si="88"/>
        <v>182</v>
      </c>
      <c r="T334" s="315">
        <f t="shared" si="89"/>
        <v>271</v>
      </c>
      <c r="U334" s="315">
        <f t="shared" si="90"/>
        <v>1569</v>
      </c>
      <c r="V334" s="591">
        <f t="shared" si="97"/>
        <v>508</v>
      </c>
      <c r="W334" s="598">
        <f t="shared" si="91"/>
        <v>508</v>
      </c>
    </row>
    <row r="335" spans="2:23" ht="15">
      <c r="B335" s="996" t="s">
        <v>1241</v>
      </c>
      <c r="C335" s="1043" t="s">
        <v>1242</v>
      </c>
      <c r="D335" s="1046"/>
      <c r="E335" s="1043" t="s">
        <v>603</v>
      </c>
      <c r="F335" s="1032"/>
      <c r="G335" s="844">
        <f>Data.Sard!J333</f>
        <v>1.2305753811319313E-2</v>
      </c>
      <c r="H335" s="1043">
        <v>960538</v>
      </c>
      <c r="I335" s="264">
        <f>VALUE(Data.Sard!L333)</f>
        <v>0.64700000000000002</v>
      </c>
      <c r="J335" s="904"/>
      <c r="K335" s="595">
        <f t="shared" si="92"/>
        <v>442</v>
      </c>
      <c r="L335" s="591">
        <f t="shared" si="93"/>
        <v>391</v>
      </c>
      <c r="M335" s="591">
        <f t="shared" si="94"/>
        <v>612</v>
      </c>
      <c r="N335" s="591">
        <f t="shared" si="95"/>
        <v>148</v>
      </c>
      <c r="O335" s="591">
        <f t="shared" si="96"/>
        <v>419</v>
      </c>
      <c r="P335" s="315">
        <f t="shared" si="85"/>
        <v>333</v>
      </c>
      <c r="Q335" s="315">
        <f t="shared" si="86"/>
        <v>181</v>
      </c>
      <c r="R335" s="315">
        <f t="shared" si="87"/>
        <v>603</v>
      </c>
      <c r="S335" s="315">
        <f t="shared" si="88"/>
        <v>45</v>
      </c>
      <c r="T335" s="315">
        <f t="shared" si="89"/>
        <v>403</v>
      </c>
      <c r="U335" s="315">
        <f t="shared" si="90"/>
        <v>1565</v>
      </c>
      <c r="V335" s="591">
        <f t="shared" si="97"/>
        <v>505</v>
      </c>
      <c r="W335" s="598">
        <f t="shared" si="91"/>
        <v>505</v>
      </c>
    </row>
    <row r="336" spans="2:23" ht="15">
      <c r="B336" s="1043" t="s">
        <v>1243</v>
      </c>
      <c r="C336" s="1043" t="s">
        <v>1244</v>
      </c>
      <c r="D336" s="1046"/>
      <c r="E336" s="1043" t="s">
        <v>556</v>
      </c>
      <c r="F336" s="1032">
        <f>VALUE(Data.Sard!G334)</f>
        <v>6.3282344062002421E-2</v>
      </c>
      <c r="G336" s="844">
        <f>Data.Sard!J334</f>
        <v>0</v>
      </c>
      <c r="H336" s="1043">
        <v>135832461</v>
      </c>
      <c r="I336" s="264"/>
      <c r="J336" s="904">
        <f>Data.Sard!N334</f>
        <v>0.1798773117698434</v>
      </c>
      <c r="K336" s="595">
        <f t="shared" si="92"/>
        <v>298</v>
      </c>
      <c r="L336" s="591">
        <f t="shared" si="93"/>
        <v>397</v>
      </c>
      <c r="M336" s="591">
        <f t="shared" si="94"/>
        <v>202</v>
      </c>
      <c r="N336" s="591">
        <f t="shared" si="95"/>
        <v>285</v>
      </c>
      <c r="O336" s="591">
        <f t="shared" si="96"/>
        <v>67</v>
      </c>
      <c r="P336" s="315">
        <f t="shared" si="85"/>
        <v>189</v>
      </c>
      <c r="Q336" s="315">
        <f t="shared" si="86"/>
        <v>187</v>
      </c>
      <c r="R336" s="315">
        <f t="shared" si="87"/>
        <v>193</v>
      </c>
      <c r="S336" s="315">
        <f t="shared" si="88"/>
        <v>182</v>
      </c>
      <c r="T336" s="315">
        <f t="shared" si="89"/>
        <v>51</v>
      </c>
      <c r="U336" s="315">
        <f t="shared" si="90"/>
        <v>802</v>
      </c>
      <c r="V336" s="591">
        <f t="shared" si="97"/>
        <v>145</v>
      </c>
      <c r="W336" s="598">
        <f t="shared" si="91"/>
        <v>145</v>
      </c>
    </row>
    <row r="337" spans="2:23" ht="15">
      <c r="B337" s="1043" t="s">
        <v>1245</v>
      </c>
      <c r="C337" s="1043" t="s">
        <v>1246</v>
      </c>
      <c r="D337" s="1046"/>
      <c r="E337" s="1043" t="s">
        <v>587</v>
      </c>
      <c r="F337" s="1032">
        <f>VALUE(Data.Sard!G335)</f>
        <v>0.36629497403286942</v>
      </c>
      <c r="G337" s="844"/>
      <c r="H337" s="1043">
        <v>44086942698</v>
      </c>
      <c r="I337" s="264">
        <f>VALUE(Data.Sard!L335)</f>
        <v>-7.1999999999999995E-2</v>
      </c>
      <c r="J337" s="904">
        <f>Data.Sard!N335</f>
        <v>0.22170853155507098</v>
      </c>
      <c r="K337" s="595">
        <f t="shared" si="92"/>
        <v>42</v>
      </c>
      <c r="L337" s="591">
        <f t="shared" si="93"/>
        <v>397</v>
      </c>
      <c r="M337" s="591">
        <f t="shared" si="94"/>
        <v>5</v>
      </c>
      <c r="N337" s="591">
        <f t="shared" si="95"/>
        <v>306</v>
      </c>
      <c r="O337" s="591">
        <f t="shared" si="96"/>
        <v>39</v>
      </c>
      <c r="P337" s="315">
        <f t="shared" si="85"/>
        <v>67</v>
      </c>
      <c r="Q337" s="315">
        <f t="shared" si="86"/>
        <v>187</v>
      </c>
      <c r="R337" s="315">
        <f t="shared" si="87"/>
        <v>4</v>
      </c>
      <c r="S337" s="315">
        <f t="shared" si="88"/>
        <v>203</v>
      </c>
      <c r="T337" s="315">
        <f t="shared" si="89"/>
        <v>23</v>
      </c>
      <c r="U337" s="315">
        <f t="shared" si="90"/>
        <v>484</v>
      </c>
      <c r="V337" s="591">
        <f t="shared" si="97"/>
        <v>33</v>
      </c>
      <c r="W337" s="598">
        <f t="shared" si="91"/>
        <v>33</v>
      </c>
    </row>
    <row r="338" spans="2:23" ht="15">
      <c r="B338" s="1043" t="s">
        <v>1247</v>
      </c>
      <c r="C338" s="1043" t="s">
        <v>1248</v>
      </c>
      <c r="D338" s="1046"/>
      <c r="E338" s="1043" t="s">
        <v>1198</v>
      </c>
      <c r="F338" s="1032"/>
      <c r="G338" s="844"/>
      <c r="H338" s="1043">
        <v>157095</v>
      </c>
      <c r="I338" s="264">
        <f>VALUE(Data.Sard!L336)</f>
        <v>4.641</v>
      </c>
      <c r="J338" s="904"/>
      <c r="K338" s="595">
        <f t="shared" si="92"/>
        <v>442</v>
      </c>
      <c r="L338" s="591">
        <f t="shared" si="93"/>
        <v>397</v>
      </c>
      <c r="M338" s="591">
        <f t="shared" si="94"/>
        <v>647</v>
      </c>
      <c r="N338" s="591">
        <f t="shared" si="95"/>
        <v>23</v>
      </c>
      <c r="O338" s="591">
        <f t="shared" si="96"/>
        <v>419</v>
      </c>
      <c r="P338" s="315">
        <f t="shared" si="85"/>
        <v>333</v>
      </c>
      <c r="Q338" s="315">
        <f t="shared" si="86"/>
        <v>187</v>
      </c>
      <c r="R338" s="315">
        <f t="shared" si="87"/>
        <v>638</v>
      </c>
      <c r="S338" s="315">
        <f t="shared" si="88"/>
        <v>80</v>
      </c>
      <c r="T338" s="315">
        <f t="shared" si="89"/>
        <v>403</v>
      </c>
      <c r="U338" s="315">
        <f t="shared" si="90"/>
        <v>1641</v>
      </c>
      <c r="V338" s="591">
        <f t="shared" si="97"/>
        <v>555</v>
      </c>
      <c r="W338" s="598">
        <f t="shared" si="91"/>
        <v>555</v>
      </c>
    </row>
    <row r="339" spans="2:23" ht="15">
      <c r="B339" s="1043" t="s">
        <v>1249</v>
      </c>
      <c r="C339" s="1043" t="s">
        <v>1250</v>
      </c>
      <c r="D339" s="1046"/>
      <c r="E339" s="1043" t="s">
        <v>1198</v>
      </c>
      <c r="F339" s="1032"/>
      <c r="G339" s="844">
        <f>Data.Sard!J337</f>
        <v>-2.2192867368763749</v>
      </c>
      <c r="H339" s="1043">
        <v>114672</v>
      </c>
      <c r="I339" s="264"/>
      <c r="J339" s="904"/>
      <c r="K339" s="595">
        <f t="shared" si="92"/>
        <v>442</v>
      </c>
      <c r="L339" s="591">
        <f t="shared" si="93"/>
        <v>510</v>
      </c>
      <c r="M339" s="591">
        <f t="shared" si="94"/>
        <v>650</v>
      </c>
      <c r="N339" s="591">
        <f t="shared" si="95"/>
        <v>285</v>
      </c>
      <c r="O339" s="591">
        <f t="shared" si="96"/>
        <v>419</v>
      </c>
      <c r="P339" s="315">
        <f t="shared" si="85"/>
        <v>333</v>
      </c>
      <c r="Q339" s="315">
        <f t="shared" si="86"/>
        <v>300</v>
      </c>
      <c r="R339" s="315">
        <f t="shared" si="87"/>
        <v>641</v>
      </c>
      <c r="S339" s="315">
        <f t="shared" si="88"/>
        <v>182</v>
      </c>
      <c r="T339" s="315">
        <f t="shared" si="89"/>
        <v>403</v>
      </c>
      <c r="U339" s="315">
        <f t="shared" si="90"/>
        <v>1859</v>
      </c>
      <c r="V339" s="591">
        <f t="shared" si="97"/>
        <v>669</v>
      </c>
      <c r="W339" s="598">
        <f t="shared" si="91"/>
        <v>669</v>
      </c>
    </row>
    <row r="340" spans="2:23" ht="15">
      <c r="B340" s="1043" t="s">
        <v>1251</v>
      </c>
      <c r="C340" s="1043" t="s">
        <v>1252</v>
      </c>
      <c r="D340" s="994"/>
      <c r="E340" s="1043" t="s">
        <v>1198</v>
      </c>
      <c r="F340" s="1032">
        <f>VALUE(Data.Sard!G338)</f>
        <v>0.30864494033631951</v>
      </c>
      <c r="G340" s="844">
        <f>Data.Sard!J338</f>
        <v>1.3970846619409467</v>
      </c>
      <c r="H340" s="1003">
        <v>0</v>
      </c>
      <c r="I340" s="264"/>
      <c r="J340" s="904">
        <f>Data.Sard!N338</f>
        <v>-2.1248466991832493</v>
      </c>
      <c r="K340" s="595">
        <f t="shared" si="92"/>
        <v>55</v>
      </c>
      <c r="L340" s="591">
        <f t="shared" si="93"/>
        <v>276</v>
      </c>
      <c r="M340" s="591">
        <f t="shared" si="94"/>
        <v>677</v>
      </c>
      <c r="N340" s="591">
        <f t="shared" si="95"/>
        <v>285</v>
      </c>
      <c r="O340" s="591">
        <f t="shared" si="96"/>
        <v>585</v>
      </c>
      <c r="P340" s="315">
        <f t="shared" si="85"/>
        <v>54</v>
      </c>
      <c r="Q340" s="315">
        <f t="shared" si="86"/>
        <v>66</v>
      </c>
      <c r="R340" s="315">
        <f t="shared" si="87"/>
        <v>668</v>
      </c>
      <c r="S340" s="315">
        <f t="shared" si="88"/>
        <v>182</v>
      </c>
      <c r="T340" s="315">
        <f t="shared" si="89"/>
        <v>569</v>
      </c>
      <c r="U340" s="315">
        <f t="shared" si="90"/>
        <v>1539</v>
      </c>
      <c r="V340" s="591">
        <f t="shared" si="97"/>
        <v>485</v>
      </c>
      <c r="W340" s="598">
        <f t="shared" si="91"/>
        <v>485</v>
      </c>
    </row>
    <row r="341" spans="2:23" ht="15">
      <c r="B341" s="996" t="s">
        <v>1253</v>
      </c>
      <c r="C341" s="1043" t="s">
        <v>1254</v>
      </c>
      <c r="D341" s="1046"/>
      <c r="E341" s="1043" t="s">
        <v>736</v>
      </c>
      <c r="F341" s="1032">
        <f>VALUE(Data.Sard!G339)</f>
        <v>0.21914108045071409</v>
      </c>
      <c r="G341" s="844">
        <f>Data.Sard!J339</f>
        <v>-9.8860780064564491</v>
      </c>
      <c r="H341" s="1043">
        <v>32305177066</v>
      </c>
      <c r="I341" s="264"/>
      <c r="J341" s="904">
        <f>Data.Sard!N339</f>
        <v>0.24643979729247006</v>
      </c>
      <c r="K341" s="595">
        <f t="shared" si="92"/>
        <v>92</v>
      </c>
      <c r="L341" s="591">
        <f t="shared" si="93"/>
        <v>565</v>
      </c>
      <c r="M341" s="591">
        <f t="shared" si="94"/>
        <v>7</v>
      </c>
      <c r="N341" s="591">
        <f t="shared" si="95"/>
        <v>285</v>
      </c>
      <c r="O341" s="591">
        <f t="shared" si="96"/>
        <v>29</v>
      </c>
      <c r="P341" s="315">
        <f t="shared" si="85"/>
        <v>17</v>
      </c>
      <c r="Q341" s="315">
        <f t="shared" si="86"/>
        <v>355</v>
      </c>
      <c r="R341" s="315">
        <f t="shared" si="87"/>
        <v>2</v>
      </c>
      <c r="S341" s="315">
        <f t="shared" si="88"/>
        <v>182</v>
      </c>
      <c r="T341" s="315">
        <f t="shared" si="89"/>
        <v>13</v>
      </c>
      <c r="U341" s="315">
        <f t="shared" si="90"/>
        <v>569</v>
      </c>
      <c r="V341" s="591">
        <f t="shared" si="97"/>
        <v>58</v>
      </c>
      <c r="W341" s="598">
        <f t="shared" si="91"/>
        <v>58</v>
      </c>
    </row>
    <row r="342" spans="2:23" ht="15">
      <c r="B342" s="1043" t="s">
        <v>1255</v>
      </c>
      <c r="C342" s="1043" t="s">
        <v>1256</v>
      </c>
      <c r="D342" s="1046"/>
      <c r="E342" s="1043" t="s">
        <v>532</v>
      </c>
      <c r="F342" s="1032">
        <f>VALUE(Data.Sard!G340)</f>
        <v>-0.40444992869164342</v>
      </c>
      <c r="G342" s="844">
        <f>Data.Sard!J340</f>
        <v>12.678481184067552</v>
      </c>
      <c r="H342" s="1043">
        <v>92193966</v>
      </c>
      <c r="I342" s="264">
        <f>VALUE(Data.Sard!L340)</f>
        <v>0.27200000000000002</v>
      </c>
      <c r="J342" s="904">
        <f>Data.Sard!N340</f>
        <v>-8.511275751006224E-2</v>
      </c>
      <c r="K342" s="595">
        <f t="shared" si="92"/>
        <v>566</v>
      </c>
      <c r="L342" s="591">
        <f t="shared" si="93"/>
        <v>52</v>
      </c>
      <c r="M342" s="591">
        <f t="shared" si="94"/>
        <v>234</v>
      </c>
      <c r="N342" s="591">
        <f t="shared" si="95"/>
        <v>218</v>
      </c>
      <c r="O342" s="591">
        <f t="shared" si="96"/>
        <v>500</v>
      </c>
      <c r="P342" s="315">
        <f t="shared" si="85"/>
        <v>457</v>
      </c>
      <c r="Q342" s="315">
        <f t="shared" si="86"/>
        <v>158</v>
      </c>
      <c r="R342" s="315">
        <f t="shared" si="87"/>
        <v>225</v>
      </c>
      <c r="S342" s="315">
        <f t="shared" si="88"/>
        <v>115</v>
      </c>
      <c r="T342" s="315">
        <f t="shared" si="89"/>
        <v>484</v>
      </c>
      <c r="U342" s="315">
        <f t="shared" si="90"/>
        <v>1439</v>
      </c>
      <c r="V342" s="591">
        <f t="shared" si="97"/>
        <v>431</v>
      </c>
      <c r="W342" s="598">
        <f t="shared" si="91"/>
        <v>431</v>
      </c>
    </row>
    <row r="343" spans="2:23" ht="15">
      <c r="B343" s="1043" t="s">
        <v>1257</v>
      </c>
      <c r="C343" s="1043" t="s">
        <v>1258</v>
      </c>
      <c r="D343" s="1046"/>
      <c r="E343" s="1043" t="s">
        <v>603</v>
      </c>
      <c r="F343" s="1032">
        <f>VALUE(Data.Sard!G341)</f>
        <v>1.1781962847938254E-2</v>
      </c>
      <c r="G343" s="844">
        <f>Data.Sard!J341</f>
        <v>1.1132422650370406</v>
      </c>
      <c r="H343" s="1043">
        <v>8279798</v>
      </c>
      <c r="I343" s="264">
        <f>VALUE(Data.Sard!L341)</f>
        <v>-3.3000000000000002E-2</v>
      </c>
      <c r="J343" s="904">
        <f>Data.Sard!N341</f>
        <v>2.2228669638980361E-2</v>
      </c>
      <c r="K343" s="595">
        <f t="shared" si="92"/>
        <v>416</v>
      </c>
      <c r="L343" s="591">
        <f t="shared" si="93"/>
        <v>287</v>
      </c>
      <c r="M343" s="591">
        <f t="shared" si="94"/>
        <v>484</v>
      </c>
      <c r="N343" s="591">
        <f t="shared" si="95"/>
        <v>297</v>
      </c>
      <c r="O343" s="591">
        <f t="shared" si="96"/>
        <v>357</v>
      </c>
      <c r="P343" s="315">
        <f t="shared" si="85"/>
        <v>307</v>
      </c>
      <c r="Q343" s="315">
        <f t="shared" si="86"/>
        <v>77</v>
      </c>
      <c r="R343" s="315">
        <f t="shared" si="87"/>
        <v>475</v>
      </c>
      <c r="S343" s="315">
        <f t="shared" si="88"/>
        <v>194</v>
      </c>
      <c r="T343" s="315">
        <f t="shared" si="89"/>
        <v>341</v>
      </c>
      <c r="U343" s="315">
        <f t="shared" si="90"/>
        <v>1394</v>
      </c>
      <c r="V343" s="591">
        <f t="shared" si="97"/>
        <v>404</v>
      </c>
      <c r="W343" s="598">
        <f t="shared" si="91"/>
        <v>404</v>
      </c>
    </row>
    <row r="344" spans="2:23" ht="15">
      <c r="B344" s="996" t="s">
        <v>1259</v>
      </c>
      <c r="C344" s="1043" t="s">
        <v>1260</v>
      </c>
      <c r="D344" s="1046"/>
      <c r="E344" s="1043" t="s">
        <v>736</v>
      </c>
      <c r="F344" s="1032">
        <f>VALUE(Data.Sard!G342)</f>
        <v>0.16789545404906508</v>
      </c>
      <c r="G344" s="844">
        <f>Data.Sard!J342</f>
        <v>29.82576026119516</v>
      </c>
      <c r="H344" s="1043">
        <v>1134061519</v>
      </c>
      <c r="I344" s="264">
        <f>VALUE(Data.Sard!L342)</f>
        <v>-33.462000000000003</v>
      </c>
      <c r="J344" s="904">
        <f>Data.Sard!N342</f>
        <v>0.16933306612841995</v>
      </c>
      <c r="K344" s="595">
        <f t="shared" si="92"/>
        <v>140</v>
      </c>
      <c r="L344" s="591">
        <f t="shared" si="93"/>
        <v>16</v>
      </c>
      <c r="M344" s="591">
        <f t="shared" si="94"/>
        <v>57</v>
      </c>
      <c r="N344" s="591">
        <f t="shared" si="95"/>
        <v>537</v>
      </c>
      <c r="O344" s="591">
        <f t="shared" si="96"/>
        <v>72</v>
      </c>
      <c r="P344" s="315">
        <f t="shared" si="85"/>
        <v>31</v>
      </c>
      <c r="Q344" s="315">
        <f t="shared" si="86"/>
        <v>194</v>
      </c>
      <c r="R344" s="315">
        <f t="shared" si="87"/>
        <v>48</v>
      </c>
      <c r="S344" s="315">
        <f t="shared" si="88"/>
        <v>434</v>
      </c>
      <c r="T344" s="315">
        <f t="shared" si="89"/>
        <v>56</v>
      </c>
      <c r="U344" s="315">
        <f t="shared" si="90"/>
        <v>763</v>
      </c>
      <c r="V344" s="591">
        <f t="shared" si="97"/>
        <v>131</v>
      </c>
      <c r="W344" s="598">
        <f t="shared" si="91"/>
        <v>131</v>
      </c>
    </row>
    <row r="345" spans="2:23" ht="15">
      <c r="B345" s="996" t="s">
        <v>1261</v>
      </c>
      <c r="C345" s="1043" t="s">
        <v>1262</v>
      </c>
      <c r="D345" s="1046"/>
      <c r="E345" s="1043" t="s">
        <v>736</v>
      </c>
      <c r="F345" s="1032">
        <f>VALUE(Data.Sard!G343)</f>
        <v>-1.8704712201919268E-2</v>
      </c>
      <c r="G345" s="844">
        <f>Data.Sard!J343</f>
        <v>-1.288972999383464</v>
      </c>
      <c r="H345" s="1043">
        <v>4236318</v>
      </c>
      <c r="I345" s="264">
        <f>VALUE(Data.Sard!L343)</f>
        <v>0.92</v>
      </c>
      <c r="J345" s="904">
        <f>Data.Sard!N343</f>
        <v>3.8423771951372758E-3</v>
      </c>
      <c r="K345" s="595">
        <f t="shared" si="92"/>
        <v>460</v>
      </c>
      <c r="L345" s="591">
        <f t="shared" si="93"/>
        <v>491</v>
      </c>
      <c r="M345" s="591">
        <f t="shared" si="94"/>
        <v>540</v>
      </c>
      <c r="N345" s="591">
        <f t="shared" si="95"/>
        <v>112</v>
      </c>
      <c r="O345" s="591">
        <f t="shared" si="96"/>
        <v>413</v>
      </c>
      <c r="P345" s="315">
        <f t="shared" si="85"/>
        <v>351</v>
      </c>
      <c r="Q345" s="315">
        <f t="shared" si="86"/>
        <v>281</v>
      </c>
      <c r="R345" s="315">
        <f t="shared" si="87"/>
        <v>531</v>
      </c>
      <c r="S345" s="315">
        <f t="shared" si="88"/>
        <v>9</v>
      </c>
      <c r="T345" s="315">
        <f t="shared" si="89"/>
        <v>397</v>
      </c>
      <c r="U345" s="315">
        <f t="shared" si="90"/>
        <v>1569</v>
      </c>
      <c r="V345" s="591">
        <f t="shared" si="97"/>
        <v>508</v>
      </c>
      <c r="W345" s="598">
        <f t="shared" si="91"/>
        <v>508</v>
      </c>
    </row>
    <row r="346" spans="2:23" ht="15">
      <c r="B346" s="1043" t="s">
        <v>1263</v>
      </c>
      <c r="C346" s="1043" t="s">
        <v>1264</v>
      </c>
      <c r="D346" s="994"/>
      <c r="E346" s="1043" t="s">
        <v>1265</v>
      </c>
      <c r="F346" s="1032">
        <f>VALUE(Data.Sard!G344)</f>
        <v>-0.58229300055772681</v>
      </c>
      <c r="G346" s="844">
        <f>Data.Sard!J344</f>
        <v>0.79614174944000216</v>
      </c>
      <c r="H346" s="1003">
        <v>0</v>
      </c>
      <c r="I346" s="264">
        <f>VALUE(Data.Sard!L344)</f>
        <v>-1.9790000000000001</v>
      </c>
      <c r="J346" s="904">
        <f>Data.Sard!N344</f>
        <v>-0.68961306082165985</v>
      </c>
      <c r="K346" s="595">
        <f t="shared" si="92"/>
        <v>581</v>
      </c>
      <c r="L346" s="591">
        <f t="shared" si="93"/>
        <v>308</v>
      </c>
      <c r="M346" s="591">
        <f t="shared" si="94"/>
        <v>677</v>
      </c>
      <c r="N346" s="591">
        <f t="shared" si="95"/>
        <v>485</v>
      </c>
      <c r="O346" s="591">
        <f t="shared" si="96"/>
        <v>570</v>
      </c>
      <c r="P346" s="315">
        <f t="shared" si="85"/>
        <v>472</v>
      </c>
      <c r="Q346" s="315">
        <f t="shared" si="86"/>
        <v>98</v>
      </c>
      <c r="R346" s="315">
        <f t="shared" si="87"/>
        <v>668</v>
      </c>
      <c r="S346" s="315">
        <f t="shared" si="88"/>
        <v>382</v>
      </c>
      <c r="T346" s="315">
        <f t="shared" si="89"/>
        <v>554</v>
      </c>
      <c r="U346" s="315">
        <f t="shared" si="90"/>
        <v>2174</v>
      </c>
      <c r="V346" s="591">
        <f t="shared" si="97"/>
        <v>702</v>
      </c>
      <c r="W346" s="598">
        <f t="shared" si="91"/>
        <v>702</v>
      </c>
    </row>
    <row r="347" spans="2:23" ht="15">
      <c r="B347" s="1043" t="s">
        <v>1266</v>
      </c>
      <c r="C347" s="1043" t="s">
        <v>1267</v>
      </c>
      <c r="D347" s="1046"/>
      <c r="E347" s="1043" t="s">
        <v>562</v>
      </c>
      <c r="F347" s="1032">
        <f>VALUE(Data.Sard!G345)</f>
        <v>0.24829254602515941</v>
      </c>
      <c r="G347" s="844">
        <f>Data.Sard!J345</f>
        <v>8.4427069534212376E-2</v>
      </c>
      <c r="H347" s="1043">
        <v>236889174</v>
      </c>
      <c r="I347" s="264"/>
      <c r="J347" s="904">
        <f>Data.Sard!N345</f>
        <v>0.16527547017014077</v>
      </c>
      <c r="K347" s="595">
        <f t="shared" si="92"/>
        <v>80</v>
      </c>
      <c r="L347" s="591">
        <f t="shared" si="93"/>
        <v>380</v>
      </c>
      <c r="M347" s="591">
        <f t="shared" si="94"/>
        <v>162</v>
      </c>
      <c r="N347" s="591">
        <f t="shared" si="95"/>
        <v>285</v>
      </c>
      <c r="O347" s="591">
        <f t="shared" si="96"/>
        <v>79</v>
      </c>
      <c r="P347" s="315">
        <f t="shared" si="85"/>
        <v>29</v>
      </c>
      <c r="Q347" s="315">
        <f t="shared" si="86"/>
        <v>170</v>
      </c>
      <c r="R347" s="315">
        <f t="shared" si="87"/>
        <v>153</v>
      </c>
      <c r="S347" s="315">
        <f t="shared" si="88"/>
        <v>182</v>
      </c>
      <c r="T347" s="315">
        <f t="shared" si="89"/>
        <v>63</v>
      </c>
      <c r="U347" s="315">
        <f t="shared" si="90"/>
        <v>597</v>
      </c>
      <c r="V347" s="591">
        <f t="shared" si="97"/>
        <v>69</v>
      </c>
      <c r="W347" s="598">
        <f t="shared" si="91"/>
        <v>69</v>
      </c>
    </row>
    <row r="348" spans="2:23" ht="15">
      <c r="B348" s="1043" t="s">
        <v>1268</v>
      </c>
      <c r="C348" s="1043" t="s">
        <v>1269</v>
      </c>
      <c r="D348" s="1046"/>
      <c r="E348" s="1043" t="s">
        <v>1048</v>
      </c>
      <c r="F348" s="1032">
        <f>VALUE(Data.Sard!G346)</f>
        <v>0.10093804524408642</v>
      </c>
      <c r="G348" s="844">
        <f>Data.Sard!J346</f>
        <v>0.41756137178544395</v>
      </c>
      <c r="H348" s="1043">
        <v>63792453</v>
      </c>
      <c r="I348" s="264">
        <f>VALUE(Data.Sard!L346)</f>
        <v>7.0999999999999994E-2</v>
      </c>
      <c r="J348" s="904">
        <f>Data.Sard!N346</f>
        <v>2.5207298022157276E-2</v>
      </c>
      <c r="K348" s="595">
        <f t="shared" si="92"/>
        <v>231</v>
      </c>
      <c r="L348" s="591">
        <f t="shared" si="93"/>
        <v>341</v>
      </c>
      <c r="M348" s="591">
        <f t="shared" si="94"/>
        <v>268</v>
      </c>
      <c r="N348" s="591">
        <f t="shared" si="95"/>
        <v>270</v>
      </c>
      <c r="O348" s="591">
        <f t="shared" si="96"/>
        <v>352</v>
      </c>
      <c r="P348" s="315">
        <f t="shared" si="85"/>
        <v>122</v>
      </c>
      <c r="Q348" s="315">
        <f t="shared" si="86"/>
        <v>131</v>
      </c>
      <c r="R348" s="315">
        <f t="shared" si="87"/>
        <v>259</v>
      </c>
      <c r="S348" s="315">
        <f t="shared" si="88"/>
        <v>167</v>
      </c>
      <c r="T348" s="315">
        <f t="shared" si="89"/>
        <v>336</v>
      </c>
      <c r="U348" s="315">
        <f t="shared" si="90"/>
        <v>1015</v>
      </c>
      <c r="V348" s="591">
        <f t="shared" si="97"/>
        <v>246</v>
      </c>
      <c r="W348" s="598">
        <f t="shared" si="91"/>
        <v>246</v>
      </c>
    </row>
    <row r="349" spans="2:23" ht="15">
      <c r="B349" s="996" t="s">
        <v>1270</v>
      </c>
      <c r="C349" s="1043" t="s">
        <v>1271</v>
      </c>
      <c r="D349" s="1051"/>
      <c r="E349" s="1043" t="s">
        <v>736</v>
      </c>
      <c r="F349" s="1032">
        <f>VALUE(Data.Sard!G347)</f>
        <v>1.189774008290057E-2</v>
      </c>
      <c r="G349" s="844">
        <f>Data.Sard!J347</f>
        <v>1.1192157295592509</v>
      </c>
      <c r="H349" s="1043">
        <v>266779522</v>
      </c>
      <c r="I349" s="264">
        <f>VALUE(Data.Sard!L347)</f>
        <v>20.606000000000002</v>
      </c>
      <c r="J349" s="904">
        <f>Data.Sard!N347</f>
        <v>8.210535844441727E-2</v>
      </c>
      <c r="K349" s="595">
        <f t="shared" si="92"/>
        <v>415</v>
      </c>
      <c r="L349" s="591">
        <f t="shared" si="93"/>
        <v>286</v>
      </c>
      <c r="M349" s="591">
        <f t="shared" si="94"/>
        <v>147</v>
      </c>
      <c r="N349" s="591">
        <f t="shared" si="95"/>
        <v>10</v>
      </c>
      <c r="O349" s="591">
        <f t="shared" si="96"/>
        <v>189</v>
      </c>
      <c r="P349" s="315">
        <f t="shared" si="85"/>
        <v>306</v>
      </c>
      <c r="Q349" s="315">
        <f t="shared" si="86"/>
        <v>76</v>
      </c>
      <c r="R349" s="315">
        <f t="shared" si="87"/>
        <v>138</v>
      </c>
      <c r="S349" s="315">
        <f t="shared" si="88"/>
        <v>93</v>
      </c>
      <c r="T349" s="315">
        <f t="shared" si="89"/>
        <v>173</v>
      </c>
      <c r="U349" s="315">
        <f t="shared" si="90"/>
        <v>786</v>
      </c>
      <c r="V349" s="591">
        <f t="shared" si="97"/>
        <v>141</v>
      </c>
      <c r="W349" s="598">
        <f t="shared" si="91"/>
        <v>141</v>
      </c>
    </row>
    <row r="350" spans="2:23" ht="15">
      <c r="B350" s="996" t="s">
        <v>1272</v>
      </c>
      <c r="C350" s="1043" t="s">
        <v>1273</v>
      </c>
      <c r="D350" s="1046"/>
      <c r="E350" s="1043" t="s">
        <v>546</v>
      </c>
      <c r="F350" s="1032">
        <f>VALUE(Data.Sard!G348)</f>
        <v>0.17186290931755882</v>
      </c>
      <c r="G350" s="844">
        <f>Data.Sard!J348</f>
        <v>5.7649785129822968</v>
      </c>
      <c r="H350" s="1043">
        <v>6356493550</v>
      </c>
      <c r="I350" s="264">
        <f>VALUE(Data.Sard!L348)</f>
        <v>-0.184</v>
      </c>
      <c r="J350" s="904">
        <f>Data.Sard!N348</f>
        <v>0.16849498814288713</v>
      </c>
      <c r="K350" s="595">
        <f t="shared" si="92"/>
        <v>136</v>
      </c>
      <c r="L350" s="591">
        <f t="shared" si="93"/>
        <v>107</v>
      </c>
      <c r="M350" s="591">
        <f t="shared" si="94"/>
        <v>20</v>
      </c>
      <c r="N350" s="591">
        <f t="shared" si="95"/>
        <v>339</v>
      </c>
      <c r="O350" s="591">
        <f t="shared" si="96"/>
        <v>73</v>
      </c>
      <c r="P350" s="315">
        <f t="shared" si="85"/>
        <v>27</v>
      </c>
      <c r="Q350" s="315">
        <f t="shared" si="86"/>
        <v>103</v>
      </c>
      <c r="R350" s="315">
        <f t="shared" si="87"/>
        <v>11</v>
      </c>
      <c r="S350" s="315">
        <f t="shared" si="88"/>
        <v>236</v>
      </c>
      <c r="T350" s="315">
        <f t="shared" si="89"/>
        <v>57</v>
      </c>
      <c r="U350" s="315">
        <f t="shared" si="90"/>
        <v>434</v>
      </c>
      <c r="V350" s="591">
        <f t="shared" si="97"/>
        <v>22</v>
      </c>
      <c r="W350" s="598">
        <f t="shared" si="91"/>
        <v>22</v>
      </c>
    </row>
    <row r="351" spans="2:23" ht="15">
      <c r="B351" s="1043" t="s">
        <v>1274</v>
      </c>
      <c r="C351" s="1043" t="s">
        <v>1275</v>
      </c>
      <c r="D351" s="1046"/>
      <c r="E351" s="1043" t="s">
        <v>532</v>
      </c>
      <c r="F351" s="1032">
        <f>VALUE(Data.Sard!G349)</f>
        <v>0.10648716820256375</v>
      </c>
      <c r="G351" s="844">
        <f>Data.Sard!J349</f>
        <v>-6.4890345598229793</v>
      </c>
      <c r="H351" s="1043">
        <v>96951876</v>
      </c>
      <c r="I351" s="264">
        <f>VALUE(Data.Sard!L349)</f>
        <v>0.19400000000000001</v>
      </c>
      <c r="J351" s="904">
        <f>Data.Sard!N349</f>
        <v>6.758165094950401E-2</v>
      </c>
      <c r="K351" s="595">
        <f t="shared" si="92"/>
        <v>222</v>
      </c>
      <c r="L351" s="591">
        <f t="shared" si="93"/>
        <v>548</v>
      </c>
      <c r="M351" s="591">
        <f t="shared" si="94"/>
        <v>228</v>
      </c>
      <c r="N351" s="591">
        <f t="shared" si="95"/>
        <v>237</v>
      </c>
      <c r="O351" s="591">
        <f t="shared" si="96"/>
        <v>219</v>
      </c>
      <c r="P351" s="315">
        <f t="shared" si="85"/>
        <v>113</v>
      </c>
      <c r="Q351" s="315">
        <f t="shared" si="86"/>
        <v>338</v>
      </c>
      <c r="R351" s="315">
        <f t="shared" si="87"/>
        <v>219</v>
      </c>
      <c r="S351" s="315">
        <f t="shared" si="88"/>
        <v>134</v>
      </c>
      <c r="T351" s="315">
        <f t="shared" si="89"/>
        <v>203</v>
      </c>
      <c r="U351" s="315">
        <f t="shared" si="90"/>
        <v>1007</v>
      </c>
      <c r="V351" s="591">
        <f t="shared" si="97"/>
        <v>240</v>
      </c>
      <c r="W351" s="598">
        <f t="shared" si="91"/>
        <v>240</v>
      </c>
    </row>
    <row r="352" spans="2:23" ht="15">
      <c r="B352" s="996" t="s">
        <v>1276</v>
      </c>
      <c r="C352" s="1043" t="s">
        <v>1277</v>
      </c>
      <c r="D352" s="1046"/>
      <c r="E352" s="1043" t="s">
        <v>736</v>
      </c>
      <c r="F352" s="1032">
        <f>VALUE(Data.Sard!G350)</f>
        <v>-7.8576799918069484E-2</v>
      </c>
      <c r="G352" s="844">
        <f>Data.Sard!J350</f>
        <v>9.1954484886730192</v>
      </c>
      <c r="H352" s="1043">
        <v>122823662</v>
      </c>
      <c r="I352" s="264">
        <f>VALUE(Data.Sard!L350)</f>
        <v>59.929000000000002</v>
      </c>
      <c r="J352" s="904">
        <f>Data.Sard!N350</f>
        <v>-0.30790629477350329</v>
      </c>
      <c r="K352" s="595">
        <f t="shared" si="92"/>
        <v>509</v>
      </c>
      <c r="L352" s="591">
        <f t="shared" si="93"/>
        <v>68</v>
      </c>
      <c r="M352" s="591">
        <f t="shared" si="94"/>
        <v>212</v>
      </c>
      <c r="N352" s="591">
        <f t="shared" si="95"/>
        <v>3</v>
      </c>
      <c r="O352" s="591">
        <f t="shared" si="96"/>
        <v>548</v>
      </c>
      <c r="P352" s="315">
        <f t="shared" si="85"/>
        <v>400</v>
      </c>
      <c r="Q352" s="315">
        <f t="shared" si="86"/>
        <v>142</v>
      </c>
      <c r="R352" s="315">
        <f t="shared" si="87"/>
        <v>203</v>
      </c>
      <c r="S352" s="315">
        <f t="shared" si="88"/>
        <v>100</v>
      </c>
      <c r="T352" s="315">
        <f t="shared" si="89"/>
        <v>532</v>
      </c>
      <c r="U352" s="315">
        <f t="shared" si="90"/>
        <v>1377</v>
      </c>
      <c r="V352" s="591">
        <f t="shared" si="97"/>
        <v>398</v>
      </c>
      <c r="W352" s="598">
        <f t="shared" si="91"/>
        <v>398</v>
      </c>
    </row>
    <row r="353" spans="2:23" ht="15">
      <c r="B353" s="996" t="s">
        <v>1278</v>
      </c>
      <c r="C353" s="1043" t="s">
        <v>1279</v>
      </c>
      <c r="D353" s="1046"/>
      <c r="E353" s="1043" t="s">
        <v>1048</v>
      </c>
      <c r="F353" s="1032">
        <f>VALUE(Data.Sard!G351)</f>
        <v>0.12742056936661286</v>
      </c>
      <c r="G353" s="844"/>
      <c r="H353" s="1043">
        <v>91925072</v>
      </c>
      <c r="I353" s="264">
        <f>VALUE(Data.Sard!L351)</f>
        <v>1.0129999999999999</v>
      </c>
      <c r="J353" s="904">
        <f>Data.Sard!N351</f>
        <v>4.0472281105169955E-2</v>
      </c>
      <c r="K353" s="595">
        <f t="shared" si="92"/>
        <v>188</v>
      </c>
      <c r="L353" s="591">
        <f t="shared" si="93"/>
        <v>397</v>
      </c>
      <c r="M353" s="591">
        <f t="shared" si="94"/>
        <v>236</v>
      </c>
      <c r="N353" s="591">
        <f t="shared" si="95"/>
        <v>101</v>
      </c>
      <c r="O353" s="591">
        <f t="shared" si="96"/>
        <v>304</v>
      </c>
      <c r="P353" s="315">
        <f t="shared" si="85"/>
        <v>79</v>
      </c>
      <c r="Q353" s="315">
        <f t="shared" si="86"/>
        <v>187</v>
      </c>
      <c r="R353" s="315">
        <f t="shared" si="87"/>
        <v>227</v>
      </c>
      <c r="S353" s="315">
        <f t="shared" si="88"/>
        <v>2</v>
      </c>
      <c r="T353" s="315">
        <f t="shared" si="89"/>
        <v>288</v>
      </c>
      <c r="U353" s="315">
        <f t="shared" si="90"/>
        <v>783</v>
      </c>
      <c r="V353" s="591">
        <f t="shared" si="97"/>
        <v>140</v>
      </c>
      <c r="W353" s="598">
        <f t="shared" si="91"/>
        <v>140</v>
      </c>
    </row>
    <row r="354" spans="2:23" ht="15">
      <c r="B354" s="996" t="s">
        <v>1280</v>
      </c>
      <c r="C354" s="1043" t="s">
        <v>1281</v>
      </c>
      <c r="D354" s="1046"/>
      <c r="E354" s="1043" t="s">
        <v>966</v>
      </c>
      <c r="F354" s="1032"/>
      <c r="G354" s="844">
        <f>Data.Sard!J352</f>
        <v>0.62189182260958731</v>
      </c>
      <c r="H354" s="1043">
        <v>22634</v>
      </c>
      <c r="I354" s="264">
        <f>VALUE(Data.Sard!L352)</f>
        <v>-0.501</v>
      </c>
      <c r="J354" s="904"/>
      <c r="K354" s="595">
        <f t="shared" si="92"/>
        <v>442</v>
      </c>
      <c r="L354" s="591">
        <f t="shared" si="93"/>
        <v>321</v>
      </c>
      <c r="M354" s="591">
        <f t="shared" si="94"/>
        <v>657</v>
      </c>
      <c r="N354" s="591">
        <f t="shared" si="95"/>
        <v>388</v>
      </c>
      <c r="O354" s="591">
        <f t="shared" si="96"/>
        <v>419</v>
      </c>
      <c r="P354" s="315">
        <f t="shared" si="85"/>
        <v>333</v>
      </c>
      <c r="Q354" s="315">
        <f t="shared" si="86"/>
        <v>111</v>
      </c>
      <c r="R354" s="315">
        <f t="shared" si="87"/>
        <v>648</v>
      </c>
      <c r="S354" s="315">
        <f t="shared" si="88"/>
        <v>285</v>
      </c>
      <c r="T354" s="315">
        <f t="shared" si="89"/>
        <v>403</v>
      </c>
      <c r="U354" s="315">
        <f t="shared" si="90"/>
        <v>1780</v>
      </c>
      <c r="V354" s="591">
        <f t="shared" si="97"/>
        <v>638</v>
      </c>
      <c r="W354" s="598">
        <f t="shared" si="91"/>
        <v>638</v>
      </c>
    </row>
    <row r="355" spans="2:23" ht="15">
      <c r="B355" s="996" t="s">
        <v>1282</v>
      </c>
      <c r="C355" s="1043" t="s">
        <v>1283</v>
      </c>
      <c r="D355" s="1046"/>
      <c r="E355" s="1043" t="s">
        <v>546</v>
      </c>
      <c r="F355" s="1032">
        <f>VALUE(Data.Sard!G353)</f>
        <v>2.938111597766091E-2</v>
      </c>
      <c r="G355" s="844"/>
      <c r="H355" s="1043">
        <v>34</v>
      </c>
      <c r="I355" s="264"/>
      <c r="J355" s="904">
        <f>Data.Sard!N353</f>
        <v>5.7965846065833805E-2</v>
      </c>
      <c r="K355" s="595">
        <f t="shared" si="92"/>
        <v>374</v>
      </c>
      <c r="L355" s="591">
        <f t="shared" si="93"/>
        <v>397</v>
      </c>
      <c r="M355" s="591">
        <f t="shared" si="94"/>
        <v>671</v>
      </c>
      <c r="N355" s="591">
        <f t="shared" si="95"/>
        <v>285</v>
      </c>
      <c r="O355" s="591">
        <f t="shared" si="96"/>
        <v>251</v>
      </c>
      <c r="P355" s="315">
        <f t="shared" si="85"/>
        <v>265</v>
      </c>
      <c r="Q355" s="315">
        <f t="shared" si="86"/>
        <v>187</v>
      </c>
      <c r="R355" s="315">
        <f t="shared" si="87"/>
        <v>662</v>
      </c>
      <c r="S355" s="315">
        <f t="shared" si="88"/>
        <v>182</v>
      </c>
      <c r="T355" s="315">
        <f t="shared" si="89"/>
        <v>235</v>
      </c>
      <c r="U355" s="315">
        <f t="shared" si="90"/>
        <v>1531</v>
      </c>
      <c r="V355" s="591">
        <f t="shared" si="97"/>
        <v>480</v>
      </c>
      <c r="W355" s="598">
        <f t="shared" si="91"/>
        <v>480</v>
      </c>
    </row>
    <row r="356" spans="2:23" ht="15">
      <c r="B356" s="1043" t="s">
        <v>1284</v>
      </c>
      <c r="C356" s="1043" t="s">
        <v>1285</v>
      </c>
      <c r="D356" s="1046"/>
      <c r="E356" s="1043" t="s">
        <v>1286</v>
      </c>
      <c r="F356" s="1032"/>
      <c r="G356" s="844"/>
      <c r="H356" s="1043">
        <v>6695112</v>
      </c>
      <c r="I356" s="264"/>
      <c r="J356" s="904"/>
      <c r="K356" s="595">
        <f t="shared" si="92"/>
        <v>442</v>
      </c>
      <c r="L356" s="591">
        <f t="shared" si="93"/>
        <v>397</v>
      </c>
      <c r="M356" s="591">
        <f t="shared" si="94"/>
        <v>505</v>
      </c>
      <c r="N356" s="591">
        <f t="shared" si="95"/>
        <v>285</v>
      </c>
      <c r="O356" s="591">
        <f t="shared" si="96"/>
        <v>419</v>
      </c>
      <c r="P356" s="315">
        <f t="shared" si="85"/>
        <v>333</v>
      </c>
      <c r="Q356" s="315">
        <f t="shared" si="86"/>
        <v>187</v>
      </c>
      <c r="R356" s="315">
        <f t="shared" si="87"/>
        <v>496</v>
      </c>
      <c r="S356" s="315">
        <f t="shared" si="88"/>
        <v>182</v>
      </c>
      <c r="T356" s="315">
        <f t="shared" si="89"/>
        <v>403</v>
      </c>
      <c r="U356" s="315">
        <f t="shared" si="90"/>
        <v>1601</v>
      </c>
      <c r="V356" s="591">
        <f t="shared" si="97"/>
        <v>529</v>
      </c>
      <c r="W356" s="598">
        <f t="shared" si="91"/>
        <v>529</v>
      </c>
    </row>
    <row r="357" spans="2:23" ht="15">
      <c r="B357" s="1043" t="s">
        <v>1287</v>
      </c>
      <c r="C357" s="1043" t="s">
        <v>1288</v>
      </c>
      <c r="D357" s="1046"/>
      <c r="E357" s="1043" t="s">
        <v>1286</v>
      </c>
      <c r="F357" s="1032"/>
      <c r="G357" s="844"/>
      <c r="H357" s="1043">
        <v>6123533</v>
      </c>
      <c r="I357" s="264"/>
      <c r="J357" s="904"/>
      <c r="K357" s="595">
        <f t="shared" si="92"/>
        <v>442</v>
      </c>
      <c r="L357" s="591">
        <f t="shared" si="93"/>
        <v>397</v>
      </c>
      <c r="M357" s="591">
        <f t="shared" si="94"/>
        <v>515</v>
      </c>
      <c r="N357" s="591">
        <f t="shared" si="95"/>
        <v>285</v>
      </c>
      <c r="O357" s="591">
        <f t="shared" si="96"/>
        <v>419</v>
      </c>
      <c r="P357" s="315">
        <f t="shared" ref="P357:P420" si="98">IFERROR(ABS(K$3-K357),"N/A")</f>
        <v>333</v>
      </c>
      <c r="Q357" s="315">
        <f t="shared" ref="Q357:Q420" si="99">IFERROR(ABS(L$3-L357),"N/A")</f>
        <v>187</v>
      </c>
      <c r="R357" s="315">
        <f t="shared" ref="R357:R420" si="100">IFERROR(ABS(M$3-M357),"N/A")</f>
        <v>506</v>
      </c>
      <c r="S357" s="315">
        <f t="shared" ref="S357:S420" si="101">IFERROR(ABS(N$3-N357),"N/A")</f>
        <v>182</v>
      </c>
      <c r="T357" s="315">
        <f t="shared" ref="T357:T420" si="102">IFERROR(ABS(O$3-O357),"N/A")</f>
        <v>403</v>
      </c>
      <c r="U357" s="315">
        <f t="shared" ref="U357:U420" si="103">SUM(P357:T357)</f>
        <v>1611</v>
      </c>
      <c r="V357" s="591">
        <f t="shared" si="97"/>
        <v>538</v>
      </c>
      <c r="W357" s="598">
        <f t="shared" ref="W357:W420" si="104">IF(Y357="Not suitable","-",V357)</f>
        <v>538</v>
      </c>
    </row>
    <row r="358" spans="2:23" ht="15">
      <c r="B358" s="1043" t="s">
        <v>1289</v>
      </c>
      <c r="C358" s="1043" t="s">
        <v>1290</v>
      </c>
      <c r="D358" s="1046"/>
      <c r="E358" s="1043" t="s">
        <v>1286</v>
      </c>
      <c r="F358" s="1032"/>
      <c r="G358" s="844"/>
      <c r="H358" s="1043">
        <v>8568767</v>
      </c>
      <c r="I358" s="264"/>
      <c r="J358" s="904"/>
      <c r="K358" s="595">
        <f t="shared" si="92"/>
        <v>442</v>
      </c>
      <c r="L358" s="591">
        <f t="shared" si="93"/>
        <v>397</v>
      </c>
      <c r="M358" s="591">
        <f t="shared" si="94"/>
        <v>481</v>
      </c>
      <c r="N358" s="591">
        <f t="shared" si="95"/>
        <v>285</v>
      </c>
      <c r="O358" s="591">
        <f t="shared" si="96"/>
        <v>419</v>
      </c>
      <c r="P358" s="315">
        <f t="shared" si="98"/>
        <v>333</v>
      </c>
      <c r="Q358" s="315">
        <f t="shared" si="99"/>
        <v>187</v>
      </c>
      <c r="R358" s="315">
        <f t="shared" si="100"/>
        <v>472</v>
      </c>
      <c r="S358" s="315">
        <f t="shared" si="101"/>
        <v>182</v>
      </c>
      <c r="T358" s="315">
        <f t="shared" si="102"/>
        <v>403</v>
      </c>
      <c r="U358" s="315">
        <f t="shared" si="103"/>
        <v>1577</v>
      </c>
      <c r="V358" s="591">
        <f t="shared" si="97"/>
        <v>518</v>
      </c>
      <c r="W358" s="598">
        <f t="shared" si="104"/>
        <v>518</v>
      </c>
    </row>
    <row r="359" spans="2:23" ht="15">
      <c r="B359" s="1043" t="s">
        <v>1291</v>
      </c>
      <c r="C359" s="1043" t="s">
        <v>1292</v>
      </c>
      <c r="D359" s="1046"/>
      <c r="E359" s="1043" t="s">
        <v>1286</v>
      </c>
      <c r="F359" s="1032"/>
      <c r="G359" s="844"/>
      <c r="H359" s="1043">
        <v>19961353</v>
      </c>
      <c r="I359" s="264"/>
      <c r="J359" s="904"/>
      <c r="K359" s="595">
        <f t="shared" si="92"/>
        <v>442</v>
      </c>
      <c r="L359" s="591">
        <f t="shared" si="93"/>
        <v>397</v>
      </c>
      <c r="M359" s="591">
        <f t="shared" si="94"/>
        <v>393</v>
      </c>
      <c r="N359" s="591">
        <f t="shared" si="95"/>
        <v>285</v>
      </c>
      <c r="O359" s="591">
        <f t="shared" si="96"/>
        <v>419</v>
      </c>
      <c r="P359" s="315">
        <f t="shared" si="98"/>
        <v>333</v>
      </c>
      <c r="Q359" s="315">
        <f t="shared" si="99"/>
        <v>187</v>
      </c>
      <c r="R359" s="315">
        <f t="shared" si="100"/>
        <v>384</v>
      </c>
      <c r="S359" s="315">
        <f t="shared" si="101"/>
        <v>182</v>
      </c>
      <c r="T359" s="315">
        <f t="shared" si="102"/>
        <v>403</v>
      </c>
      <c r="U359" s="315">
        <f t="shared" si="103"/>
        <v>1489</v>
      </c>
      <c r="V359" s="591">
        <f t="shared" si="97"/>
        <v>458</v>
      </c>
      <c r="W359" s="598">
        <f t="shared" si="104"/>
        <v>458</v>
      </c>
    </row>
    <row r="360" spans="2:23" ht="15">
      <c r="B360" s="1043" t="s">
        <v>1293</v>
      </c>
      <c r="C360" s="1043" t="s">
        <v>1294</v>
      </c>
      <c r="D360" s="1046"/>
      <c r="E360" s="1043" t="s">
        <v>1286</v>
      </c>
      <c r="F360" s="1032"/>
      <c r="G360" s="844">
        <f>Data.Sard!J358</f>
        <v>0</v>
      </c>
      <c r="H360" s="1043">
        <v>11694155</v>
      </c>
      <c r="I360" s="264"/>
      <c r="J360" s="904"/>
      <c r="K360" s="595">
        <f t="shared" si="92"/>
        <v>442</v>
      </c>
      <c r="L360" s="591">
        <f t="shared" si="93"/>
        <v>397</v>
      </c>
      <c r="M360" s="591">
        <f t="shared" si="94"/>
        <v>453</v>
      </c>
      <c r="N360" s="591">
        <f t="shared" si="95"/>
        <v>285</v>
      </c>
      <c r="O360" s="591">
        <f t="shared" si="96"/>
        <v>419</v>
      </c>
      <c r="P360" s="315">
        <f t="shared" si="98"/>
        <v>333</v>
      </c>
      <c r="Q360" s="315">
        <f t="shared" si="99"/>
        <v>187</v>
      </c>
      <c r="R360" s="315">
        <f t="shared" si="100"/>
        <v>444</v>
      </c>
      <c r="S360" s="315">
        <f t="shared" si="101"/>
        <v>182</v>
      </c>
      <c r="T360" s="315">
        <f t="shared" si="102"/>
        <v>403</v>
      </c>
      <c r="U360" s="315">
        <f t="shared" si="103"/>
        <v>1549</v>
      </c>
      <c r="V360" s="591">
        <f t="shared" si="97"/>
        <v>489</v>
      </c>
      <c r="W360" s="598">
        <f t="shared" si="104"/>
        <v>489</v>
      </c>
    </row>
    <row r="361" spans="2:23" ht="15">
      <c r="B361" s="996" t="s">
        <v>1295</v>
      </c>
      <c r="C361" s="1043" t="s">
        <v>1296</v>
      </c>
      <c r="D361" s="1046"/>
      <c r="E361" s="1043" t="s">
        <v>1048</v>
      </c>
      <c r="F361" s="1032">
        <f>VALUE(Data.Sard!G359)</f>
        <v>7.8626434838596368E-2</v>
      </c>
      <c r="G361" s="844">
        <f>Data.Sard!J359</f>
        <v>-1.5236463453341487</v>
      </c>
      <c r="H361" s="1043">
        <v>7187500</v>
      </c>
      <c r="I361" s="264"/>
      <c r="J361" s="904">
        <f>Data.Sard!N359</f>
        <v>2.687986447297629E-2</v>
      </c>
      <c r="K361" s="595">
        <f t="shared" si="92"/>
        <v>269</v>
      </c>
      <c r="L361" s="591">
        <f t="shared" si="93"/>
        <v>495</v>
      </c>
      <c r="M361" s="591">
        <f t="shared" si="94"/>
        <v>499</v>
      </c>
      <c r="N361" s="591">
        <f t="shared" si="95"/>
        <v>285</v>
      </c>
      <c r="O361" s="591">
        <f t="shared" si="96"/>
        <v>345</v>
      </c>
      <c r="P361" s="315">
        <f t="shared" si="98"/>
        <v>160</v>
      </c>
      <c r="Q361" s="315">
        <f t="shared" si="99"/>
        <v>285</v>
      </c>
      <c r="R361" s="315">
        <f t="shared" si="100"/>
        <v>490</v>
      </c>
      <c r="S361" s="315">
        <f t="shared" si="101"/>
        <v>182</v>
      </c>
      <c r="T361" s="315">
        <f t="shared" si="102"/>
        <v>329</v>
      </c>
      <c r="U361" s="315">
        <f t="shared" si="103"/>
        <v>1446</v>
      </c>
      <c r="V361" s="591">
        <f t="shared" si="97"/>
        <v>435</v>
      </c>
      <c r="W361" s="598">
        <f t="shared" si="104"/>
        <v>435</v>
      </c>
    </row>
    <row r="362" spans="2:23" ht="15">
      <c r="B362" s="1043" t="s">
        <v>1297</v>
      </c>
      <c r="C362" s="1043" t="s">
        <v>1298</v>
      </c>
      <c r="D362" s="1051"/>
      <c r="E362" s="1043" t="s">
        <v>584</v>
      </c>
      <c r="F362" s="1032">
        <f>VALUE(Data.Sard!G360)</f>
        <v>-0.22994306010852955</v>
      </c>
      <c r="G362" s="844">
        <f>Data.Sard!J360</f>
        <v>2.2048539548294097</v>
      </c>
      <c r="H362" s="1043">
        <v>51445528</v>
      </c>
      <c r="I362" s="264">
        <f>VALUE(Data.Sard!L360)</f>
        <v>2.1360000000000001</v>
      </c>
      <c r="J362" s="904">
        <f>Data.Sard!N360</f>
        <v>-0.13919904915406645</v>
      </c>
      <c r="K362" s="595">
        <f t="shared" si="92"/>
        <v>551</v>
      </c>
      <c r="L362" s="591">
        <f t="shared" si="93"/>
        <v>227</v>
      </c>
      <c r="M362" s="591">
        <f t="shared" si="94"/>
        <v>291</v>
      </c>
      <c r="N362" s="591">
        <f t="shared" si="95"/>
        <v>45</v>
      </c>
      <c r="O362" s="591">
        <f t="shared" si="96"/>
        <v>519</v>
      </c>
      <c r="P362" s="315">
        <f t="shared" si="98"/>
        <v>442</v>
      </c>
      <c r="Q362" s="315">
        <f t="shared" si="99"/>
        <v>17</v>
      </c>
      <c r="R362" s="315">
        <f t="shared" si="100"/>
        <v>282</v>
      </c>
      <c r="S362" s="315">
        <f t="shared" si="101"/>
        <v>58</v>
      </c>
      <c r="T362" s="315">
        <f t="shared" si="102"/>
        <v>503</v>
      </c>
      <c r="U362" s="315">
        <f t="shared" si="103"/>
        <v>1302</v>
      </c>
      <c r="V362" s="591">
        <f t="shared" si="97"/>
        <v>367</v>
      </c>
      <c r="W362" s="598">
        <f t="shared" si="104"/>
        <v>367</v>
      </c>
    </row>
    <row r="363" spans="2:23" ht="15">
      <c r="B363" s="996" t="s">
        <v>1299</v>
      </c>
      <c r="C363" s="1043" t="s">
        <v>1300</v>
      </c>
      <c r="D363" s="1046"/>
      <c r="E363" s="1043" t="s">
        <v>573</v>
      </c>
      <c r="F363" s="1032">
        <f>VALUE(Data.Sard!G361)</f>
        <v>0.4442714934634967</v>
      </c>
      <c r="G363" s="844">
        <f>Data.Sard!J361</f>
        <v>-1.0410050109393747</v>
      </c>
      <c r="H363" s="1043">
        <v>49530011</v>
      </c>
      <c r="I363" s="264">
        <f>VALUE(Data.Sard!L361)</f>
        <v>0.71199999999999997</v>
      </c>
      <c r="J363" s="904">
        <f>Data.Sard!N361</f>
        <v>0.18785719675978682</v>
      </c>
      <c r="K363" s="595">
        <f t="shared" si="92"/>
        <v>33</v>
      </c>
      <c r="L363" s="591">
        <f t="shared" si="93"/>
        <v>484</v>
      </c>
      <c r="M363" s="591">
        <f t="shared" si="94"/>
        <v>298</v>
      </c>
      <c r="N363" s="591">
        <f t="shared" si="95"/>
        <v>138</v>
      </c>
      <c r="O363" s="591">
        <f t="shared" si="96"/>
        <v>58</v>
      </c>
      <c r="P363" s="315">
        <f t="shared" si="98"/>
        <v>76</v>
      </c>
      <c r="Q363" s="315">
        <f t="shared" si="99"/>
        <v>274</v>
      </c>
      <c r="R363" s="315">
        <f t="shared" si="100"/>
        <v>289</v>
      </c>
      <c r="S363" s="315">
        <f t="shared" si="101"/>
        <v>35</v>
      </c>
      <c r="T363" s="315">
        <f t="shared" si="102"/>
        <v>42</v>
      </c>
      <c r="U363" s="315">
        <f t="shared" si="103"/>
        <v>716</v>
      </c>
      <c r="V363" s="591">
        <f t="shared" si="97"/>
        <v>120</v>
      </c>
      <c r="W363" s="598">
        <f t="shared" si="104"/>
        <v>120</v>
      </c>
    </row>
    <row r="364" spans="2:23" ht="15">
      <c r="B364" s="996" t="s">
        <v>1301</v>
      </c>
      <c r="C364" s="1043" t="s">
        <v>1302</v>
      </c>
      <c r="D364" s="1046"/>
      <c r="E364" s="1043" t="s">
        <v>570</v>
      </c>
      <c r="F364" s="1032">
        <f>VALUE(Data.Sard!G362)</f>
        <v>-0.50134971251277383</v>
      </c>
      <c r="G364" s="844">
        <f>Data.Sard!J362</f>
        <v>-2.0596433704123625</v>
      </c>
      <c r="H364" s="1043">
        <v>289833</v>
      </c>
      <c r="I364" s="264">
        <f>VALUE(Data.Sard!L362)</f>
        <v>0.39400000000000002</v>
      </c>
      <c r="J364" s="904">
        <f>Data.Sard!N362</f>
        <v>-0.20205491661259617</v>
      </c>
      <c r="K364" s="595">
        <f t="shared" si="92"/>
        <v>575</v>
      </c>
      <c r="L364" s="591">
        <f t="shared" si="93"/>
        <v>507</v>
      </c>
      <c r="M364" s="591">
        <f t="shared" si="94"/>
        <v>639</v>
      </c>
      <c r="N364" s="591">
        <f t="shared" si="95"/>
        <v>189</v>
      </c>
      <c r="O364" s="591">
        <f t="shared" si="96"/>
        <v>537</v>
      </c>
      <c r="P364" s="315">
        <f t="shared" si="98"/>
        <v>466</v>
      </c>
      <c r="Q364" s="315">
        <f t="shared" si="99"/>
        <v>297</v>
      </c>
      <c r="R364" s="315">
        <f t="shared" si="100"/>
        <v>630</v>
      </c>
      <c r="S364" s="315">
        <f t="shared" si="101"/>
        <v>86</v>
      </c>
      <c r="T364" s="315">
        <f t="shared" si="102"/>
        <v>521</v>
      </c>
      <c r="U364" s="315">
        <f t="shared" si="103"/>
        <v>2000</v>
      </c>
      <c r="V364" s="591">
        <f t="shared" si="97"/>
        <v>696</v>
      </c>
      <c r="W364" s="598">
        <f t="shared" si="104"/>
        <v>696</v>
      </c>
    </row>
    <row r="365" spans="2:23" ht="15">
      <c r="B365" s="1043" t="s">
        <v>1303</v>
      </c>
      <c r="C365" s="1043" t="s">
        <v>1304</v>
      </c>
      <c r="D365" s="1046"/>
      <c r="E365" s="1043" t="s">
        <v>579</v>
      </c>
      <c r="F365" s="1032">
        <f>VALUE(Data.Sard!G363)</f>
        <v>0.42669260668189235</v>
      </c>
      <c r="G365" s="844">
        <f>Data.Sard!J363</f>
        <v>-2.4821684796372017</v>
      </c>
      <c r="H365" s="1043">
        <v>304008</v>
      </c>
      <c r="I365" s="264">
        <f>VALUE(Data.Sard!L363)</f>
        <v>0.96099999999999997</v>
      </c>
      <c r="J365" s="904">
        <f>Data.Sard!N363</f>
        <v>-0.86861313814823582</v>
      </c>
      <c r="K365" s="595">
        <f t="shared" si="92"/>
        <v>34</v>
      </c>
      <c r="L365" s="591">
        <f t="shared" si="93"/>
        <v>515</v>
      </c>
      <c r="M365" s="591">
        <f t="shared" si="94"/>
        <v>638</v>
      </c>
      <c r="N365" s="591">
        <f t="shared" si="95"/>
        <v>106</v>
      </c>
      <c r="O365" s="591">
        <f t="shared" si="96"/>
        <v>576</v>
      </c>
      <c r="P365" s="315">
        <f t="shared" si="98"/>
        <v>75</v>
      </c>
      <c r="Q365" s="315">
        <f t="shared" si="99"/>
        <v>305</v>
      </c>
      <c r="R365" s="315">
        <f t="shared" si="100"/>
        <v>629</v>
      </c>
      <c r="S365" s="315">
        <f t="shared" si="101"/>
        <v>3</v>
      </c>
      <c r="T365" s="315">
        <f t="shared" si="102"/>
        <v>560</v>
      </c>
      <c r="U365" s="315">
        <f t="shared" si="103"/>
        <v>1572</v>
      </c>
      <c r="V365" s="591">
        <f t="shared" si="97"/>
        <v>513</v>
      </c>
      <c r="W365" s="598">
        <f t="shared" si="104"/>
        <v>513</v>
      </c>
    </row>
    <row r="366" spans="2:23" ht="15">
      <c r="B366" s="996" t="s">
        <v>1305</v>
      </c>
      <c r="C366" s="1043" t="s">
        <v>1306</v>
      </c>
      <c r="D366" s="1046"/>
      <c r="E366" s="1043" t="s">
        <v>736</v>
      </c>
      <c r="F366" s="1032">
        <f>VALUE(Data.Sard!G364)</f>
        <v>-3.3304381579900686</v>
      </c>
      <c r="G366" s="844">
        <f>Data.Sard!J364</f>
        <v>-12.708742664804314</v>
      </c>
      <c r="H366" s="1043">
        <v>506328677</v>
      </c>
      <c r="I366" s="264"/>
      <c r="J366" s="904">
        <f>Data.Sard!N364</f>
        <v>-0.57354976693458504</v>
      </c>
      <c r="K366" s="595">
        <f t="shared" si="92"/>
        <v>603</v>
      </c>
      <c r="L366" s="591">
        <f t="shared" si="93"/>
        <v>572</v>
      </c>
      <c r="M366" s="591">
        <f t="shared" si="94"/>
        <v>97</v>
      </c>
      <c r="N366" s="591">
        <f t="shared" si="95"/>
        <v>285</v>
      </c>
      <c r="O366" s="591">
        <f t="shared" si="96"/>
        <v>561</v>
      </c>
      <c r="P366" s="315">
        <f t="shared" si="98"/>
        <v>494</v>
      </c>
      <c r="Q366" s="315">
        <f t="shared" si="99"/>
        <v>362</v>
      </c>
      <c r="R366" s="315">
        <f t="shared" si="100"/>
        <v>88</v>
      </c>
      <c r="S366" s="315">
        <f t="shared" si="101"/>
        <v>182</v>
      </c>
      <c r="T366" s="315">
        <f t="shared" si="102"/>
        <v>545</v>
      </c>
      <c r="U366" s="315">
        <f t="shared" si="103"/>
        <v>1671</v>
      </c>
      <c r="V366" s="591">
        <f t="shared" si="97"/>
        <v>572</v>
      </c>
      <c r="W366" s="598">
        <f t="shared" si="104"/>
        <v>572</v>
      </c>
    </row>
    <row r="367" spans="2:23" ht="15">
      <c r="B367" s="996" t="s">
        <v>1307</v>
      </c>
      <c r="C367" s="1043" t="s">
        <v>1308</v>
      </c>
      <c r="D367" s="1046"/>
      <c r="E367" s="1043" t="s">
        <v>603</v>
      </c>
      <c r="F367" s="1032">
        <f>VALUE(Data.Sard!G365)</f>
        <v>7.8259674637789683E-2</v>
      </c>
      <c r="G367" s="844"/>
      <c r="H367" s="1043">
        <v>444114</v>
      </c>
      <c r="I367" s="264">
        <f>VALUE(Data.Sard!L365)</f>
        <v>1.4490000000000001</v>
      </c>
      <c r="J367" s="904"/>
      <c r="K367" s="595">
        <f t="shared" si="92"/>
        <v>271</v>
      </c>
      <c r="L367" s="591">
        <f t="shared" si="93"/>
        <v>397</v>
      </c>
      <c r="M367" s="591">
        <f t="shared" si="94"/>
        <v>631</v>
      </c>
      <c r="N367" s="591">
        <f t="shared" si="95"/>
        <v>62</v>
      </c>
      <c r="O367" s="591">
        <f t="shared" si="96"/>
        <v>419</v>
      </c>
      <c r="P367" s="315">
        <f t="shared" si="98"/>
        <v>162</v>
      </c>
      <c r="Q367" s="315">
        <f t="shared" si="99"/>
        <v>187</v>
      </c>
      <c r="R367" s="315">
        <f t="shared" si="100"/>
        <v>622</v>
      </c>
      <c r="S367" s="315">
        <f t="shared" si="101"/>
        <v>41</v>
      </c>
      <c r="T367" s="315">
        <f t="shared" si="102"/>
        <v>403</v>
      </c>
      <c r="U367" s="315">
        <f t="shared" si="103"/>
        <v>1415</v>
      </c>
      <c r="V367" s="591">
        <f t="shared" si="97"/>
        <v>420</v>
      </c>
      <c r="W367" s="598">
        <f t="shared" si="104"/>
        <v>420</v>
      </c>
    </row>
    <row r="368" spans="2:23" ht="15">
      <c r="B368" s="996" t="s">
        <v>1309</v>
      </c>
      <c r="C368" s="1043" t="s">
        <v>1310</v>
      </c>
      <c r="D368" s="1046"/>
      <c r="E368" s="1043" t="s">
        <v>570</v>
      </c>
      <c r="F368" s="1032"/>
      <c r="G368" s="844"/>
      <c r="H368" s="1043">
        <v>2999</v>
      </c>
      <c r="I368" s="264">
        <f>VALUE(Data.Sard!L366)</f>
        <v>1.1579999999999999</v>
      </c>
      <c r="J368" s="904"/>
      <c r="K368" s="595">
        <f t="shared" si="92"/>
        <v>442</v>
      </c>
      <c r="L368" s="591">
        <f t="shared" si="93"/>
        <v>397</v>
      </c>
      <c r="M368" s="591">
        <f t="shared" si="94"/>
        <v>662</v>
      </c>
      <c r="N368" s="591">
        <f t="shared" si="95"/>
        <v>83</v>
      </c>
      <c r="O368" s="591">
        <f t="shared" si="96"/>
        <v>419</v>
      </c>
      <c r="P368" s="315">
        <f t="shared" si="98"/>
        <v>333</v>
      </c>
      <c r="Q368" s="315">
        <f t="shared" si="99"/>
        <v>187</v>
      </c>
      <c r="R368" s="315">
        <f t="shared" si="100"/>
        <v>653</v>
      </c>
      <c r="S368" s="315">
        <f t="shared" si="101"/>
        <v>20</v>
      </c>
      <c r="T368" s="315">
        <f t="shared" si="102"/>
        <v>403</v>
      </c>
      <c r="U368" s="315">
        <f t="shared" si="103"/>
        <v>1596</v>
      </c>
      <c r="V368" s="591">
        <f t="shared" si="97"/>
        <v>524</v>
      </c>
      <c r="W368" s="598">
        <f t="shared" si="104"/>
        <v>524</v>
      </c>
    </row>
    <row r="369" spans="2:23" ht="15">
      <c r="B369" s="1043" t="s">
        <v>1311</v>
      </c>
      <c r="C369" s="1043" t="s">
        <v>1312</v>
      </c>
      <c r="D369" s="1046"/>
      <c r="E369" s="1043" t="s">
        <v>903</v>
      </c>
      <c r="F369" s="1032"/>
      <c r="G369" s="844">
        <f>Data.Sard!J367</f>
        <v>8.272294152694295</v>
      </c>
      <c r="H369" s="1043">
        <v>1075745</v>
      </c>
      <c r="I369" s="264"/>
      <c r="J369" s="904"/>
      <c r="K369" s="595">
        <f t="shared" si="92"/>
        <v>442</v>
      </c>
      <c r="L369" s="591">
        <f t="shared" si="93"/>
        <v>74</v>
      </c>
      <c r="M369" s="591">
        <f t="shared" si="94"/>
        <v>609</v>
      </c>
      <c r="N369" s="591">
        <f t="shared" si="95"/>
        <v>285</v>
      </c>
      <c r="O369" s="591">
        <f t="shared" si="96"/>
        <v>419</v>
      </c>
      <c r="P369" s="315">
        <f t="shared" si="98"/>
        <v>333</v>
      </c>
      <c r="Q369" s="315">
        <f t="shared" si="99"/>
        <v>136</v>
      </c>
      <c r="R369" s="315">
        <f t="shared" si="100"/>
        <v>600</v>
      </c>
      <c r="S369" s="315">
        <f t="shared" si="101"/>
        <v>182</v>
      </c>
      <c r="T369" s="315">
        <f t="shared" si="102"/>
        <v>403</v>
      </c>
      <c r="U369" s="315">
        <f t="shared" si="103"/>
        <v>1654</v>
      </c>
      <c r="V369" s="591">
        <f t="shared" si="97"/>
        <v>559</v>
      </c>
      <c r="W369" s="598">
        <f t="shared" si="104"/>
        <v>559</v>
      </c>
    </row>
    <row r="370" spans="2:23" ht="15">
      <c r="B370" s="1043" t="s">
        <v>1313</v>
      </c>
      <c r="C370" s="1043" t="s">
        <v>1314</v>
      </c>
      <c r="D370" s="1046"/>
      <c r="E370" s="1043" t="s">
        <v>584</v>
      </c>
      <c r="F370" s="1032">
        <f>VALUE(Data.Sard!G368)</f>
        <v>6.6787599327095978E-2</v>
      </c>
      <c r="G370" s="844"/>
      <c r="H370" s="1043">
        <v>19483696</v>
      </c>
      <c r="I370" s="264"/>
      <c r="J370" s="904">
        <f>Data.Sard!N368</f>
        <v>4.6116764252388032E-2</v>
      </c>
      <c r="K370" s="595">
        <f t="shared" si="92"/>
        <v>290</v>
      </c>
      <c r="L370" s="591">
        <f t="shared" si="93"/>
        <v>397</v>
      </c>
      <c r="M370" s="591">
        <f t="shared" si="94"/>
        <v>399</v>
      </c>
      <c r="N370" s="591">
        <f t="shared" si="95"/>
        <v>285</v>
      </c>
      <c r="O370" s="591">
        <f t="shared" si="96"/>
        <v>293</v>
      </c>
      <c r="P370" s="315">
        <f t="shared" si="98"/>
        <v>181</v>
      </c>
      <c r="Q370" s="315">
        <f t="shared" si="99"/>
        <v>187</v>
      </c>
      <c r="R370" s="315">
        <f t="shared" si="100"/>
        <v>390</v>
      </c>
      <c r="S370" s="315">
        <f t="shared" si="101"/>
        <v>182</v>
      </c>
      <c r="T370" s="315">
        <f t="shared" si="102"/>
        <v>277</v>
      </c>
      <c r="U370" s="315">
        <f t="shared" si="103"/>
        <v>1217</v>
      </c>
      <c r="V370" s="591">
        <f t="shared" si="97"/>
        <v>317</v>
      </c>
      <c r="W370" s="598">
        <f t="shared" si="104"/>
        <v>317</v>
      </c>
    </row>
    <row r="371" spans="2:23" ht="15">
      <c r="B371" s="996" t="s">
        <v>1315</v>
      </c>
      <c r="C371" s="1043" t="s">
        <v>1316</v>
      </c>
      <c r="D371" s="1046"/>
      <c r="E371" s="1043" t="s">
        <v>570</v>
      </c>
      <c r="F371" s="1032"/>
      <c r="G371" s="844">
        <f>Data.Sard!J369</f>
        <v>-0.18890853945769939</v>
      </c>
      <c r="H371" s="1043">
        <v>2989902</v>
      </c>
      <c r="I371" s="264">
        <f>VALUE(Data.Sard!L369)</f>
        <v>1.202</v>
      </c>
      <c r="J371" s="904"/>
      <c r="K371" s="595">
        <f t="shared" si="92"/>
        <v>442</v>
      </c>
      <c r="L371" s="591">
        <f t="shared" si="93"/>
        <v>456</v>
      </c>
      <c r="M371" s="591">
        <f t="shared" si="94"/>
        <v>564</v>
      </c>
      <c r="N371" s="591">
        <f t="shared" si="95"/>
        <v>78</v>
      </c>
      <c r="O371" s="591">
        <f t="shared" si="96"/>
        <v>419</v>
      </c>
      <c r="P371" s="315">
        <f t="shared" si="98"/>
        <v>333</v>
      </c>
      <c r="Q371" s="315">
        <f t="shared" si="99"/>
        <v>246</v>
      </c>
      <c r="R371" s="315">
        <f t="shared" si="100"/>
        <v>555</v>
      </c>
      <c r="S371" s="315">
        <f t="shared" si="101"/>
        <v>25</v>
      </c>
      <c r="T371" s="315">
        <f t="shared" si="102"/>
        <v>403</v>
      </c>
      <c r="U371" s="315">
        <f t="shared" si="103"/>
        <v>1562</v>
      </c>
      <c r="V371" s="591">
        <f t="shared" si="97"/>
        <v>502</v>
      </c>
      <c r="W371" s="598">
        <f t="shared" si="104"/>
        <v>502</v>
      </c>
    </row>
    <row r="372" spans="2:23" ht="15">
      <c r="B372" s="996" t="s">
        <v>1317</v>
      </c>
      <c r="C372" s="1043" t="s">
        <v>1318</v>
      </c>
      <c r="D372" s="1046"/>
      <c r="E372" s="1043" t="s">
        <v>570</v>
      </c>
      <c r="F372" s="1032">
        <f>VALUE(Data.Sard!G370)</f>
        <v>5.939657450335103</v>
      </c>
      <c r="G372" s="844">
        <f>Data.Sard!J370</f>
        <v>0.95980761945471038</v>
      </c>
      <c r="H372" s="1043">
        <v>155</v>
      </c>
      <c r="I372" s="264"/>
      <c r="J372" s="904">
        <f>Data.Sard!N370</f>
        <v>-7.7903106389827776</v>
      </c>
      <c r="K372" s="595">
        <f t="shared" si="92"/>
        <v>2</v>
      </c>
      <c r="L372" s="591">
        <f t="shared" si="93"/>
        <v>295</v>
      </c>
      <c r="M372" s="591">
        <f t="shared" si="94"/>
        <v>666</v>
      </c>
      <c r="N372" s="591">
        <f t="shared" si="95"/>
        <v>285</v>
      </c>
      <c r="O372" s="591">
        <f t="shared" si="96"/>
        <v>595</v>
      </c>
      <c r="P372" s="315">
        <f t="shared" si="98"/>
        <v>107</v>
      </c>
      <c r="Q372" s="315">
        <f t="shared" si="99"/>
        <v>85</v>
      </c>
      <c r="R372" s="315">
        <f t="shared" si="100"/>
        <v>657</v>
      </c>
      <c r="S372" s="315">
        <f t="shared" si="101"/>
        <v>182</v>
      </c>
      <c r="T372" s="315">
        <f t="shared" si="102"/>
        <v>579</v>
      </c>
      <c r="U372" s="315">
        <f t="shared" si="103"/>
        <v>1610</v>
      </c>
      <c r="V372" s="591">
        <f t="shared" si="97"/>
        <v>537</v>
      </c>
      <c r="W372" s="598">
        <f t="shared" si="104"/>
        <v>537</v>
      </c>
    </row>
    <row r="373" spans="2:23" ht="15">
      <c r="B373" s="996" t="s">
        <v>1319</v>
      </c>
      <c r="C373" s="1043" t="s">
        <v>1320</v>
      </c>
      <c r="D373" s="1046"/>
      <c r="E373" s="1043" t="s">
        <v>1048</v>
      </c>
      <c r="F373" s="1032">
        <f>VALUE(Data.Sard!G371)</f>
        <v>0.2010057987635871</v>
      </c>
      <c r="G373" s="844">
        <f>Data.Sard!J371</f>
        <v>2.6656258182950521</v>
      </c>
      <c r="H373" s="1043">
        <v>1240132557</v>
      </c>
      <c r="I373" s="264"/>
      <c r="J373" s="904">
        <f>Data.Sard!N371</f>
        <v>7.4965649194587647E-2</v>
      </c>
      <c r="K373" s="595">
        <f t="shared" si="92"/>
        <v>108</v>
      </c>
      <c r="L373" s="591">
        <f t="shared" si="93"/>
        <v>200</v>
      </c>
      <c r="M373" s="591">
        <f t="shared" si="94"/>
        <v>53</v>
      </c>
      <c r="N373" s="591">
        <f t="shared" si="95"/>
        <v>285</v>
      </c>
      <c r="O373" s="591">
        <f t="shared" si="96"/>
        <v>209</v>
      </c>
      <c r="P373" s="315">
        <f t="shared" si="98"/>
        <v>1</v>
      </c>
      <c r="Q373" s="315">
        <f t="shared" si="99"/>
        <v>10</v>
      </c>
      <c r="R373" s="315">
        <f t="shared" si="100"/>
        <v>44</v>
      </c>
      <c r="S373" s="315">
        <f t="shared" si="101"/>
        <v>182</v>
      </c>
      <c r="T373" s="315">
        <f t="shared" si="102"/>
        <v>193</v>
      </c>
      <c r="U373" s="315">
        <f t="shared" si="103"/>
        <v>430</v>
      </c>
      <c r="V373" s="591">
        <f t="shared" si="97"/>
        <v>21</v>
      </c>
      <c r="W373" s="598">
        <f t="shared" si="104"/>
        <v>21</v>
      </c>
    </row>
    <row r="374" spans="2:23" ht="15">
      <c r="B374" s="1043" t="s">
        <v>1321</v>
      </c>
      <c r="C374" s="1043" t="s">
        <v>1322</v>
      </c>
      <c r="D374" s="1046"/>
      <c r="E374" s="1043" t="s">
        <v>584</v>
      </c>
      <c r="F374" s="1032">
        <f>VALUE(Data.Sard!G372)</f>
        <v>0.17405027532925055</v>
      </c>
      <c r="G374" s="844"/>
      <c r="H374" s="1043">
        <v>610320090</v>
      </c>
      <c r="I374" s="264">
        <f>VALUE(Data.Sard!L372)</f>
        <v>-0.106</v>
      </c>
      <c r="J374" s="904">
        <f>Data.Sard!N372</f>
        <v>9.740409854447693E-2</v>
      </c>
      <c r="K374" s="595">
        <f t="shared" si="92"/>
        <v>129</v>
      </c>
      <c r="L374" s="591">
        <f t="shared" si="93"/>
        <v>397</v>
      </c>
      <c r="M374" s="591">
        <f t="shared" si="94"/>
        <v>87</v>
      </c>
      <c r="N374" s="591">
        <f t="shared" si="95"/>
        <v>320</v>
      </c>
      <c r="O374" s="591">
        <f t="shared" si="96"/>
        <v>163</v>
      </c>
      <c r="P374" s="315">
        <f t="shared" si="98"/>
        <v>20</v>
      </c>
      <c r="Q374" s="315">
        <f t="shared" si="99"/>
        <v>187</v>
      </c>
      <c r="R374" s="315">
        <f t="shared" si="100"/>
        <v>78</v>
      </c>
      <c r="S374" s="315">
        <f t="shared" si="101"/>
        <v>217</v>
      </c>
      <c r="T374" s="315">
        <f t="shared" si="102"/>
        <v>147</v>
      </c>
      <c r="U374" s="315">
        <f t="shared" si="103"/>
        <v>649</v>
      </c>
      <c r="V374" s="591">
        <f t="shared" si="97"/>
        <v>95</v>
      </c>
      <c r="W374" s="598">
        <f t="shared" si="104"/>
        <v>95</v>
      </c>
    </row>
    <row r="375" spans="2:23" ht="15">
      <c r="B375" s="996" t="s">
        <v>1323</v>
      </c>
      <c r="C375" s="1043" t="s">
        <v>1324</v>
      </c>
      <c r="D375" s="1046"/>
      <c r="E375" s="1043" t="s">
        <v>1325</v>
      </c>
      <c r="F375" s="1032"/>
      <c r="G375" s="844"/>
      <c r="H375" s="1043">
        <v>117646</v>
      </c>
      <c r="I375" s="264">
        <f>VALUE(Data.Sard!L373)</f>
        <v>48.686</v>
      </c>
      <c r="J375" s="904"/>
      <c r="K375" s="595">
        <f t="shared" si="92"/>
        <v>442</v>
      </c>
      <c r="L375" s="591">
        <f t="shared" si="93"/>
        <v>397</v>
      </c>
      <c r="M375" s="591">
        <f t="shared" si="94"/>
        <v>649</v>
      </c>
      <c r="N375" s="591">
        <f t="shared" si="95"/>
        <v>5</v>
      </c>
      <c r="O375" s="591">
        <f t="shared" si="96"/>
        <v>419</v>
      </c>
      <c r="P375" s="315">
        <f t="shared" si="98"/>
        <v>333</v>
      </c>
      <c r="Q375" s="315">
        <f t="shared" si="99"/>
        <v>187</v>
      </c>
      <c r="R375" s="315">
        <f t="shared" si="100"/>
        <v>640</v>
      </c>
      <c r="S375" s="315">
        <f t="shared" si="101"/>
        <v>98</v>
      </c>
      <c r="T375" s="315">
        <f t="shared" si="102"/>
        <v>403</v>
      </c>
      <c r="U375" s="315">
        <f t="shared" si="103"/>
        <v>1661</v>
      </c>
      <c r="V375" s="591">
        <f t="shared" si="97"/>
        <v>562</v>
      </c>
      <c r="W375" s="598">
        <f t="shared" si="104"/>
        <v>562</v>
      </c>
    </row>
    <row r="376" spans="2:23" ht="15">
      <c r="B376" s="996" t="s">
        <v>1326</v>
      </c>
      <c r="C376" s="1043" t="s">
        <v>1327</v>
      </c>
      <c r="D376" s="1046"/>
      <c r="E376" s="1043" t="s">
        <v>1325</v>
      </c>
      <c r="F376" s="1032"/>
      <c r="G376" s="844"/>
      <c r="H376" s="1043">
        <v>327680</v>
      </c>
      <c r="I376" s="264"/>
      <c r="J376" s="904"/>
      <c r="K376" s="595">
        <f t="shared" si="92"/>
        <v>442</v>
      </c>
      <c r="L376" s="591">
        <f t="shared" si="93"/>
        <v>397</v>
      </c>
      <c r="M376" s="591">
        <f t="shared" si="94"/>
        <v>637</v>
      </c>
      <c r="N376" s="591">
        <f t="shared" si="95"/>
        <v>285</v>
      </c>
      <c r="O376" s="591">
        <f t="shared" si="96"/>
        <v>419</v>
      </c>
      <c r="P376" s="315">
        <f t="shared" si="98"/>
        <v>333</v>
      </c>
      <c r="Q376" s="315">
        <f t="shared" si="99"/>
        <v>187</v>
      </c>
      <c r="R376" s="315">
        <f t="shared" si="100"/>
        <v>628</v>
      </c>
      <c r="S376" s="315">
        <f t="shared" si="101"/>
        <v>182</v>
      </c>
      <c r="T376" s="315">
        <f t="shared" si="102"/>
        <v>403</v>
      </c>
      <c r="U376" s="315">
        <f t="shared" si="103"/>
        <v>1733</v>
      </c>
      <c r="V376" s="591">
        <f t="shared" si="97"/>
        <v>605</v>
      </c>
      <c r="W376" s="598">
        <f t="shared" si="104"/>
        <v>605</v>
      </c>
    </row>
    <row r="377" spans="2:23" ht="15">
      <c r="B377" s="1043" t="s">
        <v>1328</v>
      </c>
      <c r="C377" s="1043" t="s">
        <v>1329</v>
      </c>
      <c r="D377" s="1046"/>
      <c r="E377" s="1043" t="s">
        <v>1198</v>
      </c>
      <c r="F377" s="1032"/>
      <c r="G377" s="844">
        <f>Data.Sard!J375</f>
        <v>-0.90182868142444661</v>
      </c>
      <c r="H377" s="1003">
        <v>0</v>
      </c>
      <c r="I377" s="264"/>
      <c r="J377" s="904"/>
      <c r="K377" s="595">
        <f t="shared" si="92"/>
        <v>442</v>
      </c>
      <c r="L377" s="591">
        <f t="shared" si="93"/>
        <v>480</v>
      </c>
      <c r="M377" s="591">
        <f t="shared" si="94"/>
        <v>677</v>
      </c>
      <c r="N377" s="591">
        <f t="shared" si="95"/>
        <v>285</v>
      </c>
      <c r="O377" s="591">
        <f t="shared" si="96"/>
        <v>419</v>
      </c>
      <c r="P377" s="315">
        <f t="shared" si="98"/>
        <v>333</v>
      </c>
      <c r="Q377" s="315">
        <f t="shared" si="99"/>
        <v>270</v>
      </c>
      <c r="R377" s="315">
        <f t="shared" si="100"/>
        <v>668</v>
      </c>
      <c r="S377" s="315">
        <f t="shared" si="101"/>
        <v>182</v>
      </c>
      <c r="T377" s="315">
        <f t="shared" si="102"/>
        <v>403</v>
      </c>
      <c r="U377" s="315">
        <f t="shared" si="103"/>
        <v>1856</v>
      </c>
      <c r="V377" s="591">
        <f t="shared" si="97"/>
        <v>667</v>
      </c>
      <c r="W377" s="598">
        <f t="shared" si="104"/>
        <v>667</v>
      </c>
    </row>
    <row r="378" spans="2:23" ht="15">
      <c r="B378" s="996" t="s">
        <v>1330</v>
      </c>
      <c r="C378" s="1043" t="s">
        <v>1331</v>
      </c>
      <c r="D378" s="1046"/>
      <c r="E378" s="1043" t="s">
        <v>570</v>
      </c>
      <c r="F378" s="1032">
        <f>VALUE(Data.Sard!G376)</f>
        <v>1.1124197002141327</v>
      </c>
      <c r="G378" s="844"/>
      <c r="H378" s="1043">
        <v>978000</v>
      </c>
      <c r="I378" s="264"/>
      <c r="J378" s="904"/>
      <c r="K378" s="595">
        <f t="shared" si="92"/>
        <v>13</v>
      </c>
      <c r="L378" s="591">
        <f t="shared" si="93"/>
        <v>397</v>
      </c>
      <c r="M378" s="591">
        <f t="shared" si="94"/>
        <v>611</v>
      </c>
      <c r="N378" s="591">
        <f t="shared" si="95"/>
        <v>285</v>
      </c>
      <c r="O378" s="591">
        <f t="shared" si="96"/>
        <v>419</v>
      </c>
      <c r="P378" s="315">
        <f t="shared" si="98"/>
        <v>96</v>
      </c>
      <c r="Q378" s="315">
        <f t="shared" si="99"/>
        <v>187</v>
      </c>
      <c r="R378" s="315">
        <f t="shared" si="100"/>
        <v>602</v>
      </c>
      <c r="S378" s="315">
        <f t="shared" si="101"/>
        <v>182</v>
      </c>
      <c r="T378" s="315">
        <f t="shared" si="102"/>
        <v>403</v>
      </c>
      <c r="U378" s="315">
        <f t="shared" si="103"/>
        <v>1470</v>
      </c>
      <c r="V378" s="591">
        <f t="shared" si="97"/>
        <v>446</v>
      </c>
      <c r="W378" s="598">
        <f t="shared" si="104"/>
        <v>446</v>
      </c>
    </row>
    <row r="379" spans="2:23" ht="15">
      <c r="B379" s="996" t="s">
        <v>1332</v>
      </c>
      <c r="C379" s="1043" t="s">
        <v>1333</v>
      </c>
      <c r="D379" s="994"/>
      <c r="E379" s="1043" t="s">
        <v>1325</v>
      </c>
      <c r="F379" s="1032"/>
      <c r="G379" s="844"/>
      <c r="H379" s="1003">
        <v>0</v>
      </c>
      <c r="I379" s="264"/>
      <c r="J379" s="904"/>
      <c r="K379" s="595">
        <f t="shared" si="92"/>
        <v>442</v>
      </c>
      <c r="L379" s="591">
        <f t="shared" si="93"/>
        <v>397</v>
      </c>
      <c r="M379" s="591">
        <f t="shared" si="94"/>
        <v>677</v>
      </c>
      <c r="N379" s="591">
        <f t="shared" si="95"/>
        <v>285</v>
      </c>
      <c r="O379" s="591">
        <f t="shared" si="96"/>
        <v>419</v>
      </c>
      <c r="P379" s="315">
        <f t="shared" si="98"/>
        <v>333</v>
      </c>
      <c r="Q379" s="315">
        <f t="shared" si="99"/>
        <v>187</v>
      </c>
      <c r="R379" s="315">
        <f t="shared" si="100"/>
        <v>668</v>
      </c>
      <c r="S379" s="315">
        <f t="shared" si="101"/>
        <v>182</v>
      </c>
      <c r="T379" s="315">
        <f t="shared" si="102"/>
        <v>403</v>
      </c>
      <c r="U379" s="315">
        <f t="shared" si="103"/>
        <v>1773</v>
      </c>
      <c r="V379" s="591">
        <f t="shared" si="97"/>
        <v>627</v>
      </c>
      <c r="W379" s="598">
        <f t="shared" si="104"/>
        <v>627</v>
      </c>
    </row>
    <row r="380" spans="2:23" ht="15">
      <c r="B380" s="996" t="s">
        <v>1334</v>
      </c>
      <c r="C380" s="1043" t="s">
        <v>1335</v>
      </c>
      <c r="D380" s="1046"/>
      <c r="E380" s="1043" t="s">
        <v>1325</v>
      </c>
      <c r="F380" s="1032"/>
      <c r="G380" s="844"/>
      <c r="H380" s="1003">
        <v>0</v>
      </c>
      <c r="I380" s="264"/>
      <c r="J380" s="904"/>
      <c r="K380" s="595">
        <f t="shared" si="92"/>
        <v>442</v>
      </c>
      <c r="L380" s="591">
        <f t="shared" si="93"/>
        <v>397</v>
      </c>
      <c r="M380" s="591">
        <f t="shared" si="94"/>
        <v>677</v>
      </c>
      <c r="N380" s="591">
        <f t="shared" si="95"/>
        <v>285</v>
      </c>
      <c r="O380" s="591">
        <f t="shared" si="96"/>
        <v>419</v>
      </c>
      <c r="P380" s="315">
        <f t="shared" si="98"/>
        <v>333</v>
      </c>
      <c r="Q380" s="315">
        <f t="shared" si="99"/>
        <v>187</v>
      </c>
      <c r="R380" s="315">
        <f t="shared" si="100"/>
        <v>668</v>
      </c>
      <c r="S380" s="315">
        <f t="shared" si="101"/>
        <v>182</v>
      </c>
      <c r="T380" s="315">
        <f t="shared" si="102"/>
        <v>403</v>
      </c>
      <c r="U380" s="315">
        <f t="shared" si="103"/>
        <v>1773</v>
      </c>
      <c r="V380" s="591">
        <f t="shared" si="97"/>
        <v>627</v>
      </c>
      <c r="W380" s="598">
        <f t="shared" si="104"/>
        <v>627</v>
      </c>
    </row>
    <row r="381" spans="2:23" ht="15">
      <c r="B381" s="996" t="s">
        <v>1336</v>
      </c>
      <c r="C381" s="1043" t="s">
        <v>1337</v>
      </c>
      <c r="D381" s="994"/>
      <c r="E381" s="1043" t="s">
        <v>1325</v>
      </c>
      <c r="F381" s="1032"/>
      <c r="G381" s="844"/>
      <c r="H381" s="1003">
        <v>0</v>
      </c>
      <c r="I381" s="264"/>
      <c r="J381" s="904"/>
      <c r="K381" s="595">
        <f t="shared" si="92"/>
        <v>442</v>
      </c>
      <c r="L381" s="591">
        <f t="shared" si="93"/>
        <v>397</v>
      </c>
      <c r="M381" s="591">
        <f t="shared" si="94"/>
        <v>677</v>
      </c>
      <c r="N381" s="591">
        <f t="shared" si="95"/>
        <v>285</v>
      </c>
      <c r="O381" s="591">
        <f t="shared" si="96"/>
        <v>419</v>
      </c>
      <c r="P381" s="315">
        <f t="shared" si="98"/>
        <v>333</v>
      </c>
      <c r="Q381" s="315">
        <f t="shared" si="99"/>
        <v>187</v>
      </c>
      <c r="R381" s="315">
        <f t="shared" si="100"/>
        <v>668</v>
      </c>
      <c r="S381" s="315">
        <f t="shared" si="101"/>
        <v>182</v>
      </c>
      <c r="T381" s="315">
        <f t="shared" si="102"/>
        <v>403</v>
      </c>
      <c r="U381" s="315">
        <f t="shared" si="103"/>
        <v>1773</v>
      </c>
      <c r="V381" s="591">
        <f t="shared" si="97"/>
        <v>627</v>
      </c>
      <c r="W381" s="598">
        <f t="shared" si="104"/>
        <v>627</v>
      </c>
    </row>
    <row r="382" spans="2:23" ht="15">
      <c r="B382" s="996" t="s">
        <v>1338</v>
      </c>
      <c r="C382" s="1043" t="s">
        <v>1339</v>
      </c>
      <c r="D382" s="994"/>
      <c r="E382" s="1043" t="s">
        <v>1325</v>
      </c>
      <c r="F382" s="1032"/>
      <c r="G382" s="844"/>
      <c r="H382" s="1043">
        <v>451</v>
      </c>
      <c r="I382" s="264"/>
      <c r="J382" s="904"/>
      <c r="K382" s="595">
        <f t="shared" si="92"/>
        <v>442</v>
      </c>
      <c r="L382" s="591">
        <f t="shared" si="93"/>
        <v>397</v>
      </c>
      <c r="M382" s="591">
        <f t="shared" si="94"/>
        <v>665</v>
      </c>
      <c r="N382" s="591">
        <f t="shared" si="95"/>
        <v>285</v>
      </c>
      <c r="O382" s="591">
        <f t="shared" si="96"/>
        <v>419</v>
      </c>
      <c r="P382" s="315">
        <f t="shared" si="98"/>
        <v>333</v>
      </c>
      <c r="Q382" s="315">
        <f t="shared" si="99"/>
        <v>187</v>
      </c>
      <c r="R382" s="315">
        <f t="shared" si="100"/>
        <v>656</v>
      </c>
      <c r="S382" s="315">
        <f t="shared" si="101"/>
        <v>182</v>
      </c>
      <c r="T382" s="315">
        <f t="shared" si="102"/>
        <v>403</v>
      </c>
      <c r="U382" s="315">
        <f t="shared" si="103"/>
        <v>1761</v>
      </c>
      <c r="V382" s="591">
        <f t="shared" si="97"/>
        <v>623</v>
      </c>
      <c r="W382" s="598">
        <f t="shared" si="104"/>
        <v>623</v>
      </c>
    </row>
    <row r="383" spans="2:23" ht="15">
      <c r="B383" s="996" t="s">
        <v>1340</v>
      </c>
      <c r="C383" s="1043" t="s">
        <v>1341</v>
      </c>
      <c r="D383" s="994"/>
      <c r="E383" s="1043" t="s">
        <v>1325</v>
      </c>
      <c r="F383" s="1032"/>
      <c r="G383" s="844"/>
      <c r="H383" s="1003">
        <v>0</v>
      </c>
      <c r="I383" s="264"/>
      <c r="J383" s="904"/>
      <c r="K383" s="595">
        <f t="shared" si="92"/>
        <v>442</v>
      </c>
      <c r="L383" s="591">
        <f t="shared" si="93"/>
        <v>397</v>
      </c>
      <c r="M383" s="591">
        <f t="shared" si="94"/>
        <v>677</v>
      </c>
      <c r="N383" s="591">
        <f t="shared" si="95"/>
        <v>285</v>
      </c>
      <c r="O383" s="591">
        <f t="shared" si="96"/>
        <v>419</v>
      </c>
      <c r="P383" s="315">
        <f t="shared" si="98"/>
        <v>333</v>
      </c>
      <c r="Q383" s="315">
        <f t="shared" si="99"/>
        <v>187</v>
      </c>
      <c r="R383" s="315">
        <f t="shared" si="100"/>
        <v>668</v>
      </c>
      <c r="S383" s="315">
        <f t="shared" si="101"/>
        <v>182</v>
      </c>
      <c r="T383" s="315">
        <f t="shared" si="102"/>
        <v>403</v>
      </c>
      <c r="U383" s="315">
        <f t="shared" si="103"/>
        <v>1773</v>
      </c>
      <c r="V383" s="591">
        <f t="shared" si="97"/>
        <v>627</v>
      </c>
      <c r="W383" s="598">
        <f t="shared" si="104"/>
        <v>627</v>
      </c>
    </row>
    <row r="384" spans="2:23" ht="15">
      <c r="B384" s="996" t="s">
        <v>1342</v>
      </c>
      <c r="C384" s="1043" t="s">
        <v>1343</v>
      </c>
      <c r="D384" s="1046"/>
      <c r="E384" s="1043" t="s">
        <v>1325</v>
      </c>
      <c r="F384" s="1032"/>
      <c r="G384" s="844"/>
      <c r="H384" s="1003">
        <v>0</v>
      </c>
      <c r="I384" s="264"/>
      <c r="J384" s="904"/>
      <c r="K384" s="595">
        <f t="shared" si="92"/>
        <v>442</v>
      </c>
      <c r="L384" s="591">
        <f t="shared" si="93"/>
        <v>397</v>
      </c>
      <c r="M384" s="591">
        <f t="shared" si="94"/>
        <v>677</v>
      </c>
      <c r="N384" s="591">
        <f t="shared" si="95"/>
        <v>285</v>
      </c>
      <c r="O384" s="591">
        <f t="shared" si="96"/>
        <v>419</v>
      </c>
      <c r="P384" s="315">
        <f t="shared" si="98"/>
        <v>333</v>
      </c>
      <c r="Q384" s="315">
        <f t="shared" si="99"/>
        <v>187</v>
      </c>
      <c r="R384" s="315">
        <f t="shared" si="100"/>
        <v>668</v>
      </c>
      <c r="S384" s="315">
        <f t="shared" si="101"/>
        <v>182</v>
      </c>
      <c r="T384" s="315">
        <f t="shared" si="102"/>
        <v>403</v>
      </c>
      <c r="U384" s="315">
        <f t="shared" si="103"/>
        <v>1773</v>
      </c>
      <c r="V384" s="591">
        <f t="shared" si="97"/>
        <v>627</v>
      </c>
      <c r="W384" s="598">
        <f t="shared" si="104"/>
        <v>627</v>
      </c>
    </row>
    <row r="385" spans="2:23" ht="15">
      <c r="B385" s="996" t="s">
        <v>1344</v>
      </c>
      <c r="C385" s="1043" t="s">
        <v>1345</v>
      </c>
      <c r="D385" s="994"/>
      <c r="E385" s="1043" t="s">
        <v>1325</v>
      </c>
      <c r="F385" s="1032"/>
      <c r="G385" s="844"/>
      <c r="H385" s="1003">
        <v>0</v>
      </c>
      <c r="I385" s="264"/>
      <c r="J385" s="904"/>
      <c r="K385" s="595">
        <f t="shared" si="92"/>
        <v>442</v>
      </c>
      <c r="L385" s="591">
        <f t="shared" si="93"/>
        <v>397</v>
      </c>
      <c r="M385" s="591">
        <f t="shared" si="94"/>
        <v>677</v>
      </c>
      <c r="N385" s="591">
        <f t="shared" si="95"/>
        <v>285</v>
      </c>
      <c r="O385" s="591">
        <f t="shared" si="96"/>
        <v>419</v>
      </c>
      <c r="P385" s="315">
        <f t="shared" si="98"/>
        <v>333</v>
      </c>
      <c r="Q385" s="315">
        <f t="shared" si="99"/>
        <v>187</v>
      </c>
      <c r="R385" s="315">
        <f t="shared" si="100"/>
        <v>668</v>
      </c>
      <c r="S385" s="315">
        <f t="shared" si="101"/>
        <v>182</v>
      </c>
      <c r="T385" s="315">
        <f t="shared" si="102"/>
        <v>403</v>
      </c>
      <c r="U385" s="315">
        <f t="shared" si="103"/>
        <v>1773</v>
      </c>
      <c r="V385" s="591">
        <f t="shared" si="97"/>
        <v>627</v>
      </c>
      <c r="W385" s="598">
        <f t="shared" si="104"/>
        <v>627</v>
      </c>
    </row>
    <row r="386" spans="2:23" ht="15">
      <c r="B386" s="996" t="s">
        <v>1346</v>
      </c>
      <c r="C386" s="1043" t="s">
        <v>1347</v>
      </c>
      <c r="D386" s="994"/>
      <c r="E386" s="1043" t="s">
        <v>1325</v>
      </c>
      <c r="F386" s="1032"/>
      <c r="G386" s="844"/>
      <c r="H386" s="1003">
        <v>0</v>
      </c>
      <c r="I386" s="264"/>
      <c r="J386" s="904"/>
      <c r="K386" s="595">
        <f t="shared" si="92"/>
        <v>442</v>
      </c>
      <c r="L386" s="591">
        <f t="shared" si="93"/>
        <v>397</v>
      </c>
      <c r="M386" s="591">
        <f t="shared" si="94"/>
        <v>677</v>
      </c>
      <c r="N386" s="591">
        <f t="shared" si="95"/>
        <v>285</v>
      </c>
      <c r="O386" s="591">
        <f t="shared" si="96"/>
        <v>419</v>
      </c>
      <c r="P386" s="315">
        <f t="shared" si="98"/>
        <v>333</v>
      </c>
      <c r="Q386" s="315">
        <f t="shared" si="99"/>
        <v>187</v>
      </c>
      <c r="R386" s="315">
        <f t="shared" si="100"/>
        <v>668</v>
      </c>
      <c r="S386" s="315">
        <f t="shared" si="101"/>
        <v>182</v>
      </c>
      <c r="T386" s="315">
        <f t="shared" si="102"/>
        <v>403</v>
      </c>
      <c r="U386" s="315">
        <f t="shared" si="103"/>
        <v>1773</v>
      </c>
      <c r="V386" s="591">
        <f t="shared" si="97"/>
        <v>627</v>
      </c>
      <c r="W386" s="598">
        <f t="shared" si="104"/>
        <v>627</v>
      </c>
    </row>
    <row r="387" spans="2:23" ht="15">
      <c r="B387" s="996" t="s">
        <v>1348</v>
      </c>
      <c r="C387" s="1043" t="s">
        <v>1349</v>
      </c>
      <c r="D387" s="994"/>
      <c r="E387" s="1043" t="s">
        <v>1325</v>
      </c>
      <c r="F387" s="1032"/>
      <c r="G387" s="844"/>
      <c r="H387" s="1003">
        <v>0</v>
      </c>
      <c r="I387" s="264"/>
      <c r="J387" s="904"/>
      <c r="K387" s="595">
        <f t="shared" si="92"/>
        <v>442</v>
      </c>
      <c r="L387" s="591">
        <f t="shared" si="93"/>
        <v>397</v>
      </c>
      <c r="M387" s="591">
        <f t="shared" si="94"/>
        <v>677</v>
      </c>
      <c r="N387" s="591">
        <f t="shared" si="95"/>
        <v>285</v>
      </c>
      <c r="O387" s="591">
        <f t="shared" si="96"/>
        <v>419</v>
      </c>
      <c r="P387" s="315">
        <f t="shared" si="98"/>
        <v>333</v>
      </c>
      <c r="Q387" s="315">
        <f t="shared" si="99"/>
        <v>187</v>
      </c>
      <c r="R387" s="315">
        <f t="shared" si="100"/>
        <v>668</v>
      </c>
      <c r="S387" s="315">
        <f t="shared" si="101"/>
        <v>182</v>
      </c>
      <c r="T387" s="315">
        <f t="shared" si="102"/>
        <v>403</v>
      </c>
      <c r="U387" s="315">
        <f t="shared" si="103"/>
        <v>1773</v>
      </c>
      <c r="V387" s="591">
        <f t="shared" si="97"/>
        <v>627</v>
      </c>
      <c r="W387" s="598">
        <f t="shared" si="104"/>
        <v>627</v>
      </c>
    </row>
    <row r="388" spans="2:23" ht="15">
      <c r="B388" s="996" t="s">
        <v>1350</v>
      </c>
      <c r="C388" s="1043" t="s">
        <v>1351</v>
      </c>
      <c r="D388" s="994"/>
      <c r="E388" s="1043" t="s">
        <v>1325</v>
      </c>
      <c r="F388" s="1032"/>
      <c r="G388" s="844"/>
      <c r="H388" s="1003">
        <v>0</v>
      </c>
      <c r="I388" s="264"/>
      <c r="J388" s="904"/>
      <c r="K388" s="595">
        <f t="shared" si="92"/>
        <v>442</v>
      </c>
      <c r="L388" s="591">
        <f t="shared" si="93"/>
        <v>397</v>
      </c>
      <c r="M388" s="591">
        <f t="shared" si="94"/>
        <v>677</v>
      </c>
      <c r="N388" s="591">
        <f t="shared" si="95"/>
        <v>285</v>
      </c>
      <c r="O388" s="591">
        <f t="shared" si="96"/>
        <v>419</v>
      </c>
      <c r="P388" s="315">
        <f t="shared" si="98"/>
        <v>333</v>
      </c>
      <c r="Q388" s="315">
        <f t="shared" si="99"/>
        <v>187</v>
      </c>
      <c r="R388" s="315">
        <f t="shared" si="100"/>
        <v>668</v>
      </c>
      <c r="S388" s="315">
        <f t="shared" si="101"/>
        <v>182</v>
      </c>
      <c r="T388" s="315">
        <f t="shared" si="102"/>
        <v>403</v>
      </c>
      <c r="U388" s="315">
        <f t="shared" si="103"/>
        <v>1773</v>
      </c>
      <c r="V388" s="591">
        <f t="shared" si="97"/>
        <v>627</v>
      </c>
      <c r="W388" s="598">
        <f t="shared" si="104"/>
        <v>627</v>
      </c>
    </row>
    <row r="389" spans="2:23" ht="15">
      <c r="B389" s="996" t="s">
        <v>1352</v>
      </c>
      <c r="C389" s="1043" t="s">
        <v>1353</v>
      </c>
      <c r="D389" s="994"/>
      <c r="E389" s="1043" t="s">
        <v>1325</v>
      </c>
      <c r="F389" s="1032"/>
      <c r="G389" s="844"/>
      <c r="H389" s="1043">
        <v>187277</v>
      </c>
      <c r="I389" s="264"/>
      <c r="J389" s="904"/>
      <c r="K389" s="595">
        <f t="shared" ref="K389:K452" si="105">IFERROR(_xlfn.RANK.EQ(F389,F$3:F$706),"N/A")</f>
        <v>442</v>
      </c>
      <c r="L389" s="591">
        <f t="shared" ref="L389:L452" si="106">IFERROR(_xlfn.RANK.EQ(G389,G$3:G$706),"N/A")</f>
        <v>397</v>
      </c>
      <c r="M389" s="591">
        <f t="shared" ref="M389:M452" si="107">IFERROR(_xlfn.RANK.EQ(H389,H$3:H$706),"N/A")</f>
        <v>646</v>
      </c>
      <c r="N389" s="591">
        <f t="shared" ref="N389:N452" si="108">IFERROR(_xlfn.RANK.EQ(I389,I$3:I$706),"N/A")</f>
        <v>285</v>
      </c>
      <c r="O389" s="591">
        <f t="shared" ref="O389:O452" si="109">IFERROR(_xlfn.RANK.EQ(J389,J$3:J$706),"N/A")</f>
        <v>419</v>
      </c>
      <c r="P389" s="315">
        <f t="shared" si="98"/>
        <v>333</v>
      </c>
      <c r="Q389" s="315">
        <f t="shared" si="99"/>
        <v>187</v>
      </c>
      <c r="R389" s="315">
        <f t="shared" si="100"/>
        <v>637</v>
      </c>
      <c r="S389" s="315">
        <f t="shared" si="101"/>
        <v>182</v>
      </c>
      <c r="T389" s="315">
        <f t="shared" si="102"/>
        <v>403</v>
      </c>
      <c r="U389" s="315">
        <f t="shared" si="103"/>
        <v>1742</v>
      </c>
      <c r="V389" s="591">
        <f t="shared" ref="V389:V452" si="110">_xlfn.RANK.EQ(U389,$U$4:$U$706,1)</f>
        <v>614</v>
      </c>
      <c r="W389" s="598">
        <f t="shared" si="104"/>
        <v>614</v>
      </c>
    </row>
    <row r="390" spans="2:23" ht="15">
      <c r="B390" s="996" t="s">
        <v>1354</v>
      </c>
      <c r="C390" s="1043" t="s">
        <v>1355</v>
      </c>
      <c r="D390" s="994"/>
      <c r="E390" s="1043" t="s">
        <v>1325</v>
      </c>
      <c r="F390" s="1032"/>
      <c r="G390" s="844">
        <f>Data.Sard!J388</f>
        <v>1.0841821789865678</v>
      </c>
      <c r="H390" s="1003">
        <v>0</v>
      </c>
      <c r="I390" s="264"/>
      <c r="J390" s="904"/>
      <c r="K390" s="595">
        <f t="shared" si="105"/>
        <v>442</v>
      </c>
      <c r="L390" s="591">
        <f t="shared" si="106"/>
        <v>288</v>
      </c>
      <c r="M390" s="591">
        <f t="shared" si="107"/>
        <v>677</v>
      </c>
      <c r="N390" s="591">
        <f t="shared" si="108"/>
        <v>285</v>
      </c>
      <c r="O390" s="591">
        <f t="shared" si="109"/>
        <v>419</v>
      </c>
      <c r="P390" s="315">
        <f t="shared" si="98"/>
        <v>333</v>
      </c>
      <c r="Q390" s="315">
        <f t="shared" si="99"/>
        <v>78</v>
      </c>
      <c r="R390" s="315">
        <f t="shared" si="100"/>
        <v>668</v>
      </c>
      <c r="S390" s="315">
        <f t="shared" si="101"/>
        <v>182</v>
      </c>
      <c r="T390" s="315">
        <f t="shared" si="102"/>
        <v>403</v>
      </c>
      <c r="U390" s="315">
        <f t="shared" si="103"/>
        <v>1664</v>
      </c>
      <c r="V390" s="591">
        <f t="shared" si="110"/>
        <v>565</v>
      </c>
      <c r="W390" s="598">
        <f t="shared" si="104"/>
        <v>565</v>
      </c>
    </row>
    <row r="391" spans="2:23" ht="15">
      <c r="B391" s="1043" t="s">
        <v>1356</v>
      </c>
      <c r="C391" s="1043" t="s">
        <v>1357</v>
      </c>
      <c r="D391" s="1046"/>
      <c r="E391" s="1043" t="s">
        <v>584</v>
      </c>
      <c r="F391" s="1032">
        <f>VALUE(Data.Sard!G389)</f>
        <v>0.16419026858326757</v>
      </c>
      <c r="G391" s="844">
        <f>Data.Sard!J389</f>
        <v>2.0753009533430697</v>
      </c>
      <c r="H391" s="1043">
        <v>1219892568</v>
      </c>
      <c r="I391" s="264"/>
      <c r="J391" s="904">
        <f>Data.Sard!N389</f>
        <v>0.17541945289790623</v>
      </c>
      <c r="K391" s="595">
        <f t="shared" si="105"/>
        <v>143</v>
      </c>
      <c r="L391" s="591">
        <f t="shared" si="106"/>
        <v>239</v>
      </c>
      <c r="M391" s="591">
        <f t="shared" si="107"/>
        <v>55</v>
      </c>
      <c r="N391" s="591">
        <f t="shared" si="108"/>
        <v>285</v>
      </c>
      <c r="O391" s="591">
        <f t="shared" si="109"/>
        <v>69</v>
      </c>
      <c r="P391" s="315">
        <f t="shared" si="98"/>
        <v>34</v>
      </c>
      <c r="Q391" s="315">
        <f t="shared" si="99"/>
        <v>29</v>
      </c>
      <c r="R391" s="315">
        <f t="shared" si="100"/>
        <v>46</v>
      </c>
      <c r="S391" s="315">
        <f t="shared" si="101"/>
        <v>182</v>
      </c>
      <c r="T391" s="315">
        <f t="shared" si="102"/>
        <v>53</v>
      </c>
      <c r="U391" s="315">
        <f t="shared" si="103"/>
        <v>344</v>
      </c>
      <c r="V391" s="591">
        <f t="shared" si="110"/>
        <v>8</v>
      </c>
      <c r="W391" s="598">
        <f t="shared" si="104"/>
        <v>8</v>
      </c>
    </row>
    <row r="392" spans="2:23" ht="15">
      <c r="B392" s="996" t="s">
        <v>1358</v>
      </c>
      <c r="C392" s="1043" t="s">
        <v>1359</v>
      </c>
      <c r="D392" s="994"/>
      <c r="E392" s="1043" t="s">
        <v>736</v>
      </c>
      <c r="F392" s="1032">
        <f>VALUE(Data.Sard!G390)</f>
        <v>0.13369664504846132</v>
      </c>
      <c r="G392" s="844">
        <f>Data.Sard!J390</f>
        <v>13.541641681479133</v>
      </c>
      <c r="H392" s="1043">
        <v>726026341</v>
      </c>
      <c r="I392" s="264">
        <f>VALUE(Data.Sard!L390)</f>
        <v>-0.621</v>
      </c>
      <c r="J392" s="904">
        <f>Data.Sard!N390</f>
        <v>0.17231329690021391</v>
      </c>
      <c r="K392" s="595">
        <f t="shared" si="105"/>
        <v>177</v>
      </c>
      <c r="L392" s="591">
        <f t="shared" si="106"/>
        <v>46</v>
      </c>
      <c r="M392" s="591">
        <f t="shared" si="107"/>
        <v>81</v>
      </c>
      <c r="N392" s="591">
        <f t="shared" si="108"/>
        <v>400</v>
      </c>
      <c r="O392" s="591">
        <f t="shared" si="109"/>
        <v>70</v>
      </c>
      <c r="P392" s="315">
        <f t="shared" si="98"/>
        <v>68</v>
      </c>
      <c r="Q392" s="315">
        <f t="shared" si="99"/>
        <v>164</v>
      </c>
      <c r="R392" s="315">
        <f t="shared" si="100"/>
        <v>72</v>
      </c>
      <c r="S392" s="315">
        <f t="shared" si="101"/>
        <v>297</v>
      </c>
      <c r="T392" s="315">
        <f t="shared" si="102"/>
        <v>54</v>
      </c>
      <c r="U392" s="315">
        <f t="shared" si="103"/>
        <v>655</v>
      </c>
      <c r="V392" s="591">
        <f t="shared" si="110"/>
        <v>98</v>
      </c>
      <c r="W392" s="598">
        <f t="shared" si="104"/>
        <v>98</v>
      </c>
    </row>
    <row r="393" spans="2:23" ht="15">
      <c r="B393" s="1043" t="s">
        <v>1360</v>
      </c>
      <c r="C393" s="1043" t="s">
        <v>1361</v>
      </c>
      <c r="D393" s="1046"/>
      <c r="E393" s="1043" t="s">
        <v>584</v>
      </c>
      <c r="F393" s="1032">
        <f>VALUE(Data.Sard!G391)</f>
        <v>2.8520932673388923E-2</v>
      </c>
      <c r="G393" s="844">
        <f>Data.Sard!J391</f>
        <v>0.98856587796201489</v>
      </c>
      <c r="H393" s="1043">
        <v>27863582</v>
      </c>
      <c r="I393" s="264">
        <f>VALUE(Data.Sard!L391)</f>
        <v>0.36099999999999999</v>
      </c>
      <c r="J393" s="904">
        <f>Data.Sard!N391</f>
        <v>2.6308004372447982E-2</v>
      </c>
      <c r="K393" s="595">
        <f t="shared" si="105"/>
        <v>376</v>
      </c>
      <c r="L393" s="591">
        <f t="shared" si="106"/>
        <v>294</v>
      </c>
      <c r="M393" s="591">
        <f t="shared" si="107"/>
        <v>352</v>
      </c>
      <c r="N393" s="591">
        <f t="shared" si="108"/>
        <v>195</v>
      </c>
      <c r="O393" s="591">
        <f t="shared" si="109"/>
        <v>349</v>
      </c>
      <c r="P393" s="315">
        <f t="shared" si="98"/>
        <v>267</v>
      </c>
      <c r="Q393" s="315">
        <f t="shared" si="99"/>
        <v>84</v>
      </c>
      <c r="R393" s="315">
        <f t="shared" si="100"/>
        <v>343</v>
      </c>
      <c r="S393" s="315">
        <f t="shared" si="101"/>
        <v>92</v>
      </c>
      <c r="T393" s="315">
        <f t="shared" si="102"/>
        <v>333</v>
      </c>
      <c r="U393" s="315">
        <f t="shared" si="103"/>
        <v>1119</v>
      </c>
      <c r="V393" s="591">
        <f t="shared" si="110"/>
        <v>280</v>
      </c>
      <c r="W393" s="598">
        <f t="shared" si="104"/>
        <v>280</v>
      </c>
    </row>
    <row r="394" spans="2:23" ht="15">
      <c r="B394" s="996" t="s">
        <v>1362</v>
      </c>
      <c r="C394" s="1043" t="s">
        <v>1363</v>
      </c>
      <c r="D394" s="1046"/>
      <c r="E394" s="1043" t="s">
        <v>736</v>
      </c>
      <c r="F394" s="1032">
        <f>VALUE(Data.Sard!G392)</f>
        <v>2.590868548004344E-2</v>
      </c>
      <c r="G394" s="844">
        <f>Data.Sard!J392</f>
        <v>2.5743734816924464</v>
      </c>
      <c r="H394" s="1043">
        <v>579392859</v>
      </c>
      <c r="I394" s="264">
        <f>VALUE(Data.Sard!L392)</f>
        <v>-1.4339999999999999</v>
      </c>
      <c r="J394" s="904">
        <f>Data.Sard!N392</f>
        <v>5.0094679434088143E-2</v>
      </c>
      <c r="K394" s="595">
        <f t="shared" si="105"/>
        <v>382</v>
      </c>
      <c r="L394" s="591">
        <f t="shared" si="106"/>
        <v>203</v>
      </c>
      <c r="M394" s="591">
        <f t="shared" si="107"/>
        <v>90</v>
      </c>
      <c r="N394" s="591">
        <f t="shared" si="108"/>
        <v>466</v>
      </c>
      <c r="O394" s="591">
        <f t="shared" si="109"/>
        <v>278</v>
      </c>
      <c r="P394" s="315">
        <f t="shared" si="98"/>
        <v>273</v>
      </c>
      <c r="Q394" s="315">
        <f t="shared" si="99"/>
        <v>7</v>
      </c>
      <c r="R394" s="315">
        <f t="shared" si="100"/>
        <v>81</v>
      </c>
      <c r="S394" s="315">
        <f t="shared" si="101"/>
        <v>363</v>
      </c>
      <c r="T394" s="315">
        <f t="shared" si="102"/>
        <v>262</v>
      </c>
      <c r="U394" s="315">
        <f t="shared" si="103"/>
        <v>986</v>
      </c>
      <c r="V394" s="591">
        <f t="shared" si="110"/>
        <v>233</v>
      </c>
      <c r="W394" s="598">
        <f t="shared" si="104"/>
        <v>233</v>
      </c>
    </row>
    <row r="395" spans="2:23" ht="15">
      <c r="B395" s="1043" t="s">
        <v>1364</v>
      </c>
      <c r="C395" s="1043" t="s">
        <v>1365</v>
      </c>
      <c r="D395" s="1046"/>
      <c r="E395" s="1043" t="s">
        <v>603</v>
      </c>
      <c r="F395" s="1032">
        <f>VALUE(Data.Sard!G393)</f>
        <v>0.30373596832972277</v>
      </c>
      <c r="G395" s="844">
        <f>Data.Sard!J393</f>
        <v>-100.85045838668613</v>
      </c>
      <c r="H395" s="1043">
        <v>217723785</v>
      </c>
      <c r="I395" s="264">
        <f>VALUE(Data.Sard!L393)</f>
        <v>3.5289999999999999</v>
      </c>
      <c r="J395" s="904">
        <f>Data.Sard!N393</f>
        <v>0.20145502599186571</v>
      </c>
      <c r="K395" s="595">
        <f t="shared" si="105"/>
        <v>58</v>
      </c>
      <c r="L395" s="591">
        <f t="shared" si="106"/>
        <v>597</v>
      </c>
      <c r="M395" s="591">
        <f t="shared" si="107"/>
        <v>167</v>
      </c>
      <c r="N395" s="591">
        <f t="shared" si="108"/>
        <v>28</v>
      </c>
      <c r="O395" s="591">
        <f t="shared" si="109"/>
        <v>49</v>
      </c>
      <c r="P395" s="315">
        <f t="shared" si="98"/>
        <v>51</v>
      </c>
      <c r="Q395" s="315">
        <f t="shared" si="99"/>
        <v>387</v>
      </c>
      <c r="R395" s="315">
        <f t="shared" si="100"/>
        <v>158</v>
      </c>
      <c r="S395" s="315">
        <f t="shared" si="101"/>
        <v>75</v>
      </c>
      <c r="T395" s="315">
        <f t="shared" si="102"/>
        <v>33</v>
      </c>
      <c r="U395" s="315">
        <f t="shared" si="103"/>
        <v>704</v>
      </c>
      <c r="V395" s="591">
        <f t="shared" si="110"/>
        <v>114</v>
      </c>
      <c r="W395" s="598">
        <f t="shared" si="104"/>
        <v>114</v>
      </c>
    </row>
    <row r="396" spans="2:23" ht="15">
      <c r="B396" s="1043" t="s">
        <v>1366</v>
      </c>
      <c r="C396" s="1043" t="s">
        <v>1367</v>
      </c>
      <c r="D396" s="1046"/>
      <c r="E396" s="1043" t="s">
        <v>603</v>
      </c>
      <c r="F396" s="1032">
        <f>VALUE(Data.Sard!G394)</f>
        <v>-9.6132815503891644E-3</v>
      </c>
      <c r="G396" s="844">
        <f>Data.Sard!J394</f>
        <v>3.7618022970642779</v>
      </c>
      <c r="H396" s="1043">
        <v>3612644</v>
      </c>
      <c r="I396" s="264">
        <f>VALUE(Data.Sard!L394)</f>
        <v>-0.107</v>
      </c>
      <c r="J396" s="904">
        <f>Data.Sard!N394</f>
        <v>-1.0781538278900185</v>
      </c>
      <c r="K396" s="595">
        <f t="shared" si="105"/>
        <v>455</v>
      </c>
      <c r="L396" s="591">
        <f t="shared" si="106"/>
        <v>154</v>
      </c>
      <c r="M396" s="591">
        <f t="shared" si="107"/>
        <v>552</v>
      </c>
      <c r="N396" s="591">
        <f t="shared" si="108"/>
        <v>321</v>
      </c>
      <c r="O396" s="591">
        <f t="shared" si="109"/>
        <v>577</v>
      </c>
      <c r="P396" s="315">
        <f t="shared" si="98"/>
        <v>346</v>
      </c>
      <c r="Q396" s="315">
        <f t="shared" si="99"/>
        <v>56</v>
      </c>
      <c r="R396" s="315">
        <f t="shared" si="100"/>
        <v>543</v>
      </c>
      <c r="S396" s="315">
        <f t="shared" si="101"/>
        <v>218</v>
      </c>
      <c r="T396" s="315">
        <f t="shared" si="102"/>
        <v>561</v>
      </c>
      <c r="U396" s="315">
        <f t="shared" si="103"/>
        <v>1724</v>
      </c>
      <c r="V396" s="591">
        <f t="shared" si="110"/>
        <v>600</v>
      </c>
      <c r="W396" s="598">
        <f t="shared" si="104"/>
        <v>600</v>
      </c>
    </row>
    <row r="397" spans="2:23" ht="15">
      <c r="B397" s="1043" t="s">
        <v>1368</v>
      </c>
      <c r="C397" s="1043" t="s">
        <v>1369</v>
      </c>
      <c r="D397" s="1046"/>
      <c r="E397" s="1043" t="s">
        <v>579</v>
      </c>
      <c r="F397" s="1032">
        <f>VALUE(Data.Sard!G395)</f>
        <v>0.67527689820944647</v>
      </c>
      <c r="G397" s="844">
        <f>Data.Sard!J395</f>
        <v>2.0833103688004471</v>
      </c>
      <c r="H397" s="1043">
        <v>1246212</v>
      </c>
      <c r="I397" s="264">
        <f>VALUE(Data.Sard!L395)</f>
        <v>0.33300000000000002</v>
      </c>
      <c r="J397" s="904"/>
      <c r="K397" s="595">
        <f t="shared" si="105"/>
        <v>21</v>
      </c>
      <c r="L397" s="591">
        <f t="shared" si="106"/>
        <v>237</v>
      </c>
      <c r="M397" s="591">
        <f t="shared" si="107"/>
        <v>607</v>
      </c>
      <c r="N397" s="591">
        <f t="shared" si="108"/>
        <v>204</v>
      </c>
      <c r="O397" s="591">
        <f t="shared" si="109"/>
        <v>419</v>
      </c>
      <c r="P397" s="315">
        <f t="shared" si="98"/>
        <v>88</v>
      </c>
      <c r="Q397" s="315">
        <f t="shared" si="99"/>
        <v>27</v>
      </c>
      <c r="R397" s="315">
        <f t="shared" si="100"/>
        <v>598</v>
      </c>
      <c r="S397" s="315">
        <f t="shared" si="101"/>
        <v>101</v>
      </c>
      <c r="T397" s="315">
        <f t="shared" si="102"/>
        <v>403</v>
      </c>
      <c r="U397" s="315">
        <f t="shared" si="103"/>
        <v>1217</v>
      </c>
      <c r="V397" s="591">
        <f t="shared" si="110"/>
        <v>317</v>
      </c>
      <c r="W397" s="598">
        <f t="shared" si="104"/>
        <v>317</v>
      </c>
    </row>
    <row r="398" spans="2:23" ht="15">
      <c r="B398" s="1043" t="s">
        <v>1370</v>
      </c>
      <c r="C398" s="1043" t="s">
        <v>1371</v>
      </c>
      <c r="D398" s="1046"/>
      <c r="E398" s="1043" t="s">
        <v>1048</v>
      </c>
      <c r="F398" s="1032">
        <f>VALUE(Data.Sard!G396)</f>
        <v>0.11334119882706452</v>
      </c>
      <c r="G398" s="844">
        <f>Data.Sard!J396</f>
        <v>0</v>
      </c>
      <c r="H398" s="1043">
        <v>3298833</v>
      </c>
      <c r="I398" s="264"/>
      <c r="J398" s="904">
        <f>Data.Sard!N396</f>
        <v>0.13800199214434475</v>
      </c>
      <c r="K398" s="595">
        <f t="shared" si="105"/>
        <v>208</v>
      </c>
      <c r="L398" s="591">
        <f t="shared" si="106"/>
        <v>397</v>
      </c>
      <c r="M398" s="591">
        <f t="shared" si="107"/>
        <v>558</v>
      </c>
      <c r="N398" s="591">
        <f t="shared" si="108"/>
        <v>285</v>
      </c>
      <c r="O398" s="591">
        <f t="shared" si="109"/>
        <v>101</v>
      </c>
      <c r="P398" s="315">
        <f t="shared" si="98"/>
        <v>99</v>
      </c>
      <c r="Q398" s="315">
        <f t="shared" si="99"/>
        <v>187</v>
      </c>
      <c r="R398" s="315">
        <f t="shared" si="100"/>
        <v>549</v>
      </c>
      <c r="S398" s="315">
        <f t="shared" si="101"/>
        <v>182</v>
      </c>
      <c r="T398" s="315">
        <f t="shared" si="102"/>
        <v>85</v>
      </c>
      <c r="U398" s="315">
        <f t="shared" si="103"/>
        <v>1102</v>
      </c>
      <c r="V398" s="591">
        <f t="shared" si="110"/>
        <v>275</v>
      </c>
      <c r="W398" s="598">
        <f t="shared" si="104"/>
        <v>275</v>
      </c>
    </row>
    <row r="399" spans="2:23" ht="15">
      <c r="B399" s="1043" t="s">
        <v>1372</v>
      </c>
      <c r="C399" s="1043" t="s">
        <v>1373</v>
      </c>
      <c r="D399" s="1046"/>
      <c r="E399" s="1043" t="s">
        <v>1048</v>
      </c>
      <c r="F399" s="1032">
        <f>VALUE(Data.Sard!G397)</f>
        <v>0.26683412055409111</v>
      </c>
      <c r="G399" s="844">
        <f>Data.Sard!J397</f>
        <v>3.2684440596282731</v>
      </c>
      <c r="H399" s="1043">
        <v>98195</v>
      </c>
      <c r="I399" s="264">
        <f>VALUE(Data.Sard!L397)</f>
        <v>-1.25</v>
      </c>
      <c r="J399" s="904">
        <f>Data.Sard!N397</f>
        <v>0.12473562772714863</v>
      </c>
      <c r="K399" s="595">
        <f t="shared" si="105"/>
        <v>75</v>
      </c>
      <c r="L399" s="591">
        <f t="shared" si="106"/>
        <v>170</v>
      </c>
      <c r="M399" s="591">
        <f t="shared" si="107"/>
        <v>651</v>
      </c>
      <c r="N399" s="591">
        <f t="shared" si="108"/>
        <v>454</v>
      </c>
      <c r="O399" s="591">
        <f t="shared" si="109"/>
        <v>117</v>
      </c>
      <c r="P399" s="315">
        <f t="shared" si="98"/>
        <v>34</v>
      </c>
      <c r="Q399" s="315">
        <f t="shared" si="99"/>
        <v>40</v>
      </c>
      <c r="R399" s="315">
        <f t="shared" si="100"/>
        <v>642</v>
      </c>
      <c r="S399" s="315">
        <f t="shared" si="101"/>
        <v>351</v>
      </c>
      <c r="T399" s="315">
        <f t="shared" si="102"/>
        <v>101</v>
      </c>
      <c r="U399" s="315">
        <f t="shared" si="103"/>
        <v>1168</v>
      </c>
      <c r="V399" s="591">
        <f t="shared" si="110"/>
        <v>297</v>
      </c>
      <c r="W399" s="598">
        <f t="shared" si="104"/>
        <v>297</v>
      </c>
    </row>
    <row r="400" spans="2:23" ht="15">
      <c r="B400" s="996" t="s">
        <v>1374</v>
      </c>
      <c r="C400" s="1043" t="s">
        <v>1375</v>
      </c>
      <c r="D400" s="1046"/>
      <c r="E400" s="1043" t="s">
        <v>736</v>
      </c>
      <c r="F400" s="1032">
        <f>VALUE(Data.Sard!G398)</f>
        <v>5.7889246366190493E-2</v>
      </c>
      <c r="G400" s="844">
        <f>Data.Sard!J398</f>
        <v>0.65213230507772824</v>
      </c>
      <c r="H400" s="1043">
        <v>750565615</v>
      </c>
      <c r="I400" s="264"/>
      <c r="J400" s="904">
        <f>Data.Sard!N398</f>
        <v>5.6926079375907705E-2</v>
      </c>
      <c r="K400" s="595">
        <f t="shared" si="105"/>
        <v>312</v>
      </c>
      <c r="L400" s="591">
        <f t="shared" si="106"/>
        <v>318</v>
      </c>
      <c r="M400" s="591">
        <f t="shared" si="107"/>
        <v>79</v>
      </c>
      <c r="N400" s="591">
        <f t="shared" si="108"/>
        <v>285</v>
      </c>
      <c r="O400" s="591">
        <f t="shared" si="109"/>
        <v>256</v>
      </c>
      <c r="P400" s="315">
        <f t="shared" si="98"/>
        <v>203</v>
      </c>
      <c r="Q400" s="315">
        <f t="shared" si="99"/>
        <v>108</v>
      </c>
      <c r="R400" s="315">
        <f t="shared" si="100"/>
        <v>70</v>
      </c>
      <c r="S400" s="315">
        <f t="shared" si="101"/>
        <v>182</v>
      </c>
      <c r="T400" s="315">
        <f t="shared" si="102"/>
        <v>240</v>
      </c>
      <c r="U400" s="315">
        <f t="shared" si="103"/>
        <v>803</v>
      </c>
      <c r="V400" s="591">
        <f t="shared" si="110"/>
        <v>146</v>
      </c>
      <c r="W400" s="598">
        <f t="shared" si="104"/>
        <v>146</v>
      </c>
    </row>
    <row r="401" spans="2:23" ht="15">
      <c r="B401" s="1043" t="s">
        <v>1376</v>
      </c>
      <c r="C401" s="1043" t="s">
        <v>1377</v>
      </c>
      <c r="D401" s="1046"/>
      <c r="E401" s="1043" t="s">
        <v>1048</v>
      </c>
      <c r="F401" s="1032">
        <f>VALUE(Data.Sard!G399)</f>
        <v>0.31372671442819056</v>
      </c>
      <c r="G401" s="844"/>
      <c r="H401" s="1043">
        <v>1159670</v>
      </c>
      <c r="I401" s="264">
        <f>VALUE(Data.Sard!L399)</f>
        <v>0.23400000000000001</v>
      </c>
      <c r="J401" s="904">
        <f>Data.Sard!N399</f>
        <v>6.0730419478917844E-2</v>
      </c>
      <c r="K401" s="595">
        <f t="shared" si="105"/>
        <v>49</v>
      </c>
      <c r="L401" s="591">
        <f t="shared" si="106"/>
        <v>397</v>
      </c>
      <c r="M401" s="591">
        <f t="shared" si="107"/>
        <v>608</v>
      </c>
      <c r="N401" s="591">
        <f t="shared" si="108"/>
        <v>228</v>
      </c>
      <c r="O401" s="591">
        <f t="shared" si="109"/>
        <v>239</v>
      </c>
      <c r="P401" s="315">
        <f t="shared" si="98"/>
        <v>60</v>
      </c>
      <c r="Q401" s="315">
        <f t="shared" si="99"/>
        <v>187</v>
      </c>
      <c r="R401" s="315">
        <f t="shared" si="100"/>
        <v>599</v>
      </c>
      <c r="S401" s="315">
        <f t="shared" si="101"/>
        <v>125</v>
      </c>
      <c r="T401" s="315">
        <f t="shared" si="102"/>
        <v>223</v>
      </c>
      <c r="U401" s="315">
        <f t="shared" si="103"/>
        <v>1194</v>
      </c>
      <c r="V401" s="591">
        <f t="shared" si="110"/>
        <v>305</v>
      </c>
      <c r="W401" s="598">
        <f t="shared" si="104"/>
        <v>305</v>
      </c>
    </row>
    <row r="402" spans="2:23" ht="15">
      <c r="B402" s="1043" t="s">
        <v>1378</v>
      </c>
      <c r="C402" s="1043" t="s">
        <v>1379</v>
      </c>
      <c r="D402" s="1046"/>
      <c r="E402" s="1043" t="s">
        <v>1380</v>
      </c>
      <c r="F402" s="1032"/>
      <c r="G402" s="844">
        <f>Data.Sard!J400</f>
        <v>0</v>
      </c>
      <c r="H402" s="1003">
        <v>0</v>
      </c>
      <c r="I402" s="264"/>
      <c r="J402" s="904"/>
      <c r="K402" s="595">
        <f t="shared" si="105"/>
        <v>442</v>
      </c>
      <c r="L402" s="591">
        <f t="shared" si="106"/>
        <v>397</v>
      </c>
      <c r="M402" s="591">
        <f t="shared" si="107"/>
        <v>677</v>
      </c>
      <c r="N402" s="591">
        <f t="shared" si="108"/>
        <v>285</v>
      </c>
      <c r="O402" s="591">
        <f t="shared" si="109"/>
        <v>419</v>
      </c>
      <c r="P402" s="315">
        <f t="shared" si="98"/>
        <v>333</v>
      </c>
      <c r="Q402" s="315">
        <f t="shared" si="99"/>
        <v>187</v>
      </c>
      <c r="R402" s="315">
        <f t="shared" si="100"/>
        <v>668</v>
      </c>
      <c r="S402" s="315">
        <f t="shared" si="101"/>
        <v>182</v>
      </c>
      <c r="T402" s="315">
        <f t="shared" si="102"/>
        <v>403</v>
      </c>
      <c r="U402" s="315">
        <f t="shared" si="103"/>
        <v>1773</v>
      </c>
      <c r="V402" s="591">
        <f t="shared" si="110"/>
        <v>627</v>
      </c>
      <c r="W402" s="598">
        <f t="shared" si="104"/>
        <v>627</v>
      </c>
    </row>
    <row r="403" spans="2:23" ht="15">
      <c r="B403" s="996" t="s">
        <v>1381</v>
      </c>
      <c r="C403" s="1043" t="s">
        <v>1382</v>
      </c>
      <c r="D403" s="1046"/>
      <c r="E403" s="1043" t="s">
        <v>1048</v>
      </c>
      <c r="F403" s="1032">
        <f>VALUE(Data.Sard!G401)</f>
        <v>9.5013801014615581E-2</v>
      </c>
      <c r="G403" s="844">
        <f>Data.Sard!J401</f>
        <v>3.0013437981093682</v>
      </c>
      <c r="H403" s="1043">
        <v>6591334</v>
      </c>
      <c r="I403" s="264"/>
      <c r="J403" s="904">
        <f>Data.Sard!N401</f>
        <v>0.49808012096936899</v>
      </c>
      <c r="K403" s="595">
        <f t="shared" si="105"/>
        <v>242</v>
      </c>
      <c r="L403" s="591">
        <f t="shared" si="106"/>
        <v>184</v>
      </c>
      <c r="M403" s="591">
        <f t="shared" si="107"/>
        <v>507</v>
      </c>
      <c r="N403" s="591">
        <f t="shared" si="108"/>
        <v>285</v>
      </c>
      <c r="O403" s="591">
        <f t="shared" si="109"/>
        <v>7</v>
      </c>
      <c r="P403" s="315">
        <f t="shared" si="98"/>
        <v>133</v>
      </c>
      <c r="Q403" s="315">
        <f t="shared" si="99"/>
        <v>26</v>
      </c>
      <c r="R403" s="315">
        <f t="shared" si="100"/>
        <v>498</v>
      </c>
      <c r="S403" s="315">
        <f t="shared" si="101"/>
        <v>182</v>
      </c>
      <c r="T403" s="315">
        <f t="shared" si="102"/>
        <v>9</v>
      </c>
      <c r="U403" s="315">
        <f t="shared" si="103"/>
        <v>848</v>
      </c>
      <c r="V403" s="591">
        <f t="shared" si="110"/>
        <v>164</v>
      </c>
      <c r="W403" s="598">
        <f t="shared" si="104"/>
        <v>164</v>
      </c>
    </row>
    <row r="404" spans="2:23" ht="15">
      <c r="B404" s="996" t="s">
        <v>1383</v>
      </c>
      <c r="C404" s="1043" t="s">
        <v>1384</v>
      </c>
      <c r="D404" s="994"/>
      <c r="E404" s="1043" t="s">
        <v>736</v>
      </c>
      <c r="F404" s="1032">
        <f>VALUE(Data.Sard!G402)</f>
        <v>0.11247219175320647</v>
      </c>
      <c r="G404" s="844"/>
      <c r="H404" s="1043">
        <v>447320716</v>
      </c>
      <c r="I404" s="264"/>
      <c r="J404" s="904">
        <f>Data.Sard!N402</f>
        <v>6.5029202047247922E-2</v>
      </c>
      <c r="K404" s="595">
        <f t="shared" si="105"/>
        <v>210</v>
      </c>
      <c r="L404" s="591">
        <f t="shared" si="106"/>
        <v>397</v>
      </c>
      <c r="M404" s="591">
        <f t="shared" si="107"/>
        <v>105</v>
      </c>
      <c r="N404" s="591">
        <f t="shared" si="108"/>
        <v>285</v>
      </c>
      <c r="O404" s="591">
        <f t="shared" si="109"/>
        <v>228</v>
      </c>
      <c r="P404" s="315">
        <f t="shared" si="98"/>
        <v>101</v>
      </c>
      <c r="Q404" s="315">
        <f t="shared" si="99"/>
        <v>187</v>
      </c>
      <c r="R404" s="315">
        <f t="shared" si="100"/>
        <v>96</v>
      </c>
      <c r="S404" s="315">
        <f t="shared" si="101"/>
        <v>182</v>
      </c>
      <c r="T404" s="315">
        <f t="shared" si="102"/>
        <v>212</v>
      </c>
      <c r="U404" s="315">
        <f t="shared" si="103"/>
        <v>778</v>
      </c>
      <c r="V404" s="591">
        <f t="shared" si="110"/>
        <v>139</v>
      </c>
      <c r="W404" s="598">
        <f t="shared" si="104"/>
        <v>139</v>
      </c>
    </row>
    <row r="405" spans="2:23" ht="15">
      <c r="B405" s="996" t="s">
        <v>1385</v>
      </c>
      <c r="C405" s="1043" t="s">
        <v>1386</v>
      </c>
      <c r="D405" s="1046"/>
      <c r="E405" s="1043" t="s">
        <v>603</v>
      </c>
      <c r="F405" s="1032"/>
      <c r="G405" s="844">
        <f>Data.Sard!J403</f>
        <v>0.23570363525362786</v>
      </c>
      <c r="H405" s="1043">
        <v>1376560</v>
      </c>
      <c r="I405" s="264">
        <f>VALUE(Data.Sard!L403)</f>
        <v>0.45</v>
      </c>
      <c r="J405" s="904"/>
      <c r="K405" s="595">
        <f t="shared" si="105"/>
        <v>442</v>
      </c>
      <c r="L405" s="591">
        <f t="shared" si="106"/>
        <v>358</v>
      </c>
      <c r="M405" s="591">
        <f t="shared" si="107"/>
        <v>605</v>
      </c>
      <c r="N405" s="591">
        <f t="shared" si="108"/>
        <v>179</v>
      </c>
      <c r="O405" s="591">
        <f t="shared" si="109"/>
        <v>419</v>
      </c>
      <c r="P405" s="315">
        <f t="shared" si="98"/>
        <v>333</v>
      </c>
      <c r="Q405" s="315">
        <f t="shared" si="99"/>
        <v>148</v>
      </c>
      <c r="R405" s="315">
        <f t="shared" si="100"/>
        <v>596</v>
      </c>
      <c r="S405" s="315">
        <f t="shared" si="101"/>
        <v>76</v>
      </c>
      <c r="T405" s="315">
        <f t="shared" si="102"/>
        <v>403</v>
      </c>
      <c r="U405" s="315">
        <f t="shared" si="103"/>
        <v>1556</v>
      </c>
      <c r="V405" s="591">
        <f t="shared" si="110"/>
        <v>499</v>
      </c>
      <c r="W405" s="598">
        <f t="shared" si="104"/>
        <v>499</v>
      </c>
    </row>
    <row r="406" spans="2:23" ht="15">
      <c r="B406" s="996" t="s">
        <v>1387</v>
      </c>
      <c r="C406" s="1043" t="s">
        <v>1388</v>
      </c>
      <c r="D406" s="1046"/>
      <c r="E406" s="1043" t="s">
        <v>1389</v>
      </c>
      <c r="F406" s="1032">
        <f>VALUE(Data.Sard!G404)</f>
        <v>0.13154761864767131</v>
      </c>
      <c r="G406" s="844">
        <f>Data.Sard!J404</f>
        <v>0.94937790810911549</v>
      </c>
      <c r="H406" s="1043">
        <v>554548363</v>
      </c>
      <c r="I406" s="264"/>
      <c r="J406" s="904">
        <f>Data.Sard!N404</f>
        <v>0.18989675313316468</v>
      </c>
      <c r="K406" s="595">
        <f t="shared" si="105"/>
        <v>181</v>
      </c>
      <c r="L406" s="591">
        <f t="shared" si="106"/>
        <v>296</v>
      </c>
      <c r="M406" s="591">
        <f t="shared" si="107"/>
        <v>94</v>
      </c>
      <c r="N406" s="591">
        <f t="shared" si="108"/>
        <v>285</v>
      </c>
      <c r="O406" s="591">
        <f t="shared" si="109"/>
        <v>55</v>
      </c>
      <c r="P406" s="315">
        <f t="shared" si="98"/>
        <v>72</v>
      </c>
      <c r="Q406" s="315">
        <f t="shared" si="99"/>
        <v>86</v>
      </c>
      <c r="R406" s="315">
        <f t="shared" si="100"/>
        <v>85</v>
      </c>
      <c r="S406" s="315">
        <f t="shared" si="101"/>
        <v>182</v>
      </c>
      <c r="T406" s="315">
        <f t="shared" si="102"/>
        <v>39</v>
      </c>
      <c r="U406" s="315">
        <f t="shared" si="103"/>
        <v>464</v>
      </c>
      <c r="V406" s="591">
        <f t="shared" si="110"/>
        <v>29</v>
      </c>
      <c r="W406" s="598">
        <f t="shared" si="104"/>
        <v>29</v>
      </c>
    </row>
    <row r="407" spans="2:23" ht="15">
      <c r="B407" s="1043" t="s">
        <v>530</v>
      </c>
      <c r="C407" s="1043" t="s">
        <v>531</v>
      </c>
      <c r="D407" s="1046"/>
      <c r="E407" s="1043" t="s">
        <v>532</v>
      </c>
      <c r="F407" s="1032">
        <f>VALUE(Data.Sard!G405)</f>
        <v>0.1903665921561995</v>
      </c>
      <c r="G407" s="844">
        <f>Data.Sard!J405</f>
        <v>2.446705824284598</v>
      </c>
      <c r="H407" s="1043">
        <v>19276615433</v>
      </c>
      <c r="I407" s="264">
        <f>VALUE(Data.Sard!L405)</f>
        <v>0.99299999999999999</v>
      </c>
      <c r="J407" s="904">
        <f>Data.Sard!N405</f>
        <v>0.29952211920087901</v>
      </c>
      <c r="K407" s="595">
        <f t="shared" si="105"/>
        <v>117</v>
      </c>
      <c r="L407" s="591">
        <f t="shared" si="106"/>
        <v>210</v>
      </c>
      <c r="M407" s="591">
        <f t="shared" si="107"/>
        <v>9</v>
      </c>
      <c r="N407" s="591">
        <f t="shared" si="108"/>
        <v>103</v>
      </c>
      <c r="O407" s="591">
        <f t="shared" si="109"/>
        <v>16</v>
      </c>
      <c r="P407" s="315">
        <f t="shared" si="98"/>
        <v>8</v>
      </c>
      <c r="Q407" s="315">
        <f t="shared" si="99"/>
        <v>0</v>
      </c>
      <c r="R407" s="315">
        <f t="shared" si="100"/>
        <v>0</v>
      </c>
      <c r="S407" s="315">
        <f t="shared" si="101"/>
        <v>0</v>
      </c>
      <c r="T407" s="315">
        <f t="shared" si="102"/>
        <v>0</v>
      </c>
      <c r="U407" s="315">
        <f t="shared" si="103"/>
        <v>8</v>
      </c>
      <c r="V407" s="591">
        <f t="shared" si="110"/>
        <v>1</v>
      </c>
      <c r="W407" s="598">
        <f t="shared" si="104"/>
        <v>1</v>
      </c>
    </row>
    <row r="408" spans="2:23" ht="15">
      <c r="B408" s="996" t="s">
        <v>1390</v>
      </c>
      <c r="C408" s="1043" t="s">
        <v>167</v>
      </c>
      <c r="D408" s="1046"/>
      <c r="E408" s="1043" t="s">
        <v>532</v>
      </c>
      <c r="F408" s="1032">
        <f>VALUE(Data.Sard!G406)</f>
        <v>0.17473477442429625</v>
      </c>
      <c r="G408" s="844">
        <f>Data.Sard!J406</f>
        <v>0</v>
      </c>
      <c r="H408" s="1043">
        <v>19955855051</v>
      </c>
      <c r="I408" s="264">
        <f>VALUE(Data.Sard!L406)</f>
        <v>0.185</v>
      </c>
      <c r="J408" s="904">
        <f>Data.Sard!N406</f>
        <v>0.22462963969909377</v>
      </c>
      <c r="K408" s="595">
        <f t="shared" si="105"/>
        <v>128</v>
      </c>
      <c r="L408" s="591">
        <f t="shared" si="106"/>
        <v>397</v>
      </c>
      <c r="M408" s="591">
        <f t="shared" si="107"/>
        <v>8</v>
      </c>
      <c r="N408" s="591">
        <f t="shared" si="108"/>
        <v>242</v>
      </c>
      <c r="O408" s="591">
        <f t="shared" si="109"/>
        <v>35</v>
      </c>
      <c r="P408" s="315">
        <f t="shared" si="98"/>
        <v>19</v>
      </c>
      <c r="Q408" s="315">
        <f t="shared" si="99"/>
        <v>187</v>
      </c>
      <c r="R408" s="315">
        <f t="shared" si="100"/>
        <v>1</v>
      </c>
      <c r="S408" s="315">
        <f t="shared" si="101"/>
        <v>139</v>
      </c>
      <c r="T408" s="315">
        <f t="shared" si="102"/>
        <v>19</v>
      </c>
      <c r="U408" s="315">
        <f t="shared" si="103"/>
        <v>365</v>
      </c>
      <c r="V408" s="591">
        <f t="shared" si="110"/>
        <v>10</v>
      </c>
      <c r="W408" s="598">
        <f t="shared" si="104"/>
        <v>10</v>
      </c>
    </row>
    <row r="409" spans="2:23" ht="15">
      <c r="B409" s="1043" t="s">
        <v>1391</v>
      </c>
      <c r="C409" s="1043" t="s">
        <v>1392</v>
      </c>
      <c r="D409" s="1046"/>
      <c r="E409" s="1043" t="s">
        <v>570</v>
      </c>
      <c r="F409" s="1032">
        <f>VALUE(Data.Sard!G407)</f>
        <v>3.0154388313731826E-2</v>
      </c>
      <c r="G409" s="844">
        <f>Data.Sard!J407</f>
        <v>107.60690397889925</v>
      </c>
      <c r="H409" s="1043">
        <v>203826066</v>
      </c>
      <c r="I409" s="264">
        <f>VALUE(Data.Sard!L407)</f>
        <v>0.32100000000000001</v>
      </c>
      <c r="J409" s="904">
        <f>Data.Sard!N407</f>
        <v>2.2179928884886128E-2</v>
      </c>
      <c r="K409" s="595">
        <f t="shared" si="105"/>
        <v>371</v>
      </c>
      <c r="L409" s="591">
        <f t="shared" si="106"/>
        <v>3</v>
      </c>
      <c r="M409" s="591">
        <f t="shared" si="107"/>
        <v>171</v>
      </c>
      <c r="N409" s="591">
        <f t="shared" si="108"/>
        <v>209</v>
      </c>
      <c r="O409" s="591">
        <f t="shared" si="109"/>
        <v>359</v>
      </c>
      <c r="P409" s="315">
        <f t="shared" si="98"/>
        <v>262</v>
      </c>
      <c r="Q409" s="315">
        <f t="shared" si="99"/>
        <v>207</v>
      </c>
      <c r="R409" s="315">
        <f t="shared" si="100"/>
        <v>162</v>
      </c>
      <c r="S409" s="315">
        <f t="shared" si="101"/>
        <v>106</v>
      </c>
      <c r="T409" s="315">
        <f t="shared" si="102"/>
        <v>343</v>
      </c>
      <c r="U409" s="315">
        <f t="shared" si="103"/>
        <v>1080</v>
      </c>
      <c r="V409" s="591">
        <f t="shared" si="110"/>
        <v>268</v>
      </c>
      <c r="W409" s="598">
        <f t="shared" si="104"/>
        <v>268</v>
      </c>
    </row>
    <row r="410" spans="2:23" ht="15">
      <c r="B410" s="1043" t="s">
        <v>1393</v>
      </c>
      <c r="C410" s="1043" t="s">
        <v>1394</v>
      </c>
      <c r="D410" s="1046"/>
      <c r="E410" s="1043" t="s">
        <v>1048</v>
      </c>
      <c r="F410" s="1032">
        <f>VALUE(Data.Sard!G408)</f>
        <v>-3.4006864959203471E-2</v>
      </c>
      <c r="G410" s="844">
        <f>Data.Sard!J408</f>
        <v>-122.21180061165533</v>
      </c>
      <c r="H410" s="1043">
        <v>1587516</v>
      </c>
      <c r="I410" s="264">
        <f>VALUE(Data.Sard!L408)</f>
        <v>0.93400000000000005</v>
      </c>
      <c r="J410" s="904">
        <f>Data.Sard!N408</f>
        <v>3.142354404281943E-3</v>
      </c>
      <c r="K410" s="595">
        <f t="shared" si="105"/>
        <v>476</v>
      </c>
      <c r="L410" s="591">
        <f t="shared" si="106"/>
        <v>599</v>
      </c>
      <c r="M410" s="591">
        <f t="shared" si="107"/>
        <v>600</v>
      </c>
      <c r="N410" s="591">
        <f t="shared" si="108"/>
        <v>110</v>
      </c>
      <c r="O410" s="591">
        <f t="shared" si="109"/>
        <v>415</v>
      </c>
      <c r="P410" s="315">
        <f t="shared" si="98"/>
        <v>367</v>
      </c>
      <c r="Q410" s="315">
        <f t="shared" si="99"/>
        <v>389</v>
      </c>
      <c r="R410" s="315">
        <f t="shared" si="100"/>
        <v>591</v>
      </c>
      <c r="S410" s="315">
        <f t="shared" si="101"/>
        <v>7</v>
      </c>
      <c r="T410" s="315">
        <f t="shared" si="102"/>
        <v>399</v>
      </c>
      <c r="U410" s="315">
        <f t="shared" si="103"/>
        <v>1753</v>
      </c>
      <c r="V410" s="591">
        <f t="shared" si="110"/>
        <v>619</v>
      </c>
      <c r="W410" s="598">
        <f t="shared" si="104"/>
        <v>619</v>
      </c>
    </row>
    <row r="411" spans="2:23" ht="15">
      <c r="B411" s="996" t="s">
        <v>1395</v>
      </c>
      <c r="C411" s="1043" t="s">
        <v>1396</v>
      </c>
      <c r="D411" s="1046"/>
      <c r="E411" s="1043" t="s">
        <v>736</v>
      </c>
      <c r="F411" s="1032">
        <f>VALUE(Data.Sard!G409)</f>
        <v>-0.12983536445577948</v>
      </c>
      <c r="G411" s="844">
        <f>Data.Sard!J409</f>
        <v>1.5864469384834101</v>
      </c>
      <c r="H411" s="1043">
        <v>242095610</v>
      </c>
      <c r="I411" s="264"/>
      <c r="J411" s="904">
        <f>Data.Sard!N409</f>
        <v>-1.7368092556994931E-2</v>
      </c>
      <c r="K411" s="595">
        <f t="shared" si="105"/>
        <v>528</v>
      </c>
      <c r="L411" s="591">
        <f t="shared" si="106"/>
        <v>263</v>
      </c>
      <c r="M411" s="591">
        <f t="shared" si="107"/>
        <v>158</v>
      </c>
      <c r="N411" s="591">
        <f t="shared" si="108"/>
        <v>285</v>
      </c>
      <c r="O411" s="591">
        <f t="shared" si="109"/>
        <v>448</v>
      </c>
      <c r="P411" s="315">
        <f t="shared" si="98"/>
        <v>419</v>
      </c>
      <c r="Q411" s="315">
        <f t="shared" si="99"/>
        <v>53</v>
      </c>
      <c r="R411" s="315">
        <f t="shared" si="100"/>
        <v>149</v>
      </c>
      <c r="S411" s="315">
        <f t="shared" si="101"/>
        <v>182</v>
      </c>
      <c r="T411" s="315">
        <f t="shared" si="102"/>
        <v>432</v>
      </c>
      <c r="U411" s="315">
        <f t="shared" si="103"/>
        <v>1235</v>
      </c>
      <c r="V411" s="591">
        <f t="shared" si="110"/>
        <v>327</v>
      </c>
      <c r="W411" s="598">
        <f t="shared" si="104"/>
        <v>327</v>
      </c>
    </row>
    <row r="412" spans="2:23" ht="15">
      <c r="B412" s="996" t="s">
        <v>1397</v>
      </c>
      <c r="C412" s="1043" t="s">
        <v>1398</v>
      </c>
      <c r="D412" s="1046"/>
      <c r="E412" s="1043" t="s">
        <v>1399</v>
      </c>
      <c r="F412" s="1032">
        <f>VALUE(Data.Sard!G410)</f>
        <v>0.88515406161931498</v>
      </c>
      <c r="G412" s="844">
        <f>Data.Sard!J410</f>
        <v>0</v>
      </c>
      <c r="H412" s="1043">
        <v>12870322765</v>
      </c>
      <c r="I412" s="264">
        <f>VALUE(Data.Sard!L410)</f>
        <v>-1.0389999999999999</v>
      </c>
      <c r="J412" s="904">
        <f>Data.Sard!N410</f>
        <v>0.25017770827421759</v>
      </c>
      <c r="K412" s="595">
        <f t="shared" si="105"/>
        <v>17</v>
      </c>
      <c r="L412" s="591">
        <f t="shared" si="106"/>
        <v>397</v>
      </c>
      <c r="M412" s="591">
        <f t="shared" si="107"/>
        <v>13</v>
      </c>
      <c r="N412" s="591">
        <f t="shared" si="108"/>
        <v>439</v>
      </c>
      <c r="O412" s="591">
        <f t="shared" si="109"/>
        <v>27</v>
      </c>
      <c r="P412" s="315">
        <f t="shared" si="98"/>
        <v>92</v>
      </c>
      <c r="Q412" s="315">
        <f t="shared" si="99"/>
        <v>187</v>
      </c>
      <c r="R412" s="315">
        <f t="shared" si="100"/>
        <v>4</v>
      </c>
      <c r="S412" s="315">
        <f t="shared" si="101"/>
        <v>336</v>
      </c>
      <c r="T412" s="315">
        <f t="shared" si="102"/>
        <v>11</v>
      </c>
      <c r="U412" s="315">
        <f t="shared" si="103"/>
        <v>630</v>
      </c>
      <c r="V412" s="591">
        <f t="shared" si="110"/>
        <v>86</v>
      </c>
      <c r="W412" s="598">
        <f t="shared" si="104"/>
        <v>86</v>
      </c>
    </row>
    <row r="413" spans="2:23" ht="15">
      <c r="B413" s="996" t="s">
        <v>1400</v>
      </c>
      <c r="C413" s="1043" t="s">
        <v>1401</v>
      </c>
      <c r="D413" s="1046"/>
      <c r="E413" s="1043" t="s">
        <v>546</v>
      </c>
      <c r="F413" s="1032">
        <f>VALUE(Data.Sard!G411)</f>
        <v>-6.0306513239357241E-2</v>
      </c>
      <c r="G413" s="844">
        <f>Data.Sard!J411</f>
        <v>-8.0298539796156143E-2</v>
      </c>
      <c r="H413" s="1043">
        <v>6219602</v>
      </c>
      <c r="I413" s="264">
        <f>VALUE(Data.Sard!L411)</f>
        <v>0.17299999999999999</v>
      </c>
      <c r="J413" s="904">
        <f>Data.Sard!N411</f>
        <v>-4.4712279727857858E-2</v>
      </c>
      <c r="K413" s="595">
        <f t="shared" si="105"/>
        <v>498</v>
      </c>
      <c r="L413" s="591">
        <f t="shared" si="106"/>
        <v>447</v>
      </c>
      <c r="M413" s="591">
        <f t="shared" si="107"/>
        <v>513</v>
      </c>
      <c r="N413" s="591">
        <f t="shared" si="108"/>
        <v>244</v>
      </c>
      <c r="O413" s="591">
        <f t="shared" si="109"/>
        <v>472</v>
      </c>
      <c r="P413" s="315">
        <f t="shared" si="98"/>
        <v>389</v>
      </c>
      <c r="Q413" s="315">
        <f t="shared" si="99"/>
        <v>237</v>
      </c>
      <c r="R413" s="315">
        <f t="shared" si="100"/>
        <v>504</v>
      </c>
      <c r="S413" s="315">
        <f t="shared" si="101"/>
        <v>141</v>
      </c>
      <c r="T413" s="315">
        <f t="shared" si="102"/>
        <v>456</v>
      </c>
      <c r="U413" s="315">
        <f t="shared" si="103"/>
        <v>1727</v>
      </c>
      <c r="V413" s="591">
        <f t="shared" si="110"/>
        <v>601</v>
      </c>
      <c r="W413" s="598">
        <f t="shared" si="104"/>
        <v>601</v>
      </c>
    </row>
    <row r="414" spans="2:23" ht="15">
      <c r="B414" s="996" t="s">
        <v>1402</v>
      </c>
      <c r="C414" s="1043" t="s">
        <v>1403</v>
      </c>
      <c r="D414" s="1046"/>
      <c r="E414" s="1043" t="s">
        <v>736</v>
      </c>
      <c r="F414" s="1032">
        <f>VALUE(Data.Sard!G412)</f>
        <v>-0.44120799046182008</v>
      </c>
      <c r="G414" s="844">
        <f>Data.Sard!J412</f>
        <v>-0.24858354141448941</v>
      </c>
      <c r="H414" s="1043">
        <v>93027661</v>
      </c>
      <c r="I414" s="264">
        <f>VALUE(Data.Sard!L412)</f>
        <v>0.41899999999999998</v>
      </c>
      <c r="J414" s="904">
        <f>Data.Sard!N412</f>
        <v>-0.51207082691866856</v>
      </c>
      <c r="K414" s="595">
        <f t="shared" si="105"/>
        <v>570</v>
      </c>
      <c r="L414" s="591">
        <f t="shared" si="106"/>
        <v>457</v>
      </c>
      <c r="M414" s="591">
        <f t="shared" si="107"/>
        <v>232</v>
      </c>
      <c r="N414" s="591">
        <f t="shared" si="108"/>
        <v>183</v>
      </c>
      <c r="O414" s="591">
        <f t="shared" si="109"/>
        <v>557</v>
      </c>
      <c r="P414" s="315">
        <f t="shared" si="98"/>
        <v>461</v>
      </c>
      <c r="Q414" s="315">
        <f t="shared" si="99"/>
        <v>247</v>
      </c>
      <c r="R414" s="315">
        <f t="shared" si="100"/>
        <v>223</v>
      </c>
      <c r="S414" s="315">
        <f t="shared" si="101"/>
        <v>80</v>
      </c>
      <c r="T414" s="315">
        <f t="shared" si="102"/>
        <v>541</v>
      </c>
      <c r="U414" s="315">
        <f t="shared" si="103"/>
        <v>1552</v>
      </c>
      <c r="V414" s="591">
        <f t="shared" si="110"/>
        <v>493</v>
      </c>
      <c r="W414" s="598">
        <f t="shared" si="104"/>
        <v>493</v>
      </c>
    </row>
    <row r="415" spans="2:23" ht="15">
      <c r="B415" s="996" t="s">
        <v>1404</v>
      </c>
      <c r="C415" s="1043" t="s">
        <v>1405</v>
      </c>
      <c r="D415" s="1046"/>
      <c r="E415" s="1043" t="s">
        <v>546</v>
      </c>
      <c r="F415" s="1032">
        <f>VALUE(Data.Sard!G413)</f>
        <v>-0.61395953131472691</v>
      </c>
      <c r="G415" s="844">
        <f>Data.Sard!J413</f>
        <v>-17.269240690589456</v>
      </c>
      <c r="H415" s="1043">
        <v>4661387</v>
      </c>
      <c r="I415" s="264">
        <f>VALUE(Data.Sard!L413)</f>
        <v>0.61799999999999999</v>
      </c>
      <c r="J415" s="904">
        <f>Data.Sard!N413</f>
        <v>-0.52385894375988107</v>
      </c>
      <c r="K415" s="595">
        <f t="shared" si="105"/>
        <v>583</v>
      </c>
      <c r="L415" s="591">
        <f t="shared" si="106"/>
        <v>578</v>
      </c>
      <c r="M415" s="591">
        <f t="shared" si="107"/>
        <v>532</v>
      </c>
      <c r="N415" s="591">
        <f t="shared" si="108"/>
        <v>154</v>
      </c>
      <c r="O415" s="591">
        <f t="shared" si="109"/>
        <v>558</v>
      </c>
      <c r="P415" s="315">
        <f t="shared" si="98"/>
        <v>474</v>
      </c>
      <c r="Q415" s="315">
        <f t="shared" si="99"/>
        <v>368</v>
      </c>
      <c r="R415" s="315">
        <f t="shared" si="100"/>
        <v>523</v>
      </c>
      <c r="S415" s="315">
        <f t="shared" si="101"/>
        <v>51</v>
      </c>
      <c r="T415" s="315">
        <f t="shared" si="102"/>
        <v>542</v>
      </c>
      <c r="U415" s="315">
        <f t="shared" si="103"/>
        <v>1958</v>
      </c>
      <c r="V415" s="591">
        <f t="shared" si="110"/>
        <v>693</v>
      </c>
      <c r="W415" s="598">
        <f t="shared" si="104"/>
        <v>693</v>
      </c>
    </row>
    <row r="416" spans="2:23" ht="15">
      <c r="B416" s="996" t="s">
        <v>1406</v>
      </c>
      <c r="C416" s="1043" t="s">
        <v>1407</v>
      </c>
      <c r="D416" s="1046"/>
      <c r="E416" s="1043" t="s">
        <v>736</v>
      </c>
      <c r="F416" s="1032">
        <f>VALUE(Data.Sard!G414)</f>
        <v>-1.0622059065643707E-2</v>
      </c>
      <c r="G416" s="844">
        <f>Data.Sard!J414</f>
        <v>5.7491956796754105</v>
      </c>
      <c r="H416" s="1043">
        <v>182801543</v>
      </c>
      <c r="I416" s="264">
        <f>VALUE(Data.Sard!L414)</f>
        <v>-0.13</v>
      </c>
      <c r="J416" s="904">
        <f>Data.Sard!N414</f>
        <v>-2.7185793160482398E-2</v>
      </c>
      <c r="K416" s="595">
        <f t="shared" si="105"/>
        <v>456</v>
      </c>
      <c r="L416" s="591">
        <f t="shared" si="106"/>
        <v>109</v>
      </c>
      <c r="M416" s="591">
        <f t="shared" si="107"/>
        <v>176</v>
      </c>
      <c r="N416" s="591">
        <f t="shared" si="108"/>
        <v>325</v>
      </c>
      <c r="O416" s="591">
        <f t="shared" si="109"/>
        <v>458</v>
      </c>
      <c r="P416" s="315">
        <f t="shared" si="98"/>
        <v>347</v>
      </c>
      <c r="Q416" s="315">
        <f t="shared" si="99"/>
        <v>101</v>
      </c>
      <c r="R416" s="315">
        <f t="shared" si="100"/>
        <v>167</v>
      </c>
      <c r="S416" s="315">
        <f t="shared" si="101"/>
        <v>222</v>
      </c>
      <c r="T416" s="315">
        <f t="shared" si="102"/>
        <v>442</v>
      </c>
      <c r="U416" s="315">
        <f t="shared" si="103"/>
        <v>1279</v>
      </c>
      <c r="V416" s="591">
        <f t="shared" si="110"/>
        <v>351</v>
      </c>
      <c r="W416" s="598">
        <f t="shared" si="104"/>
        <v>351</v>
      </c>
    </row>
    <row r="417" spans="2:23" ht="15">
      <c r="B417" s="996" t="s">
        <v>1408</v>
      </c>
      <c r="C417" s="1043" t="s">
        <v>1409</v>
      </c>
      <c r="D417" s="1046"/>
      <c r="E417" s="1043" t="s">
        <v>706</v>
      </c>
      <c r="F417" s="1032">
        <f>VALUE(Data.Sard!G415)</f>
        <v>0.17271757271951885</v>
      </c>
      <c r="G417" s="844">
        <f>Data.Sard!J415</f>
        <v>-1.2166126884020585</v>
      </c>
      <c r="H417" s="1043">
        <v>60603650</v>
      </c>
      <c r="I417" s="264"/>
      <c r="J417" s="904">
        <f>Data.Sard!N415</f>
        <v>6.4633184469138391E-2</v>
      </c>
      <c r="K417" s="595">
        <f t="shared" si="105"/>
        <v>133</v>
      </c>
      <c r="L417" s="591">
        <f t="shared" si="106"/>
        <v>489</v>
      </c>
      <c r="M417" s="591">
        <f t="shared" si="107"/>
        <v>278</v>
      </c>
      <c r="N417" s="591">
        <f t="shared" si="108"/>
        <v>285</v>
      </c>
      <c r="O417" s="591">
        <f t="shared" si="109"/>
        <v>229</v>
      </c>
      <c r="P417" s="315">
        <f t="shared" si="98"/>
        <v>24</v>
      </c>
      <c r="Q417" s="315">
        <f t="shared" si="99"/>
        <v>279</v>
      </c>
      <c r="R417" s="315">
        <f t="shared" si="100"/>
        <v>269</v>
      </c>
      <c r="S417" s="315">
        <f t="shared" si="101"/>
        <v>182</v>
      </c>
      <c r="T417" s="315">
        <f t="shared" si="102"/>
        <v>213</v>
      </c>
      <c r="U417" s="315">
        <f t="shared" si="103"/>
        <v>967</v>
      </c>
      <c r="V417" s="591">
        <f t="shared" si="110"/>
        <v>223</v>
      </c>
      <c r="W417" s="598">
        <f t="shared" si="104"/>
        <v>223</v>
      </c>
    </row>
    <row r="418" spans="2:23" ht="15">
      <c r="B418" s="1043" t="s">
        <v>1410</v>
      </c>
      <c r="C418" s="1043" t="s">
        <v>1411</v>
      </c>
      <c r="D418" s="1046"/>
      <c r="E418" s="1043" t="s">
        <v>603</v>
      </c>
      <c r="F418" s="1032">
        <f>VALUE(Data.Sard!G416)</f>
        <v>-4.1792705257073982E-4</v>
      </c>
      <c r="G418" s="844"/>
      <c r="H418" s="1043">
        <v>22450336</v>
      </c>
      <c r="I418" s="264">
        <f>VALUE(Data.Sard!L416)</f>
        <v>-0.22700000000000001</v>
      </c>
      <c r="J418" s="904">
        <f>Data.Sard!N416</f>
        <v>-5.6256695844298182E-2</v>
      </c>
      <c r="K418" s="595">
        <f t="shared" si="105"/>
        <v>448</v>
      </c>
      <c r="L418" s="591">
        <f t="shared" si="106"/>
        <v>397</v>
      </c>
      <c r="M418" s="591">
        <f t="shared" si="107"/>
        <v>379</v>
      </c>
      <c r="N418" s="591">
        <f t="shared" si="108"/>
        <v>345</v>
      </c>
      <c r="O418" s="591">
        <f t="shared" si="109"/>
        <v>478</v>
      </c>
      <c r="P418" s="315">
        <f t="shared" si="98"/>
        <v>339</v>
      </c>
      <c r="Q418" s="315">
        <f t="shared" si="99"/>
        <v>187</v>
      </c>
      <c r="R418" s="315">
        <f t="shared" si="100"/>
        <v>370</v>
      </c>
      <c r="S418" s="315">
        <f t="shared" si="101"/>
        <v>242</v>
      </c>
      <c r="T418" s="315">
        <f t="shared" si="102"/>
        <v>462</v>
      </c>
      <c r="U418" s="315">
        <f t="shared" si="103"/>
        <v>1600</v>
      </c>
      <c r="V418" s="591">
        <f t="shared" si="110"/>
        <v>527</v>
      </c>
      <c r="W418" s="598">
        <f t="shared" si="104"/>
        <v>527</v>
      </c>
    </row>
    <row r="419" spans="2:23" ht="15">
      <c r="B419" s="996" t="s">
        <v>1412</v>
      </c>
      <c r="C419" s="1043" t="s">
        <v>1413</v>
      </c>
      <c r="D419" s="1046"/>
      <c r="E419" s="1043" t="s">
        <v>736</v>
      </c>
      <c r="F419" s="1032"/>
      <c r="G419" s="844">
        <f>Data.Sard!J417</f>
        <v>-1.0687316337736608</v>
      </c>
      <c r="H419" s="1043">
        <v>6930013</v>
      </c>
      <c r="I419" s="264">
        <f>VALUE(Data.Sard!L417)</f>
        <v>0.70899999999999996</v>
      </c>
      <c r="J419" s="904"/>
      <c r="K419" s="595">
        <f t="shared" si="105"/>
        <v>442</v>
      </c>
      <c r="L419" s="591">
        <f t="shared" si="106"/>
        <v>485</v>
      </c>
      <c r="M419" s="591">
        <f t="shared" si="107"/>
        <v>502</v>
      </c>
      <c r="N419" s="591">
        <f t="shared" si="108"/>
        <v>140</v>
      </c>
      <c r="O419" s="591">
        <f t="shared" si="109"/>
        <v>419</v>
      </c>
      <c r="P419" s="315">
        <f t="shared" si="98"/>
        <v>333</v>
      </c>
      <c r="Q419" s="315">
        <f t="shared" si="99"/>
        <v>275</v>
      </c>
      <c r="R419" s="315">
        <f t="shared" si="100"/>
        <v>493</v>
      </c>
      <c r="S419" s="315">
        <f t="shared" si="101"/>
        <v>37</v>
      </c>
      <c r="T419" s="315">
        <f t="shared" si="102"/>
        <v>403</v>
      </c>
      <c r="U419" s="315">
        <f t="shared" si="103"/>
        <v>1541</v>
      </c>
      <c r="V419" s="591">
        <f t="shared" si="110"/>
        <v>487</v>
      </c>
      <c r="W419" s="598">
        <f t="shared" si="104"/>
        <v>487</v>
      </c>
    </row>
    <row r="420" spans="2:23" ht="15">
      <c r="B420" s="996" t="s">
        <v>1414</v>
      </c>
      <c r="C420" s="1043" t="s">
        <v>1415</v>
      </c>
      <c r="D420" s="1046"/>
      <c r="E420" s="1043" t="s">
        <v>546</v>
      </c>
      <c r="F420" s="1032">
        <f>VALUE(Data.Sard!G418)</f>
        <v>-0.64735204012158909</v>
      </c>
      <c r="G420" s="844">
        <f>Data.Sard!J418</f>
        <v>-0.78559318838983727</v>
      </c>
      <c r="H420" s="1043">
        <v>145191862</v>
      </c>
      <c r="I420" s="264"/>
      <c r="J420" s="904">
        <f>Data.Sard!N418</f>
        <v>-0.25277998704274168</v>
      </c>
      <c r="K420" s="595">
        <f t="shared" si="105"/>
        <v>587</v>
      </c>
      <c r="L420" s="591">
        <f t="shared" si="106"/>
        <v>477</v>
      </c>
      <c r="M420" s="591">
        <f t="shared" si="107"/>
        <v>196</v>
      </c>
      <c r="N420" s="591">
        <f t="shared" si="108"/>
        <v>285</v>
      </c>
      <c r="O420" s="591">
        <f t="shared" si="109"/>
        <v>543</v>
      </c>
      <c r="P420" s="315">
        <f t="shared" si="98"/>
        <v>478</v>
      </c>
      <c r="Q420" s="315">
        <f t="shared" si="99"/>
        <v>267</v>
      </c>
      <c r="R420" s="315">
        <f t="shared" si="100"/>
        <v>187</v>
      </c>
      <c r="S420" s="315">
        <f t="shared" si="101"/>
        <v>182</v>
      </c>
      <c r="T420" s="315">
        <f t="shared" si="102"/>
        <v>527</v>
      </c>
      <c r="U420" s="315">
        <f t="shared" si="103"/>
        <v>1641</v>
      </c>
      <c r="V420" s="591">
        <f t="shared" si="110"/>
        <v>555</v>
      </c>
      <c r="W420" s="598">
        <f t="shared" si="104"/>
        <v>555</v>
      </c>
    </row>
    <row r="421" spans="2:23" ht="15">
      <c r="B421" s="1043" t="s">
        <v>1416</v>
      </c>
      <c r="C421" s="1043" t="s">
        <v>1417</v>
      </c>
      <c r="D421" s="1046"/>
      <c r="E421" s="1043" t="s">
        <v>587</v>
      </c>
      <c r="F421" s="1032">
        <f>VALUE(Data.Sard!G419)</f>
        <v>1.0537349902040876</v>
      </c>
      <c r="G421" s="844">
        <f>Data.Sard!J419</f>
        <v>1.7719554581985706</v>
      </c>
      <c r="H421" s="1043">
        <v>3082473</v>
      </c>
      <c r="I421" s="264">
        <f>VALUE(Data.Sard!L419)</f>
        <v>-5.8639999999999999</v>
      </c>
      <c r="J421" s="904">
        <f>Data.Sard!N419</f>
        <v>-7.8030872972129854</v>
      </c>
      <c r="K421" s="595">
        <f t="shared" si="105"/>
        <v>14</v>
      </c>
      <c r="L421" s="591">
        <f t="shared" si="106"/>
        <v>252</v>
      </c>
      <c r="M421" s="591">
        <f t="shared" si="107"/>
        <v>562</v>
      </c>
      <c r="N421" s="591">
        <f t="shared" si="108"/>
        <v>523</v>
      </c>
      <c r="O421" s="591">
        <f t="shared" si="109"/>
        <v>596</v>
      </c>
      <c r="P421" s="315">
        <f t="shared" ref="P421:P484" si="111">IFERROR(ABS(K$3-K421),"N/A")</f>
        <v>95</v>
      </c>
      <c r="Q421" s="315">
        <f t="shared" ref="Q421:Q484" si="112">IFERROR(ABS(L$3-L421),"N/A")</f>
        <v>42</v>
      </c>
      <c r="R421" s="315">
        <f t="shared" ref="R421:R484" si="113">IFERROR(ABS(M$3-M421),"N/A")</f>
        <v>553</v>
      </c>
      <c r="S421" s="315">
        <f t="shared" ref="S421:S484" si="114">IFERROR(ABS(N$3-N421),"N/A")</f>
        <v>420</v>
      </c>
      <c r="T421" s="315">
        <f t="shared" ref="T421:T484" si="115">IFERROR(ABS(O$3-O421),"N/A")</f>
        <v>580</v>
      </c>
      <c r="U421" s="315">
        <f t="shared" ref="U421:U484" si="116">SUM(P421:T421)</f>
        <v>1690</v>
      </c>
      <c r="V421" s="591">
        <f t="shared" si="110"/>
        <v>584</v>
      </c>
      <c r="W421" s="598">
        <f t="shared" ref="W421:W484" si="117">IF(Y421="Not suitable","-",V421)</f>
        <v>584</v>
      </c>
    </row>
    <row r="422" spans="2:23" ht="15">
      <c r="B422" s="996" t="s">
        <v>1418</v>
      </c>
      <c r="C422" s="1043" t="s">
        <v>1419</v>
      </c>
      <c r="D422" s="1046"/>
      <c r="E422" s="1043" t="s">
        <v>736</v>
      </c>
      <c r="F422" s="1032">
        <f>VALUE(Data.Sard!G420)</f>
        <v>9.7409949180456645E-2</v>
      </c>
      <c r="G422" s="844">
        <f>Data.Sard!J420</f>
        <v>-1.2982101920744475</v>
      </c>
      <c r="H422" s="1043">
        <v>2331595807</v>
      </c>
      <c r="I422" s="264">
        <f>VALUE(Data.Sard!L420)</f>
        <v>0.67400000000000004</v>
      </c>
      <c r="J422" s="904">
        <f>Data.Sard!N420</f>
        <v>0.11014579737463297</v>
      </c>
      <c r="K422" s="595">
        <f t="shared" si="105"/>
        <v>236</v>
      </c>
      <c r="L422" s="591">
        <f t="shared" si="106"/>
        <v>492</v>
      </c>
      <c r="M422" s="591">
        <f t="shared" si="107"/>
        <v>38</v>
      </c>
      <c r="N422" s="591">
        <f t="shared" si="108"/>
        <v>143</v>
      </c>
      <c r="O422" s="591">
        <f t="shared" si="109"/>
        <v>130</v>
      </c>
      <c r="P422" s="315">
        <f t="shared" si="111"/>
        <v>127</v>
      </c>
      <c r="Q422" s="315">
        <f t="shared" si="112"/>
        <v>282</v>
      </c>
      <c r="R422" s="315">
        <f t="shared" si="113"/>
        <v>29</v>
      </c>
      <c r="S422" s="315">
        <f t="shared" si="114"/>
        <v>40</v>
      </c>
      <c r="T422" s="315">
        <f t="shared" si="115"/>
        <v>114</v>
      </c>
      <c r="U422" s="315">
        <f t="shared" si="116"/>
        <v>592</v>
      </c>
      <c r="V422" s="591">
        <f t="shared" si="110"/>
        <v>67</v>
      </c>
      <c r="W422" s="598">
        <f t="shared" si="117"/>
        <v>67</v>
      </c>
    </row>
    <row r="423" spans="2:23" ht="15">
      <c r="B423" s="996" t="s">
        <v>1420</v>
      </c>
      <c r="C423" s="1043" t="s">
        <v>1421</v>
      </c>
      <c r="D423" s="1046"/>
      <c r="E423" s="1043" t="s">
        <v>736</v>
      </c>
      <c r="F423" s="1032">
        <f>VALUE(Data.Sard!G421)</f>
        <v>-5.5410289905423515E-2</v>
      </c>
      <c r="G423" s="844">
        <f>Data.Sard!J421</f>
        <v>3.3306918613716348</v>
      </c>
      <c r="H423" s="1043">
        <v>391364841</v>
      </c>
      <c r="I423" s="264">
        <f>VALUE(Data.Sard!L421)</f>
        <v>-0.20799999999999999</v>
      </c>
      <c r="J423" s="904">
        <f>Data.Sard!N421</f>
        <v>-6.1471464046516107E-2</v>
      </c>
      <c r="K423" s="595">
        <f t="shared" si="105"/>
        <v>494</v>
      </c>
      <c r="L423" s="591">
        <f t="shared" si="106"/>
        <v>169</v>
      </c>
      <c r="M423" s="591">
        <f t="shared" si="107"/>
        <v>117</v>
      </c>
      <c r="N423" s="591">
        <f t="shared" si="108"/>
        <v>342</v>
      </c>
      <c r="O423" s="591">
        <f t="shared" si="109"/>
        <v>481</v>
      </c>
      <c r="P423" s="315">
        <f t="shared" si="111"/>
        <v>385</v>
      </c>
      <c r="Q423" s="315">
        <f t="shared" si="112"/>
        <v>41</v>
      </c>
      <c r="R423" s="315">
        <f t="shared" si="113"/>
        <v>108</v>
      </c>
      <c r="S423" s="315">
        <f t="shared" si="114"/>
        <v>239</v>
      </c>
      <c r="T423" s="315">
        <f t="shared" si="115"/>
        <v>465</v>
      </c>
      <c r="U423" s="315">
        <f t="shared" si="116"/>
        <v>1238</v>
      </c>
      <c r="V423" s="591">
        <f t="shared" si="110"/>
        <v>328</v>
      </c>
      <c r="W423" s="598">
        <f t="shared" si="117"/>
        <v>328</v>
      </c>
    </row>
    <row r="424" spans="2:23" ht="15">
      <c r="B424" s="1043" t="s">
        <v>1422</v>
      </c>
      <c r="C424" s="1043" t="s">
        <v>1423</v>
      </c>
      <c r="D424" s="1046"/>
      <c r="E424" s="1043" t="s">
        <v>603</v>
      </c>
      <c r="F424" s="1032">
        <f>VALUE(Data.Sard!G422)</f>
        <v>3.351611984909203E-2</v>
      </c>
      <c r="G424" s="844">
        <f>Data.Sard!J422</f>
        <v>-9.0057636887608067E-2</v>
      </c>
      <c r="H424" s="1043">
        <v>39584099</v>
      </c>
      <c r="I424" s="264">
        <f>VALUE(Data.Sard!L422)</f>
        <v>0.60699999999999998</v>
      </c>
      <c r="J424" s="904">
        <f>Data.Sard!N422</f>
        <v>6.5515175739147363E-2</v>
      </c>
      <c r="K424" s="595">
        <f t="shared" si="105"/>
        <v>366</v>
      </c>
      <c r="L424" s="591">
        <f t="shared" si="106"/>
        <v>450</v>
      </c>
      <c r="M424" s="591">
        <f t="shared" si="107"/>
        <v>323</v>
      </c>
      <c r="N424" s="591">
        <f t="shared" si="108"/>
        <v>157</v>
      </c>
      <c r="O424" s="591">
        <f t="shared" si="109"/>
        <v>227</v>
      </c>
      <c r="P424" s="315">
        <f t="shared" si="111"/>
        <v>257</v>
      </c>
      <c r="Q424" s="315">
        <f t="shared" si="112"/>
        <v>240</v>
      </c>
      <c r="R424" s="315">
        <f t="shared" si="113"/>
        <v>314</v>
      </c>
      <c r="S424" s="315">
        <f t="shared" si="114"/>
        <v>54</v>
      </c>
      <c r="T424" s="315">
        <f t="shared" si="115"/>
        <v>211</v>
      </c>
      <c r="U424" s="315">
        <f t="shared" si="116"/>
        <v>1076</v>
      </c>
      <c r="V424" s="591">
        <f t="shared" si="110"/>
        <v>265</v>
      </c>
      <c r="W424" s="598">
        <f t="shared" si="117"/>
        <v>265</v>
      </c>
    </row>
    <row r="425" spans="2:23" ht="15">
      <c r="B425" s="996" t="s">
        <v>1424</v>
      </c>
      <c r="C425" s="1043" t="s">
        <v>1425</v>
      </c>
      <c r="D425" s="1046"/>
      <c r="E425" s="1043" t="s">
        <v>587</v>
      </c>
      <c r="F425" s="1032">
        <f>VALUE(Data.Sard!G423)</f>
        <v>1.0017411984541555</v>
      </c>
      <c r="G425" s="844">
        <f>Data.Sard!J423</f>
        <v>-8.0779986855466603</v>
      </c>
      <c r="H425" s="1043">
        <v>241517</v>
      </c>
      <c r="I425" s="264">
        <f>VALUE(Data.Sard!L423)</f>
        <v>-2.76</v>
      </c>
      <c r="J425" s="904"/>
      <c r="K425" s="595">
        <f t="shared" si="105"/>
        <v>15</v>
      </c>
      <c r="L425" s="591">
        <f t="shared" si="106"/>
        <v>556</v>
      </c>
      <c r="M425" s="591">
        <f t="shared" si="107"/>
        <v>642</v>
      </c>
      <c r="N425" s="591">
        <f t="shared" si="108"/>
        <v>492</v>
      </c>
      <c r="O425" s="591">
        <f t="shared" si="109"/>
        <v>419</v>
      </c>
      <c r="P425" s="315">
        <f t="shared" si="111"/>
        <v>94</v>
      </c>
      <c r="Q425" s="315">
        <f t="shared" si="112"/>
        <v>346</v>
      </c>
      <c r="R425" s="315">
        <f t="shared" si="113"/>
        <v>633</v>
      </c>
      <c r="S425" s="315">
        <f t="shared" si="114"/>
        <v>389</v>
      </c>
      <c r="T425" s="315">
        <f t="shared" si="115"/>
        <v>403</v>
      </c>
      <c r="U425" s="315">
        <f t="shared" si="116"/>
        <v>1865</v>
      </c>
      <c r="V425" s="591">
        <f t="shared" si="110"/>
        <v>671</v>
      </c>
      <c r="W425" s="598">
        <f t="shared" si="117"/>
        <v>671</v>
      </c>
    </row>
    <row r="426" spans="2:23" ht="15">
      <c r="B426" s="996" t="s">
        <v>1426</v>
      </c>
      <c r="C426" s="1043" t="s">
        <v>1427</v>
      </c>
      <c r="D426" s="1046"/>
      <c r="E426" s="1043" t="s">
        <v>736</v>
      </c>
      <c r="F426" s="1032">
        <f>VALUE(Data.Sard!G424)</f>
        <v>-2.8002096313811467E-2</v>
      </c>
      <c r="G426" s="844">
        <f>Data.Sard!J424</f>
        <v>2.8327481483338697</v>
      </c>
      <c r="H426" s="1043">
        <v>789999174</v>
      </c>
      <c r="I426" s="264"/>
      <c r="J426" s="904">
        <f>Data.Sard!N424</f>
        <v>-4.3656398761599158E-2</v>
      </c>
      <c r="K426" s="595">
        <f t="shared" si="105"/>
        <v>469</v>
      </c>
      <c r="L426" s="591">
        <f t="shared" si="106"/>
        <v>192</v>
      </c>
      <c r="M426" s="591">
        <f t="shared" si="107"/>
        <v>73</v>
      </c>
      <c r="N426" s="591">
        <f t="shared" si="108"/>
        <v>285</v>
      </c>
      <c r="O426" s="591">
        <f t="shared" si="109"/>
        <v>470</v>
      </c>
      <c r="P426" s="315">
        <f t="shared" si="111"/>
        <v>360</v>
      </c>
      <c r="Q426" s="315">
        <f t="shared" si="112"/>
        <v>18</v>
      </c>
      <c r="R426" s="315">
        <f t="shared" si="113"/>
        <v>64</v>
      </c>
      <c r="S426" s="315">
        <f t="shared" si="114"/>
        <v>182</v>
      </c>
      <c r="T426" s="315">
        <f t="shared" si="115"/>
        <v>454</v>
      </c>
      <c r="U426" s="315">
        <f t="shared" si="116"/>
        <v>1078</v>
      </c>
      <c r="V426" s="591">
        <f t="shared" si="110"/>
        <v>267</v>
      </c>
      <c r="W426" s="598">
        <f t="shared" si="117"/>
        <v>267</v>
      </c>
    </row>
    <row r="427" spans="2:23" ht="15">
      <c r="B427" s="996" t="s">
        <v>1428</v>
      </c>
      <c r="C427" s="1043" t="s">
        <v>1429</v>
      </c>
      <c r="D427" s="1046"/>
      <c r="E427" s="1043" t="s">
        <v>546</v>
      </c>
      <c r="F427" s="1032">
        <f>VALUE(Data.Sard!G425)</f>
        <v>0.16944260959321714</v>
      </c>
      <c r="G427" s="844">
        <f>Data.Sard!J425</f>
        <v>-1.1620686596292025</v>
      </c>
      <c r="H427" s="1043">
        <v>13742779080</v>
      </c>
      <c r="I427" s="264">
        <f>VALUE(Data.Sard!L425)</f>
        <v>1.07</v>
      </c>
      <c r="J427" s="904">
        <f>Data.Sard!N425</f>
        <v>8.2419067977458807E-2</v>
      </c>
      <c r="K427" s="595">
        <f t="shared" si="105"/>
        <v>138</v>
      </c>
      <c r="L427" s="591">
        <f t="shared" si="106"/>
        <v>488</v>
      </c>
      <c r="M427" s="591">
        <f t="shared" si="107"/>
        <v>12</v>
      </c>
      <c r="N427" s="591">
        <f t="shared" si="108"/>
        <v>93</v>
      </c>
      <c r="O427" s="591">
        <f t="shared" si="109"/>
        <v>187</v>
      </c>
      <c r="P427" s="315">
        <f t="shared" si="111"/>
        <v>29</v>
      </c>
      <c r="Q427" s="315">
        <f t="shared" si="112"/>
        <v>278</v>
      </c>
      <c r="R427" s="315">
        <f t="shared" si="113"/>
        <v>3</v>
      </c>
      <c r="S427" s="315">
        <f t="shared" si="114"/>
        <v>10</v>
      </c>
      <c r="T427" s="315">
        <f t="shared" si="115"/>
        <v>171</v>
      </c>
      <c r="U427" s="315">
        <f t="shared" si="116"/>
        <v>491</v>
      </c>
      <c r="V427" s="591">
        <f t="shared" si="110"/>
        <v>34</v>
      </c>
      <c r="W427" s="598">
        <f t="shared" si="117"/>
        <v>34</v>
      </c>
    </row>
    <row r="428" spans="2:23" ht="15">
      <c r="B428" s="996" t="s">
        <v>1430</v>
      </c>
      <c r="C428" s="1043" t="s">
        <v>1431</v>
      </c>
      <c r="D428" s="1046"/>
      <c r="E428" s="1043" t="s">
        <v>570</v>
      </c>
      <c r="F428" s="1032">
        <f>VALUE(Data.Sard!G426)</f>
        <v>0.5212103522086009</v>
      </c>
      <c r="G428" s="844">
        <f>Data.Sard!J426</f>
        <v>10.985129543749048</v>
      </c>
      <c r="H428" s="1043">
        <v>2621499</v>
      </c>
      <c r="I428" s="264">
        <f>VALUE(Data.Sard!L426)</f>
        <v>0.36399999999999999</v>
      </c>
      <c r="J428" s="904"/>
      <c r="K428" s="595">
        <f t="shared" si="105"/>
        <v>28</v>
      </c>
      <c r="L428" s="591">
        <f t="shared" si="106"/>
        <v>58</v>
      </c>
      <c r="M428" s="591">
        <f t="shared" si="107"/>
        <v>571</v>
      </c>
      <c r="N428" s="591">
        <f t="shared" si="108"/>
        <v>193</v>
      </c>
      <c r="O428" s="591">
        <f t="shared" si="109"/>
        <v>419</v>
      </c>
      <c r="P428" s="315">
        <f t="shared" si="111"/>
        <v>81</v>
      </c>
      <c r="Q428" s="315">
        <f t="shared" si="112"/>
        <v>152</v>
      </c>
      <c r="R428" s="315">
        <f t="shared" si="113"/>
        <v>562</v>
      </c>
      <c r="S428" s="315">
        <f t="shared" si="114"/>
        <v>90</v>
      </c>
      <c r="T428" s="315">
        <f t="shared" si="115"/>
        <v>403</v>
      </c>
      <c r="U428" s="315">
        <f t="shared" si="116"/>
        <v>1288</v>
      </c>
      <c r="V428" s="591">
        <f t="shared" si="110"/>
        <v>359</v>
      </c>
      <c r="W428" s="598">
        <f t="shared" si="117"/>
        <v>359</v>
      </c>
    </row>
    <row r="429" spans="2:23" ht="15">
      <c r="B429" s="1043" t="s">
        <v>1432</v>
      </c>
      <c r="C429" s="1043" t="s">
        <v>1433</v>
      </c>
      <c r="D429" s="1046"/>
      <c r="E429" s="1043" t="s">
        <v>532</v>
      </c>
      <c r="F429" s="1032">
        <f>VALUE(Data.Sard!G427)</f>
        <v>3.6378586902899156E-2</v>
      </c>
      <c r="G429" s="844">
        <f>Data.Sard!J427</f>
        <v>-12.609313168151496</v>
      </c>
      <c r="H429" s="1043">
        <v>1666122617</v>
      </c>
      <c r="I429" s="264">
        <f>VALUE(Data.Sard!L427)</f>
        <v>0.625</v>
      </c>
      <c r="J429" s="904">
        <f>Data.Sard!N427</f>
        <v>6.2288166009573341E-2</v>
      </c>
      <c r="K429" s="595">
        <f t="shared" si="105"/>
        <v>356</v>
      </c>
      <c r="L429" s="591">
        <f t="shared" si="106"/>
        <v>571</v>
      </c>
      <c r="M429" s="591">
        <f t="shared" si="107"/>
        <v>45</v>
      </c>
      <c r="N429" s="591">
        <f t="shared" si="108"/>
        <v>153</v>
      </c>
      <c r="O429" s="591">
        <f t="shared" si="109"/>
        <v>238</v>
      </c>
      <c r="P429" s="315">
        <f t="shared" si="111"/>
        <v>247</v>
      </c>
      <c r="Q429" s="315">
        <f t="shared" si="112"/>
        <v>361</v>
      </c>
      <c r="R429" s="315">
        <f t="shared" si="113"/>
        <v>36</v>
      </c>
      <c r="S429" s="315">
        <f t="shared" si="114"/>
        <v>50</v>
      </c>
      <c r="T429" s="315">
        <f t="shared" si="115"/>
        <v>222</v>
      </c>
      <c r="U429" s="315">
        <f t="shared" si="116"/>
        <v>916</v>
      </c>
      <c r="V429" s="591">
        <f t="shared" si="110"/>
        <v>190</v>
      </c>
      <c r="W429" s="598">
        <f t="shared" si="117"/>
        <v>190</v>
      </c>
    </row>
    <row r="430" spans="2:23" ht="15">
      <c r="B430" s="1043" t="s">
        <v>1434</v>
      </c>
      <c r="C430" s="1043" t="s">
        <v>1435</v>
      </c>
      <c r="D430" s="1046"/>
      <c r="E430" s="1043" t="s">
        <v>584</v>
      </c>
      <c r="F430" s="1032">
        <f>VALUE(Data.Sard!G428)</f>
        <v>-7.3205781231747327E-2</v>
      </c>
      <c r="G430" s="844">
        <f>Data.Sard!J428</f>
        <v>-84.372881305306962</v>
      </c>
      <c r="H430" s="1043">
        <v>47032844</v>
      </c>
      <c r="I430" s="264"/>
      <c r="J430" s="904">
        <f>Data.Sard!N428</f>
        <v>-2.8266631860153494E-2</v>
      </c>
      <c r="K430" s="595">
        <f t="shared" si="105"/>
        <v>504</v>
      </c>
      <c r="L430" s="591">
        <f t="shared" si="106"/>
        <v>596</v>
      </c>
      <c r="M430" s="591">
        <f t="shared" si="107"/>
        <v>302</v>
      </c>
      <c r="N430" s="591">
        <f t="shared" si="108"/>
        <v>285</v>
      </c>
      <c r="O430" s="591">
        <f t="shared" si="109"/>
        <v>459</v>
      </c>
      <c r="P430" s="315">
        <f t="shared" si="111"/>
        <v>395</v>
      </c>
      <c r="Q430" s="315">
        <f t="shared" si="112"/>
        <v>386</v>
      </c>
      <c r="R430" s="315">
        <f t="shared" si="113"/>
        <v>293</v>
      </c>
      <c r="S430" s="315">
        <f t="shared" si="114"/>
        <v>182</v>
      </c>
      <c r="T430" s="315">
        <f t="shared" si="115"/>
        <v>443</v>
      </c>
      <c r="U430" s="315">
        <f t="shared" si="116"/>
        <v>1699</v>
      </c>
      <c r="V430" s="591">
        <f t="shared" si="110"/>
        <v>587</v>
      </c>
      <c r="W430" s="598">
        <f t="shared" si="117"/>
        <v>587</v>
      </c>
    </row>
    <row r="431" spans="2:23" ht="15">
      <c r="B431" s="1043" t="s">
        <v>1436</v>
      </c>
      <c r="C431" s="1043" t="s">
        <v>1437</v>
      </c>
      <c r="D431" s="1046"/>
      <c r="E431" s="1043" t="s">
        <v>611</v>
      </c>
      <c r="F431" s="1032">
        <f>VALUE(Data.Sard!G429)</f>
        <v>4.9049801720042856E-2</v>
      </c>
      <c r="G431" s="844">
        <f>Data.Sard!J429</f>
        <v>-8.6539922969480446E-2</v>
      </c>
      <c r="H431" s="1043">
        <v>498310579</v>
      </c>
      <c r="I431" s="264">
        <f>VALUE(Data.Sard!L429)</f>
        <v>0.63800000000000001</v>
      </c>
      <c r="J431" s="904">
        <f>Data.Sard!N429</f>
        <v>-7.5941383592973853E-4</v>
      </c>
      <c r="K431" s="595">
        <f t="shared" si="105"/>
        <v>334</v>
      </c>
      <c r="L431" s="591">
        <f t="shared" si="106"/>
        <v>449</v>
      </c>
      <c r="M431" s="591">
        <f t="shared" si="107"/>
        <v>98</v>
      </c>
      <c r="N431" s="591">
        <f t="shared" si="108"/>
        <v>151</v>
      </c>
      <c r="O431" s="591">
        <f t="shared" si="109"/>
        <v>428</v>
      </c>
      <c r="P431" s="315">
        <f t="shared" si="111"/>
        <v>225</v>
      </c>
      <c r="Q431" s="315">
        <f t="shared" si="112"/>
        <v>239</v>
      </c>
      <c r="R431" s="315">
        <f t="shared" si="113"/>
        <v>89</v>
      </c>
      <c r="S431" s="315">
        <f t="shared" si="114"/>
        <v>48</v>
      </c>
      <c r="T431" s="315">
        <f t="shared" si="115"/>
        <v>412</v>
      </c>
      <c r="U431" s="315">
        <f t="shared" si="116"/>
        <v>1013</v>
      </c>
      <c r="V431" s="591">
        <f t="shared" si="110"/>
        <v>244</v>
      </c>
      <c r="W431" s="598">
        <f t="shared" si="117"/>
        <v>244</v>
      </c>
    </row>
    <row r="432" spans="2:23" ht="15">
      <c r="B432" s="996" t="s">
        <v>1438</v>
      </c>
      <c r="C432" s="1043" t="s">
        <v>1439</v>
      </c>
      <c r="D432" s="1046"/>
      <c r="E432" s="1043" t="s">
        <v>736</v>
      </c>
      <c r="F432" s="1032">
        <f>VALUE(Data.Sard!G430)</f>
        <v>-0.12785122779313912</v>
      </c>
      <c r="G432" s="844">
        <f>Data.Sard!J430</f>
        <v>8.1852754064447346</v>
      </c>
      <c r="H432" s="1043">
        <v>42218801</v>
      </c>
      <c r="I432" s="264">
        <f>VALUE(Data.Sard!L430)</f>
        <v>2.1040000000000001</v>
      </c>
      <c r="J432" s="904">
        <f>Data.Sard!N430</f>
        <v>-0.60208513901949812</v>
      </c>
      <c r="K432" s="595">
        <f t="shared" si="105"/>
        <v>527</v>
      </c>
      <c r="L432" s="591">
        <f t="shared" si="106"/>
        <v>77</v>
      </c>
      <c r="M432" s="591">
        <f t="shared" si="107"/>
        <v>311</v>
      </c>
      <c r="N432" s="591">
        <f t="shared" si="108"/>
        <v>47</v>
      </c>
      <c r="O432" s="591">
        <f t="shared" si="109"/>
        <v>565</v>
      </c>
      <c r="P432" s="315">
        <f t="shared" si="111"/>
        <v>418</v>
      </c>
      <c r="Q432" s="315">
        <f t="shared" si="112"/>
        <v>133</v>
      </c>
      <c r="R432" s="315">
        <f t="shared" si="113"/>
        <v>302</v>
      </c>
      <c r="S432" s="315">
        <f t="shared" si="114"/>
        <v>56</v>
      </c>
      <c r="T432" s="315">
        <f t="shared" si="115"/>
        <v>549</v>
      </c>
      <c r="U432" s="315">
        <f t="shared" si="116"/>
        <v>1458</v>
      </c>
      <c r="V432" s="591">
        <f t="shared" si="110"/>
        <v>440</v>
      </c>
      <c r="W432" s="598">
        <f t="shared" si="117"/>
        <v>440</v>
      </c>
    </row>
    <row r="433" spans="2:23" ht="15">
      <c r="B433" s="996" t="s">
        <v>1440</v>
      </c>
      <c r="C433" s="1043" t="s">
        <v>1441</v>
      </c>
      <c r="D433" s="1046"/>
      <c r="E433" s="1043" t="s">
        <v>696</v>
      </c>
      <c r="F433" s="1032">
        <f>VALUE(Data.Sard!G431)</f>
        <v>0.10347999324797506</v>
      </c>
      <c r="G433" s="844">
        <f>Data.Sard!J431</f>
        <v>3.0872663708484605</v>
      </c>
      <c r="H433" s="1043">
        <v>33900062</v>
      </c>
      <c r="I433" s="264">
        <f>VALUE(Data.Sard!L431)</f>
        <v>0.60299999999999998</v>
      </c>
      <c r="J433" s="904">
        <f>Data.Sard!N431</f>
        <v>9.9724155055437802E-2</v>
      </c>
      <c r="K433" s="595">
        <f t="shared" si="105"/>
        <v>226</v>
      </c>
      <c r="L433" s="591">
        <f t="shared" si="106"/>
        <v>180</v>
      </c>
      <c r="M433" s="591">
        <f t="shared" si="107"/>
        <v>334</v>
      </c>
      <c r="N433" s="591">
        <f t="shared" si="108"/>
        <v>158</v>
      </c>
      <c r="O433" s="591">
        <f t="shared" si="109"/>
        <v>159</v>
      </c>
      <c r="P433" s="315">
        <f t="shared" si="111"/>
        <v>117</v>
      </c>
      <c r="Q433" s="315">
        <f t="shared" si="112"/>
        <v>30</v>
      </c>
      <c r="R433" s="315">
        <f t="shared" si="113"/>
        <v>325</v>
      </c>
      <c r="S433" s="315">
        <f t="shared" si="114"/>
        <v>55</v>
      </c>
      <c r="T433" s="315">
        <f t="shared" si="115"/>
        <v>143</v>
      </c>
      <c r="U433" s="315">
        <f t="shared" si="116"/>
        <v>670</v>
      </c>
      <c r="V433" s="591">
        <f t="shared" si="110"/>
        <v>101</v>
      </c>
      <c r="W433" s="598">
        <f t="shared" si="117"/>
        <v>101</v>
      </c>
    </row>
    <row r="434" spans="2:23" ht="15">
      <c r="B434" s="996" t="s">
        <v>1442</v>
      </c>
      <c r="C434" s="1043" t="s">
        <v>1443</v>
      </c>
      <c r="D434" s="1046"/>
      <c r="E434" s="1043" t="s">
        <v>1444</v>
      </c>
      <c r="F434" s="1032">
        <f>VALUE(Data.Sard!G432)</f>
        <v>0.31033769813921436</v>
      </c>
      <c r="G434" s="844">
        <f>Data.Sard!J432</f>
        <v>0.48137177646479584</v>
      </c>
      <c r="H434" s="1043">
        <v>5251253794</v>
      </c>
      <c r="I434" s="264">
        <f>VALUE(Data.Sard!L432)</f>
        <v>-2.7930000000000001</v>
      </c>
      <c r="J434" s="904">
        <f>Data.Sard!N432</f>
        <v>0.20196067781881383</v>
      </c>
      <c r="K434" s="595">
        <f t="shared" si="105"/>
        <v>52</v>
      </c>
      <c r="L434" s="591">
        <f t="shared" si="106"/>
        <v>330</v>
      </c>
      <c r="M434" s="591">
        <f t="shared" si="107"/>
        <v>23</v>
      </c>
      <c r="N434" s="591">
        <f t="shared" si="108"/>
        <v>495</v>
      </c>
      <c r="O434" s="591">
        <f t="shared" si="109"/>
        <v>47</v>
      </c>
      <c r="P434" s="315">
        <f t="shared" si="111"/>
        <v>57</v>
      </c>
      <c r="Q434" s="315">
        <f t="shared" si="112"/>
        <v>120</v>
      </c>
      <c r="R434" s="315">
        <f t="shared" si="113"/>
        <v>14</v>
      </c>
      <c r="S434" s="315">
        <f t="shared" si="114"/>
        <v>392</v>
      </c>
      <c r="T434" s="315">
        <f t="shared" si="115"/>
        <v>31</v>
      </c>
      <c r="U434" s="315">
        <f t="shared" si="116"/>
        <v>614</v>
      </c>
      <c r="V434" s="591">
        <f t="shared" si="110"/>
        <v>78</v>
      </c>
      <c r="W434" s="598">
        <f t="shared" si="117"/>
        <v>78</v>
      </c>
    </row>
    <row r="435" spans="2:23" ht="15">
      <c r="B435" s="996" t="s">
        <v>1445</v>
      </c>
      <c r="C435" s="1043" t="s">
        <v>1446</v>
      </c>
      <c r="D435" s="1046"/>
      <c r="E435" s="1043" t="s">
        <v>1389</v>
      </c>
      <c r="F435" s="1032">
        <f>VALUE(Data.Sard!G433)</f>
        <v>8.5537305791458837E-2</v>
      </c>
      <c r="G435" s="844">
        <f>Data.Sard!J433</f>
        <v>2.5118680650647094</v>
      </c>
      <c r="H435" s="1043">
        <v>240681988</v>
      </c>
      <c r="I435" s="264">
        <f>VALUE(Data.Sard!L433)</f>
        <v>-0.27500000000000002</v>
      </c>
      <c r="J435" s="904">
        <f>Data.Sard!N433</f>
        <v>4.3359441217572348E-2</v>
      </c>
      <c r="K435" s="595">
        <f t="shared" si="105"/>
        <v>257</v>
      </c>
      <c r="L435" s="591">
        <f t="shared" si="106"/>
        <v>205</v>
      </c>
      <c r="M435" s="591">
        <f t="shared" si="107"/>
        <v>159</v>
      </c>
      <c r="N435" s="591">
        <f t="shared" si="108"/>
        <v>353</v>
      </c>
      <c r="O435" s="591">
        <f t="shared" si="109"/>
        <v>298</v>
      </c>
      <c r="P435" s="315">
        <f t="shared" si="111"/>
        <v>148</v>
      </c>
      <c r="Q435" s="315">
        <f t="shared" si="112"/>
        <v>5</v>
      </c>
      <c r="R435" s="315">
        <f t="shared" si="113"/>
        <v>150</v>
      </c>
      <c r="S435" s="315">
        <f t="shared" si="114"/>
        <v>250</v>
      </c>
      <c r="T435" s="315">
        <f t="shared" si="115"/>
        <v>282</v>
      </c>
      <c r="U435" s="315">
        <f t="shared" si="116"/>
        <v>835</v>
      </c>
      <c r="V435" s="591">
        <f t="shared" si="110"/>
        <v>161</v>
      </c>
      <c r="W435" s="598">
        <f t="shared" si="117"/>
        <v>161</v>
      </c>
    </row>
    <row r="436" spans="2:23" ht="15">
      <c r="B436" s="1043" t="s">
        <v>1447</v>
      </c>
      <c r="C436" s="1043" t="s">
        <v>1448</v>
      </c>
      <c r="D436" s="1046"/>
      <c r="E436" s="1043" t="s">
        <v>903</v>
      </c>
      <c r="F436" s="1032">
        <f>VALUE(Data.Sard!G434)</f>
        <v>0.13823725696309019</v>
      </c>
      <c r="G436" s="844">
        <f>Data.Sard!J434</f>
        <v>290.01265705231236</v>
      </c>
      <c r="H436" s="1043">
        <v>17972084</v>
      </c>
      <c r="I436" s="264">
        <f>VALUE(Data.Sard!L434)</f>
        <v>-5.601</v>
      </c>
      <c r="J436" s="904">
        <f>Data.Sard!N434</f>
        <v>5.3666182763764121E-2</v>
      </c>
      <c r="K436" s="595">
        <f t="shared" si="105"/>
        <v>173</v>
      </c>
      <c r="L436" s="591">
        <f t="shared" si="106"/>
        <v>1</v>
      </c>
      <c r="M436" s="591">
        <f t="shared" si="107"/>
        <v>413</v>
      </c>
      <c r="N436" s="591">
        <f t="shared" si="108"/>
        <v>522</v>
      </c>
      <c r="O436" s="591">
        <f t="shared" si="109"/>
        <v>268</v>
      </c>
      <c r="P436" s="315">
        <f t="shared" si="111"/>
        <v>64</v>
      </c>
      <c r="Q436" s="315">
        <f t="shared" si="112"/>
        <v>209</v>
      </c>
      <c r="R436" s="315">
        <f t="shared" si="113"/>
        <v>404</v>
      </c>
      <c r="S436" s="315">
        <f t="shared" si="114"/>
        <v>419</v>
      </c>
      <c r="T436" s="315">
        <f t="shared" si="115"/>
        <v>252</v>
      </c>
      <c r="U436" s="315">
        <f t="shared" si="116"/>
        <v>1348</v>
      </c>
      <c r="V436" s="591">
        <f t="shared" si="110"/>
        <v>386</v>
      </c>
      <c r="W436" s="598">
        <f t="shared" si="117"/>
        <v>386</v>
      </c>
    </row>
    <row r="437" spans="2:23" ht="15">
      <c r="B437" s="996" t="s">
        <v>1449</v>
      </c>
      <c r="C437" s="1043" t="s">
        <v>1450</v>
      </c>
      <c r="D437" s="1046"/>
      <c r="E437" s="1043" t="s">
        <v>736</v>
      </c>
      <c r="F437" s="1032">
        <f>VALUE(Data.Sard!G435)</f>
        <v>2.3105287771253084E-2</v>
      </c>
      <c r="G437" s="844">
        <f>Data.Sard!J435</f>
        <v>6.3989981043648498</v>
      </c>
      <c r="H437" s="1043">
        <v>498239286</v>
      </c>
      <c r="I437" s="264">
        <f>VALUE(Data.Sard!L435)</f>
        <v>-0.17399999999999999</v>
      </c>
      <c r="J437" s="904">
        <f>Data.Sard!N435</f>
        <v>1.8042179851585865E-3</v>
      </c>
      <c r="K437" s="595">
        <f t="shared" si="105"/>
        <v>389</v>
      </c>
      <c r="L437" s="591">
        <f t="shared" si="106"/>
        <v>98</v>
      </c>
      <c r="M437" s="591">
        <f t="shared" si="107"/>
        <v>99</v>
      </c>
      <c r="N437" s="591">
        <f t="shared" si="108"/>
        <v>336</v>
      </c>
      <c r="O437" s="591">
        <f t="shared" si="109"/>
        <v>417</v>
      </c>
      <c r="P437" s="315">
        <f t="shared" si="111"/>
        <v>280</v>
      </c>
      <c r="Q437" s="315">
        <f t="shared" si="112"/>
        <v>112</v>
      </c>
      <c r="R437" s="315">
        <f t="shared" si="113"/>
        <v>90</v>
      </c>
      <c r="S437" s="315">
        <f t="shared" si="114"/>
        <v>233</v>
      </c>
      <c r="T437" s="315">
        <f t="shared" si="115"/>
        <v>401</v>
      </c>
      <c r="U437" s="315">
        <f t="shared" si="116"/>
        <v>1116</v>
      </c>
      <c r="V437" s="591">
        <f t="shared" si="110"/>
        <v>279</v>
      </c>
      <c r="W437" s="598">
        <f t="shared" si="117"/>
        <v>279</v>
      </c>
    </row>
    <row r="438" spans="2:23" ht="15">
      <c r="B438" s="996" t="s">
        <v>1451</v>
      </c>
      <c r="C438" s="1043" t="s">
        <v>1452</v>
      </c>
      <c r="D438" s="1046"/>
      <c r="E438" s="1043" t="s">
        <v>736</v>
      </c>
      <c r="F438" s="1032">
        <f>VALUE(Data.Sard!G436)</f>
        <v>8.3698589953939348E-2</v>
      </c>
      <c r="G438" s="844">
        <f>Data.Sard!J436</f>
        <v>0.10631530645776992</v>
      </c>
      <c r="H438" s="1043">
        <v>985681917</v>
      </c>
      <c r="I438" s="264">
        <f>VALUE(Data.Sard!L436)</f>
        <v>0.27800000000000002</v>
      </c>
      <c r="J438" s="904">
        <f>Data.Sard!N436</f>
        <v>5.8029774507152472E-2</v>
      </c>
      <c r="K438" s="595">
        <f t="shared" si="105"/>
        <v>262</v>
      </c>
      <c r="L438" s="591">
        <f t="shared" si="106"/>
        <v>373</v>
      </c>
      <c r="M438" s="591">
        <f t="shared" si="107"/>
        <v>63</v>
      </c>
      <c r="N438" s="591">
        <f t="shared" si="108"/>
        <v>217</v>
      </c>
      <c r="O438" s="591">
        <f t="shared" si="109"/>
        <v>249</v>
      </c>
      <c r="P438" s="315">
        <f t="shared" si="111"/>
        <v>153</v>
      </c>
      <c r="Q438" s="315">
        <f t="shared" si="112"/>
        <v>163</v>
      </c>
      <c r="R438" s="315">
        <f t="shared" si="113"/>
        <v>54</v>
      </c>
      <c r="S438" s="315">
        <f t="shared" si="114"/>
        <v>114</v>
      </c>
      <c r="T438" s="315">
        <f t="shared" si="115"/>
        <v>233</v>
      </c>
      <c r="U438" s="315">
        <f t="shared" si="116"/>
        <v>717</v>
      </c>
      <c r="V438" s="591">
        <f t="shared" si="110"/>
        <v>121</v>
      </c>
      <c r="W438" s="598">
        <f t="shared" si="117"/>
        <v>121</v>
      </c>
    </row>
    <row r="439" spans="2:23" ht="15">
      <c r="B439" s="1043" t="s">
        <v>1453</v>
      </c>
      <c r="C439" s="1043" t="s">
        <v>1454</v>
      </c>
      <c r="D439" s="1046"/>
      <c r="E439" s="1043" t="s">
        <v>706</v>
      </c>
      <c r="F439" s="1032">
        <f>VALUE(Data.Sard!G437)</f>
        <v>7.312979046340605E-2</v>
      </c>
      <c r="G439" s="844">
        <f>Data.Sard!J437</f>
        <v>-2.3335110185119574</v>
      </c>
      <c r="H439" s="1043">
        <v>36685730</v>
      </c>
      <c r="I439" s="264">
        <f>VALUE(Data.Sard!L437)</f>
        <v>5.5140000000000002</v>
      </c>
      <c r="J439" s="904">
        <f>Data.Sard!N437</f>
        <v>7.7863212568025475E-2</v>
      </c>
      <c r="K439" s="595">
        <f t="shared" si="105"/>
        <v>281</v>
      </c>
      <c r="L439" s="591">
        <f t="shared" si="106"/>
        <v>514</v>
      </c>
      <c r="M439" s="591">
        <f t="shared" si="107"/>
        <v>329</v>
      </c>
      <c r="N439" s="591">
        <f t="shared" si="108"/>
        <v>21</v>
      </c>
      <c r="O439" s="591">
        <f t="shared" si="109"/>
        <v>198</v>
      </c>
      <c r="P439" s="315">
        <f t="shared" si="111"/>
        <v>172</v>
      </c>
      <c r="Q439" s="315">
        <f t="shared" si="112"/>
        <v>304</v>
      </c>
      <c r="R439" s="315">
        <f t="shared" si="113"/>
        <v>320</v>
      </c>
      <c r="S439" s="315">
        <f t="shared" si="114"/>
        <v>82</v>
      </c>
      <c r="T439" s="315">
        <f t="shared" si="115"/>
        <v>182</v>
      </c>
      <c r="U439" s="315">
        <f t="shared" si="116"/>
        <v>1060</v>
      </c>
      <c r="V439" s="591">
        <f t="shared" si="110"/>
        <v>262</v>
      </c>
      <c r="W439" s="598">
        <f t="shared" si="117"/>
        <v>262</v>
      </c>
    </row>
    <row r="440" spans="2:23" ht="15">
      <c r="B440" s="1043" t="s">
        <v>1455</v>
      </c>
      <c r="C440" s="1043" t="s">
        <v>1456</v>
      </c>
      <c r="D440" s="1046"/>
      <c r="E440" s="1043" t="s">
        <v>706</v>
      </c>
      <c r="F440" s="1032">
        <f>VALUE(Data.Sard!G438)</f>
        <v>-0.21697796938509328</v>
      </c>
      <c r="G440" s="844">
        <f>Data.Sard!J438</f>
        <v>3.4086304819529496</v>
      </c>
      <c r="H440" s="1043">
        <v>29434338</v>
      </c>
      <c r="I440" s="264">
        <f>VALUE(Data.Sard!L438)</f>
        <v>-2.9089999999999998</v>
      </c>
      <c r="J440" s="904">
        <f>Data.Sard!N438</f>
        <v>-0.72641464010365975</v>
      </c>
      <c r="K440" s="595">
        <f t="shared" si="105"/>
        <v>549</v>
      </c>
      <c r="L440" s="591">
        <f t="shared" si="106"/>
        <v>164</v>
      </c>
      <c r="M440" s="591">
        <f t="shared" si="107"/>
        <v>344</v>
      </c>
      <c r="N440" s="591">
        <f t="shared" si="108"/>
        <v>498</v>
      </c>
      <c r="O440" s="591">
        <f t="shared" si="109"/>
        <v>572</v>
      </c>
      <c r="P440" s="315">
        <f t="shared" si="111"/>
        <v>440</v>
      </c>
      <c r="Q440" s="315">
        <f t="shared" si="112"/>
        <v>46</v>
      </c>
      <c r="R440" s="315">
        <f t="shared" si="113"/>
        <v>335</v>
      </c>
      <c r="S440" s="315">
        <f t="shared" si="114"/>
        <v>395</v>
      </c>
      <c r="T440" s="315">
        <f t="shared" si="115"/>
        <v>556</v>
      </c>
      <c r="U440" s="315">
        <f t="shared" si="116"/>
        <v>1772</v>
      </c>
      <c r="V440" s="591">
        <f t="shared" si="110"/>
        <v>626</v>
      </c>
      <c r="W440" s="598">
        <f t="shared" si="117"/>
        <v>626</v>
      </c>
    </row>
    <row r="441" spans="2:23" ht="15">
      <c r="B441" s="1043" t="s">
        <v>1457</v>
      </c>
      <c r="C441" s="1043" t="s">
        <v>1458</v>
      </c>
      <c r="D441" s="1046"/>
      <c r="E441" s="1043" t="s">
        <v>603</v>
      </c>
      <c r="F441" s="1032">
        <f>VALUE(Data.Sard!G439)</f>
        <v>5.8931477473591766E-2</v>
      </c>
      <c r="G441" s="844">
        <f>Data.Sard!J439</f>
        <v>3.0568351779838467</v>
      </c>
      <c r="H441" s="1043">
        <v>261917802</v>
      </c>
      <c r="I441" s="264">
        <f>VALUE(Data.Sard!L439)</f>
        <v>-0.218</v>
      </c>
      <c r="J441" s="904">
        <f>Data.Sard!N439</f>
        <v>6.6268397793186745E-2</v>
      </c>
      <c r="K441" s="595">
        <f t="shared" si="105"/>
        <v>306</v>
      </c>
      <c r="L441" s="591">
        <f t="shared" si="106"/>
        <v>181</v>
      </c>
      <c r="M441" s="591">
        <f t="shared" si="107"/>
        <v>148</v>
      </c>
      <c r="N441" s="591">
        <f t="shared" si="108"/>
        <v>344</v>
      </c>
      <c r="O441" s="591">
        <f t="shared" si="109"/>
        <v>224</v>
      </c>
      <c r="P441" s="315">
        <f t="shared" si="111"/>
        <v>197</v>
      </c>
      <c r="Q441" s="315">
        <f t="shared" si="112"/>
        <v>29</v>
      </c>
      <c r="R441" s="315">
        <f t="shared" si="113"/>
        <v>139</v>
      </c>
      <c r="S441" s="315">
        <f t="shared" si="114"/>
        <v>241</v>
      </c>
      <c r="T441" s="315">
        <f t="shared" si="115"/>
        <v>208</v>
      </c>
      <c r="U441" s="315">
        <f t="shared" si="116"/>
        <v>814</v>
      </c>
      <c r="V441" s="591">
        <f t="shared" si="110"/>
        <v>152</v>
      </c>
      <c r="W441" s="598">
        <f t="shared" si="117"/>
        <v>152</v>
      </c>
    </row>
    <row r="442" spans="2:23" ht="15">
      <c r="B442" s="1043" t="s">
        <v>1459</v>
      </c>
      <c r="C442" s="1043" t="s">
        <v>1460</v>
      </c>
      <c r="D442" s="1046"/>
      <c r="E442" s="1043" t="s">
        <v>570</v>
      </c>
      <c r="F442" s="1032">
        <f>VALUE(Data.Sard!G440)</f>
        <v>0.12197028928850664</v>
      </c>
      <c r="G442" s="844">
        <f>Data.Sard!J440</f>
        <v>1.9859026139990612</v>
      </c>
      <c r="H442" s="1043">
        <v>8780524858</v>
      </c>
      <c r="I442" s="264">
        <f>VALUE(Data.Sard!L440)</f>
        <v>2.7829999999999999</v>
      </c>
      <c r="J442" s="904">
        <f>Data.Sard!N440</f>
        <v>5.4102605599611588E-2</v>
      </c>
      <c r="K442" s="595">
        <f t="shared" si="105"/>
        <v>193</v>
      </c>
      <c r="L442" s="591">
        <f t="shared" si="106"/>
        <v>244</v>
      </c>
      <c r="M442" s="591">
        <f t="shared" si="107"/>
        <v>16</v>
      </c>
      <c r="N442" s="591">
        <f t="shared" si="108"/>
        <v>35</v>
      </c>
      <c r="O442" s="591">
        <f t="shared" si="109"/>
        <v>267</v>
      </c>
      <c r="P442" s="315">
        <f t="shared" si="111"/>
        <v>84</v>
      </c>
      <c r="Q442" s="315">
        <f t="shared" si="112"/>
        <v>34</v>
      </c>
      <c r="R442" s="315">
        <f t="shared" si="113"/>
        <v>7</v>
      </c>
      <c r="S442" s="315">
        <f t="shared" si="114"/>
        <v>68</v>
      </c>
      <c r="T442" s="315">
        <f t="shared" si="115"/>
        <v>251</v>
      </c>
      <c r="U442" s="315">
        <f t="shared" si="116"/>
        <v>444</v>
      </c>
      <c r="V442" s="591">
        <f t="shared" si="110"/>
        <v>24</v>
      </c>
      <c r="W442" s="598">
        <f t="shared" si="117"/>
        <v>24</v>
      </c>
    </row>
    <row r="443" spans="2:23" ht="15">
      <c r="B443" s="996" t="s">
        <v>1461</v>
      </c>
      <c r="C443" s="1043" t="s">
        <v>1462</v>
      </c>
      <c r="D443" s="1046"/>
      <c r="E443" s="1043" t="s">
        <v>736</v>
      </c>
      <c r="F443" s="1032">
        <f>VALUE(Data.Sard!G441)</f>
        <v>7.926876642253694E-2</v>
      </c>
      <c r="G443" s="844">
        <f>Data.Sard!J441</f>
        <v>-3.1348825848377091</v>
      </c>
      <c r="H443" s="1043">
        <v>321946329</v>
      </c>
      <c r="I443" s="264">
        <f>VALUE(Data.Sard!L441)</f>
        <v>-1.093</v>
      </c>
      <c r="J443" s="904">
        <f>Data.Sard!N441</f>
        <v>0.13000097590915766</v>
      </c>
      <c r="K443" s="595">
        <f t="shared" si="105"/>
        <v>268</v>
      </c>
      <c r="L443" s="591">
        <f t="shared" si="106"/>
        <v>521</v>
      </c>
      <c r="M443" s="591">
        <f t="shared" si="107"/>
        <v>129</v>
      </c>
      <c r="N443" s="591">
        <f t="shared" si="108"/>
        <v>440</v>
      </c>
      <c r="O443" s="591">
        <f t="shared" si="109"/>
        <v>109</v>
      </c>
      <c r="P443" s="315">
        <f t="shared" si="111"/>
        <v>159</v>
      </c>
      <c r="Q443" s="315">
        <f t="shared" si="112"/>
        <v>311</v>
      </c>
      <c r="R443" s="315">
        <f t="shared" si="113"/>
        <v>120</v>
      </c>
      <c r="S443" s="315">
        <f t="shared" si="114"/>
        <v>337</v>
      </c>
      <c r="T443" s="315">
        <f t="shared" si="115"/>
        <v>93</v>
      </c>
      <c r="U443" s="315">
        <f t="shared" si="116"/>
        <v>1020</v>
      </c>
      <c r="V443" s="591">
        <f t="shared" si="110"/>
        <v>249</v>
      </c>
      <c r="W443" s="598">
        <f t="shared" si="117"/>
        <v>249</v>
      </c>
    </row>
    <row r="444" spans="2:23" ht="15">
      <c r="B444" s="996" t="s">
        <v>1463</v>
      </c>
      <c r="C444" s="1043" t="s">
        <v>1464</v>
      </c>
      <c r="D444" s="1046"/>
      <c r="E444" s="1043" t="s">
        <v>603</v>
      </c>
      <c r="F444" s="1032">
        <f>VALUE(Data.Sard!G442)</f>
        <v>1.1503500640485029E-2</v>
      </c>
      <c r="G444" s="844">
        <f>Data.Sard!J442</f>
        <v>16.905977107881984</v>
      </c>
      <c r="H444" s="1043">
        <v>5287650</v>
      </c>
      <c r="I444" s="264">
        <f>VALUE(Data.Sard!L442)</f>
        <v>-0.89</v>
      </c>
      <c r="J444" s="904">
        <f>Data.Sard!N442</f>
        <v>-0.16350709634934429</v>
      </c>
      <c r="K444" s="595">
        <f t="shared" si="105"/>
        <v>418</v>
      </c>
      <c r="L444" s="591">
        <f t="shared" si="106"/>
        <v>34</v>
      </c>
      <c r="M444" s="591">
        <f t="shared" si="107"/>
        <v>520</v>
      </c>
      <c r="N444" s="591">
        <f t="shared" si="108"/>
        <v>428</v>
      </c>
      <c r="O444" s="591">
        <f t="shared" si="109"/>
        <v>526</v>
      </c>
      <c r="P444" s="315">
        <f t="shared" si="111"/>
        <v>309</v>
      </c>
      <c r="Q444" s="315">
        <f t="shared" si="112"/>
        <v>176</v>
      </c>
      <c r="R444" s="315">
        <f t="shared" si="113"/>
        <v>511</v>
      </c>
      <c r="S444" s="315">
        <f t="shared" si="114"/>
        <v>325</v>
      </c>
      <c r="T444" s="315">
        <f t="shared" si="115"/>
        <v>510</v>
      </c>
      <c r="U444" s="315">
        <f t="shared" si="116"/>
        <v>1831</v>
      </c>
      <c r="V444" s="591">
        <f t="shared" si="110"/>
        <v>655</v>
      </c>
      <c r="W444" s="598">
        <f t="shared" si="117"/>
        <v>655</v>
      </c>
    </row>
    <row r="445" spans="2:23" ht="15">
      <c r="B445" s="1043" t="s">
        <v>1465</v>
      </c>
      <c r="C445" s="1043" t="s">
        <v>1466</v>
      </c>
      <c r="D445" s="1046"/>
      <c r="E445" s="1043" t="s">
        <v>603</v>
      </c>
      <c r="F445" s="1032">
        <f>VALUE(Data.Sard!G443)</f>
        <v>-5.5059543980394268E-2</v>
      </c>
      <c r="G445" s="844">
        <f>Data.Sard!J443</f>
        <v>-8.7004958087836126</v>
      </c>
      <c r="H445" s="1043">
        <v>302043555</v>
      </c>
      <c r="I445" s="264">
        <f>VALUE(Data.Sard!L443)</f>
        <v>-0.39700000000000002</v>
      </c>
      <c r="J445" s="904">
        <f>Data.Sard!N443</f>
        <v>8.9380752851449391E-2</v>
      </c>
      <c r="K445" s="595">
        <f t="shared" si="105"/>
        <v>493</v>
      </c>
      <c r="L445" s="591">
        <f t="shared" si="106"/>
        <v>559</v>
      </c>
      <c r="M445" s="591">
        <f t="shared" si="107"/>
        <v>135</v>
      </c>
      <c r="N445" s="591">
        <f t="shared" si="108"/>
        <v>371</v>
      </c>
      <c r="O445" s="591">
        <f t="shared" si="109"/>
        <v>177</v>
      </c>
      <c r="P445" s="315">
        <f t="shared" si="111"/>
        <v>384</v>
      </c>
      <c r="Q445" s="315">
        <f t="shared" si="112"/>
        <v>349</v>
      </c>
      <c r="R445" s="315">
        <f t="shared" si="113"/>
        <v>126</v>
      </c>
      <c r="S445" s="315">
        <f t="shared" si="114"/>
        <v>268</v>
      </c>
      <c r="T445" s="315">
        <f t="shared" si="115"/>
        <v>161</v>
      </c>
      <c r="U445" s="315">
        <f t="shared" si="116"/>
        <v>1288</v>
      </c>
      <c r="V445" s="591">
        <f t="shared" si="110"/>
        <v>359</v>
      </c>
      <c r="W445" s="598">
        <f t="shared" si="117"/>
        <v>359</v>
      </c>
    </row>
    <row r="446" spans="2:23" ht="15">
      <c r="B446" s="996" t="s">
        <v>1467</v>
      </c>
      <c r="C446" s="1043" t="s">
        <v>1468</v>
      </c>
      <c r="D446" s="1046"/>
      <c r="E446" s="1043" t="s">
        <v>736</v>
      </c>
      <c r="F446" s="1032">
        <f>VALUE(Data.Sard!G444)</f>
        <v>-8.1900013942008229E-2</v>
      </c>
      <c r="G446" s="844">
        <f>Data.Sard!J444</f>
        <v>49.607266649079079</v>
      </c>
      <c r="H446" s="1043">
        <v>122936424</v>
      </c>
      <c r="I446" s="264">
        <f>VALUE(Data.Sard!L444)</f>
        <v>-2.2440000000000002</v>
      </c>
      <c r="J446" s="904">
        <f>Data.Sard!N444</f>
        <v>-6.6361638770655471E-2</v>
      </c>
      <c r="K446" s="595">
        <f t="shared" si="105"/>
        <v>513</v>
      </c>
      <c r="L446" s="591">
        <f t="shared" si="106"/>
        <v>10</v>
      </c>
      <c r="M446" s="591">
        <f t="shared" si="107"/>
        <v>211</v>
      </c>
      <c r="N446" s="591">
        <f t="shared" si="108"/>
        <v>488</v>
      </c>
      <c r="O446" s="591">
        <f t="shared" si="109"/>
        <v>486</v>
      </c>
      <c r="P446" s="315">
        <f t="shared" si="111"/>
        <v>404</v>
      </c>
      <c r="Q446" s="315">
        <f t="shared" si="112"/>
        <v>200</v>
      </c>
      <c r="R446" s="315">
        <f t="shared" si="113"/>
        <v>202</v>
      </c>
      <c r="S446" s="315">
        <f t="shared" si="114"/>
        <v>385</v>
      </c>
      <c r="T446" s="315">
        <f t="shared" si="115"/>
        <v>470</v>
      </c>
      <c r="U446" s="315">
        <f t="shared" si="116"/>
        <v>1661</v>
      </c>
      <c r="V446" s="591">
        <f t="shared" si="110"/>
        <v>562</v>
      </c>
      <c r="W446" s="598">
        <f t="shared" si="117"/>
        <v>562</v>
      </c>
    </row>
    <row r="447" spans="2:23" ht="15">
      <c r="B447" s="996" t="s">
        <v>1469</v>
      </c>
      <c r="C447" s="1043" t="s">
        <v>1470</v>
      </c>
      <c r="D447" s="1046"/>
      <c r="E447" s="1043" t="s">
        <v>546</v>
      </c>
      <c r="F447" s="1032">
        <f>VALUE(Data.Sard!G445)</f>
        <v>-3.6009047004930773E-2</v>
      </c>
      <c r="G447" s="844">
        <f>Data.Sard!J445</f>
        <v>0.18153473464827355</v>
      </c>
      <c r="H447" s="1043">
        <v>20822089</v>
      </c>
      <c r="I447" s="264">
        <f>VALUE(Data.Sard!L445)</f>
        <v>0.26</v>
      </c>
      <c r="J447" s="904">
        <f>Data.Sard!N445</f>
        <v>6.8184230829593699E-3</v>
      </c>
      <c r="K447" s="595">
        <f t="shared" si="105"/>
        <v>478</v>
      </c>
      <c r="L447" s="591">
        <f t="shared" si="106"/>
        <v>368</v>
      </c>
      <c r="M447" s="591">
        <f t="shared" si="107"/>
        <v>388</v>
      </c>
      <c r="N447" s="591">
        <f t="shared" si="108"/>
        <v>221</v>
      </c>
      <c r="O447" s="591">
        <f t="shared" si="109"/>
        <v>403</v>
      </c>
      <c r="P447" s="315">
        <f t="shared" si="111"/>
        <v>369</v>
      </c>
      <c r="Q447" s="315">
        <f t="shared" si="112"/>
        <v>158</v>
      </c>
      <c r="R447" s="315">
        <f t="shared" si="113"/>
        <v>379</v>
      </c>
      <c r="S447" s="315">
        <f t="shared" si="114"/>
        <v>118</v>
      </c>
      <c r="T447" s="315">
        <f t="shared" si="115"/>
        <v>387</v>
      </c>
      <c r="U447" s="315">
        <f t="shared" si="116"/>
        <v>1411</v>
      </c>
      <c r="V447" s="591">
        <f t="shared" si="110"/>
        <v>417</v>
      </c>
      <c r="W447" s="598">
        <f t="shared" si="117"/>
        <v>417</v>
      </c>
    </row>
    <row r="448" spans="2:23" ht="15">
      <c r="B448" s="996" t="s">
        <v>1471</v>
      </c>
      <c r="C448" s="1043" t="s">
        <v>1472</v>
      </c>
      <c r="D448" s="1046"/>
      <c r="E448" s="1043" t="s">
        <v>546</v>
      </c>
      <c r="F448" s="1032">
        <f>VALUE(Data.Sard!G446)</f>
        <v>0.11394646884019713</v>
      </c>
      <c r="G448" s="844"/>
      <c r="H448" s="1043">
        <v>62846295</v>
      </c>
      <c r="I448" s="264">
        <f>VALUE(Data.Sard!L446)</f>
        <v>1.6479999999999999</v>
      </c>
      <c r="J448" s="904">
        <f>Data.Sard!N446</f>
        <v>0.14318532962620364</v>
      </c>
      <c r="K448" s="595">
        <f t="shared" si="105"/>
        <v>206</v>
      </c>
      <c r="L448" s="591">
        <f t="shared" si="106"/>
        <v>397</v>
      </c>
      <c r="M448" s="591">
        <f t="shared" si="107"/>
        <v>270</v>
      </c>
      <c r="N448" s="591">
        <f t="shared" si="108"/>
        <v>58</v>
      </c>
      <c r="O448" s="591">
        <f t="shared" si="109"/>
        <v>99</v>
      </c>
      <c r="P448" s="315">
        <f t="shared" si="111"/>
        <v>97</v>
      </c>
      <c r="Q448" s="315">
        <f t="shared" si="112"/>
        <v>187</v>
      </c>
      <c r="R448" s="315">
        <f t="shared" si="113"/>
        <v>261</v>
      </c>
      <c r="S448" s="315">
        <f t="shared" si="114"/>
        <v>45</v>
      </c>
      <c r="T448" s="315">
        <f t="shared" si="115"/>
        <v>83</v>
      </c>
      <c r="U448" s="315">
        <f t="shared" si="116"/>
        <v>673</v>
      </c>
      <c r="V448" s="591">
        <f t="shared" si="110"/>
        <v>102</v>
      </c>
      <c r="W448" s="598">
        <f t="shared" si="117"/>
        <v>102</v>
      </c>
    </row>
    <row r="449" spans="2:23" ht="15">
      <c r="B449" s="1043" t="s">
        <v>1473</v>
      </c>
      <c r="C449" s="1043" t="s">
        <v>1474</v>
      </c>
      <c r="D449" s="1046"/>
      <c r="E449" s="1043" t="s">
        <v>1286</v>
      </c>
      <c r="F449" s="1032"/>
      <c r="G449" s="844">
        <f>Data.Sard!J447</f>
        <v>-0.27109752976369017</v>
      </c>
      <c r="H449" s="1043">
        <v>4259568</v>
      </c>
      <c r="I449" s="264">
        <f>VALUE(Data.Sard!L447)</f>
        <v>-0.498</v>
      </c>
      <c r="J449" s="904"/>
      <c r="K449" s="595">
        <f t="shared" si="105"/>
        <v>442</v>
      </c>
      <c r="L449" s="591">
        <f t="shared" si="106"/>
        <v>460</v>
      </c>
      <c r="M449" s="591">
        <f t="shared" si="107"/>
        <v>539</v>
      </c>
      <c r="N449" s="591">
        <f t="shared" si="108"/>
        <v>387</v>
      </c>
      <c r="O449" s="591">
        <f t="shared" si="109"/>
        <v>419</v>
      </c>
      <c r="P449" s="315">
        <f t="shared" si="111"/>
        <v>333</v>
      </c>
      <c r="Q449" s="315">
        <f t="shared" si="112"/>
        <v>250</v>
      </c>
      <c r="R449" s="315">
        <f t="shared" si="113"/>
        <v>530</v>
      </c>
      <c r="S449" s="315">
        <f t="shared" si="114"/>
        <v>284</v>
      </c>
      <c r="T449" s="315">
        <f t="shared" si="115"/>
        <v>403</v>
      </c>
      <c r="U449" s="315">
        <f t="shared" si="116"/>
        <v>1800</v>
      </c>
      <c r="V449" s="591">
        <f t="shared" si="110"/>
        <v>645</v>
      </c>
      <c r="W449" s="598">
        <f t="shared" si="117"/>
        <v>645</v>
      </c>
    </row>
    <row r="450" spans="2:23" ht="15">
      <c r="B450" s="996" t="s">
        <v>1475</v>
      </c>
      <c r="C450" s="1043" t="s">
        <v>1476</v>
      </c>
      <c r="D450" s="1046"/>
      <c r="E450" s="1043" t="s">
        <v>603</v>
      </c>
      <c r="F450" s="1032">
        <f>VALUE(Data.Sard!G448)</f>
        <v>-3.0944353621338454E-2</v>
      </c>
      <c r="G450" s="844">
        <f>Data.Sard!J448</f>
        <v>3.5850933266979998</v>
      </c>
      <c r="H450" s="1043">
        <v>11193228</v>
      </c>
      <c r="I450" s="264"/>
      <c r="J450" s="904">
        <f>Data.Sard!N448</f>
        <v>-0.74342106479545145</v>
      </c>
      <c r="K450" s="595">
        <f t="shared" si="105"/>
        <v>472</v>
      </c>
      <c r="L450" s="591">
        <f t="shared" si="106"/>
        <v>160</v>
      </c>
      <c r="M450" s="591">
        <f t="shared" si="107"/>
        <v>460</v>
      </c>
      <c r="N450" s="591">
        <f t="shared" si="108"/>
        <v>285</v>
      </c>
      <c r="O450" s="591">
        <f t="shared" si="109"/>
        <v>573</v>
      </c>
      <c r="P450" s="315">
        <f t="shared" si="111"/>
        <v>363</v>
      </c>
      <c r="Q450" s="315">
        <f t="shared" si="112"/>
        <v>50</v>
      </c>
      <c r="R450" s="315">
        <f t="shared" si="113"/>
        <v>451</v>
      </c>
      <c r="S450" s="315">
        <f t="shared" si="114"/>
        <v>182</v>
      </c>
      <c r="T450" s="315">
        <f t="shared" si="115"/>
        <v>557</v>
      </c>
      <c r="U450" s="315">
        <f t="shared" si="116"/>
        <v>1603</v>
      </c>
      <c r="V450" s="591">
        <f t="shared" si="110"/>
        <v>531</v>
      </c>
      <c r="W450" s="598">
        <f t="shared" si="117"/>
        <v>531</v>
      </c>
    </row>
    <row r="451" spans="2:23" ht="15">
      <c r="B451" s="1043" t="s">
        <v>1477</v>
      </c>
      <c r="C451" s="1043" t="s">
        <v>1478</v>
      </c>
      <c r="D451" s="1046"/>
      <c r="E451" s="1043" t="s">
        <v>532</v>
      </c>
      <c r="F451" s="1032">
        <f>VALUE(Data.Sard!G449)</f>
        <v>0.28024337298648166</v>
      </c>
      <c r="G451" s="844">
        <f>Data.Sard!J449</f>
        <v>-4.3435482487235371</v>
      </c>
      <c r="H451" s="1043">
        <v>7121594699</v>
      </c>
      <c r="I451" s="264">
        <f>VALUE(Data.Sard!L449)</f>
        <v>0.98299999999999998</v>
      </c>
      <c r="J451" s="904">
        <f>Data.Sard!N449</f>
        <v>0.16447490828989356</v>
      </c>
      <c r="K451" s="595">
        <f t="shared" si="105"/>
        <v>65</v>
      </c>
      <c r="L451" s="591">
        <f t="shared" si="106"/>
        <v>534</v>
      </c>
      <c r="M451" s="591">
        <f t="shared" si="107"/>
        <v>17</v>
      </c>
      <c r="N451" s="591">
        <f t="shared" si="108"/>
        <v>104</v>
      </c>
      <c r="O451" s="591">
        <f t="shared" si="109"/>
        <v>80</v>
      </c>
      <c r="P451" s="315">
        <f t="shared" si="111"/>
        <v>44</v>
      </c>
      <c r="Q451" s="315">
        <f t="shared" si="112"/>
        <v>324</v>
      </c>
      <c r="R451" s="315">
        <f t="shared" si="113"/>
        <v>8</v>
      </c>
      <c r="S451" s="315">
        <f t="shared" si="114"/>
        <v>1</v>
      </c>
      <c r="T451" s="315">
        <f t="shared" si="115"/>
        <v>64</v>
      </c>
      <c r="U451" s="315">
        <f t="shared" si="116"/>
        <v>441</v>
      </c>
      <c r="V451" s="591">
        <f t="shared" si="110"/>
        <v>23</v>
      </c>
      <c r="W451" s="598">
        <f t="shared" si="117"/>
        <v>23</v>
      </c>
    </row>
    <row r="452" spans="2:23" ht="15">
      <c r="B452" s="996" t="s">
        <v>1479</v>
      </c>
      <c r="C452" s="1043" t="s">
        <v>1480</v>
      </c>
      <c r="D452" s="1046"/>
      <c r="E452" s="1043" t="s">
        <v>603</v>
      </c>
      <c r="F452" s="1032">
        <f>VALUE(Data.Sard!G450)</f>
        <v>-9.5597363964364676E-2</v>
      </c>
      <c r="G452" s="844">
        <f>Data.Sard!J450</f>
        <v>17.509029742373919</v>
      </c>
      <c r="H452" s="1043">
        <v>1687515</v>
      </c>
      <c r="I452" s="264">
        <f>VALUE(Data.Sard!L450)</f>
        <v>0.55300000000000005</v>
      </c>
      <c r="J452" s="904">
        <f>Data.Sard!N450</f>
        <v>-4.4093511152530053E-2</v>
      </c>
      <c r="K452" s="595">
        <f t="shared" si="105"/>
        <v>521</v>
      </c>
      <c r="L452" s="591">
        <f t="shared" si="106"/>
        <v>31</v>
      </c>
      <c r="M452" s="591">
        <f t="shared" si="107"/>
        <v>596</v>
      </c>
      <c r="N452" s="591">
        <f t="shared" si="108"/>
        <v>167</v>
      </c>
      <c r="O452" s="591">
        <f t="shared" si="109"/>
        <v>471</v>
      </c>
      <c r="P452" s="315">
        <f t="shared" si="111"/>
        <v>412</v>
      </c>
      <c r="Q452" s="315">
        <f t="shared" si="112"/>
        <v>179</v>
      </c>
      <c r="R452" s="315">
        <f t="shared" si="113"/>
        <v>587</v>
      </c>
      <c r="S452" s="315">
        <f t="shared" si="114"/>
        <v>64</v>
      </c>
      <c r="T452" s="315">
        <f t="shared" si="115"/>
        <v>455</v>
      </c>
      <c r="U452" s="315">
        <f t="shared" si="116"/>
        <v>1697</v>
      </c>
      <c r="V452" s="591">
        <f t="shared" si="110"/>
        <v>585</v>
      </c>
      <c r="W452" s="598">
        <f t="shared" si="117"/>
        <v>585</v>
      </c>
    </row>
    <row r="453" spans="2:23" ht="15">
      <c r="B453" s="996" t="s">
        <v>1481</v>
      </c>
      <c r="C453" s="1043" t="s">
        <v>1482</v>
      </c>
      <c r="D453" s="1046"/>
      <c r="E453" s="1043" t="s">
        <v>736</v>
      </c>
      <c r="F453" s="1032">
        <f>VALUE(Data.Sard!G451)</f>
        <v>3.5127540873426379E-2</v>
      </c>
      <c r="G453" s="844"/>
      <c r="H453" s="1043">
        <v>331650740</v>
      </c>
      <c r="I453" s="264">
        <f>VALUE(Data.Sard!L451)</f>
        <v>0.75</v>
      </c>
      <c r="J453" s="904">
        <f>Data.Sard!N451</f>
        <v>1.6163988530388303E-2</v>
      </c>
      <c r="K453" s="595">
        <f t="shared" ref="K453:K516" si="118">IFERROR(_xlfn.RANK.EQ(F453,F$3:F$706),"N/A")</f>
        <v>360</v>
      </c>
      <c r="L453" s="591">
        <f t="shared" ref="L453:L516" si="119">IFERROR(_xlfn.RANK.EQ(G453,G$3:G$706),"N/A")</f>
        <v>397</v>
      </c>
      <c r="M453" s="591">
        <f t="shared" ref="M453:M516" si="120">IFERROR(_xlfn.RANK.EQ(H453,H$3:H$706),"N/A")</f>
        <v>126</v>
      </c>
      <c r="N453" s="591">
        <f t="shared" ref="N453:N516" si="121">IFERROR(_xlfn.RANK.EQ(I453,I$3:I$706),"N/A")</f>
        <v>135</v>
      </c>
      <c r="O453" s="591">
        <f t="shared" ref="O453:O516" si="122">IFERROR(_xlfn.RANK.EQ(J453,J$3:J$706),"N/A")</f>
        <v>373</v>
      </c>
      <c r="P453" s="315">
        <f t="shared" si="111"/>
        <v>251</v>
      </c>
      <c r="Q453" s="315">
        <f t="shared" si="112"/>
        <v>187</v>
      </c>
      <c r="R453" s="315">
        <f t="shared" si="113"/>
        <v>117</v>
      </c>
      <c r="S453" s="315">
        <f t="shared" si="114"/>
        <v>32</v>
      </c>
      <c r="T453" s="315">
        <f t="shared" si="115"/>
        <v>357</v>
      </c>
      <c r="U453" s="315">
        <f t="shared" si="116"/>
        <v>944</v>
      </c>
      <c r="V453" s="591">
        <f t="shared" ref="V453:V516" si="123">_xlfn.RANK.EQ(U453,$U$4:$U$706,1)</f>
        <v>210</v>
      </c>
      <c r="W453" s="598">
        <f t="shared" si="117"/>
        <v>210</v>
      </c>
    </row>
    <row r="454" spans="2:23" ht="15">
      <c r="B454" s="1043" t="s">
        <v>1483</v>
      </c>
      <c r="C454" s="1043" t="s">
        <v>1484</v>
      </c>
      <c r="D454" s="1046"/>
      <c r="E454" s="1043" t="s">
        <v>1265</v>
      </c>
      <c r="F454" s="1032"/>
      <c r="G454" s="844"/>
      <c r="H454" s="1043">
        <v>56097</v>
      </c>
      <c r="I454" s="264">
        <f>VALUE(Data.Sard!L452)</f>
        <v>17.489999999999998</v>
      </c>
      <c r="J454" s="904"/>
      <c r="K454" s="595">
        <f t="shared" si="118"/>
        <v>442</v>
      </c>
      <c r="L454" s="591">
        <f t="shared" si="119"/>
        <v>397</v>
      </c>
      <c r="M454" s="591">
        <f t="shared" si="120"/>
        <v>653</v>
      </c>
      <c r="N454" s="591">
        <f t="shared" si="121"/>
        <v>12</v>
      </c>
      <c r="O454" s="591">
        <f t="shared" si="122"/>
        <v>419</v>
      </c>
      <c r="P454" s="315">
        <f t="shared" si="111"/>
        <v>333</v>
      </c>
      <c r="Q454" s="315">
        <f t="shared" si="112"/>
        <v>187</v>
      </c>
      <c r="R454" s="315">
        <f t="shared" si="113"/>
        <v>644</v>
      </c>
      <c r="S454" s="315">
        <f t="shared" si="114"/>
        <v>91</v>
      </c>
      <c r="T454" s="315">
        <f t="shared" si="115"/>
        <v>403</v>
      </c>
      <c r="U454" s="315">
        <f t="shared" si="116"/>
        <v>1658</v>
      </c>
      <c r="V454" s="591">
        <f t="shared" si="123"/>
        <v>561</v>
      </c>
      <c r="W454" s="598">
        <f t="shared" si="117"/>
        <v>561</v>
      </c>
    </row>
    <row r="455" spans="2:23" ht="15">
      <c r="B455" s="1043" t="s">
        <v>1485</v>
      </c>
      <c r="C455" s="1043" t="s">
        <v>1486</v>
      </c>
      <c r="D455" s="1046"/>
      <c r="E455" s="1043" t="s">
        <v>1265</v>
      </c>
      <c r="F455" s="1032"/>
      <c r="G455" s="844"/>
      <c r="H455" s="1043">
        <v>587963</v>
      </c>
      <c r="I455" s="264"/>
      <c r="J455" s="904"/>
      <c r="K455" s="595">
        <f t="shared" si="118"/>
        <v>442</v>
      </c>
      <c r="L455" s="591">
        <f t="shared" si="119"/>
        <v>397</v>
      </c>
      <c r="M455" s="591">
        <f t="shared" si="120"/>
        <v>625</v>
      </c>
      <c r="N455" s="591">
        <f t="shared" si="121"/>
        <v>285</v>
      </c>
      <c r="O455" s="591">
        <f t="shared" si="122"/>
        <v>419</v>
      </c>
      <c r="P455" s="315">
        <f t="shared" si="111"/>
        <v>333</v>
      </c>
      <c r="Q455" s="315">
        <f t="shared" si="112"/>
        <v>187</v>
      </c>
      <c r="R455" s="315">
        <f t="shared" si="113"/>
        <v>616</v>
      </c>
      <c r="S455" s="315">
        <f t="shared" si="114"/>
        <v>182</v>
      </c>
      <c r="T455" s="315">
        <f t="shared" si="115"/>
        <v>403</v>
      </c>
      <c r="U455" s="315">
        <f t="shared" si="116"/>
        <v>1721</v>
      </c>
      <c r="V455" s="591">
        <f t="shared" si="123"/>
        <v>597</v>
      </c>
      <c r="W455" s="598">
        <f t="shared" si="117"/>
        <v>597</v>
      </c>
    </row>
    <row r="456" spans="2:23" ht="15">
      <c r="B456" s="1043" t="s">
        <v>1487</v>
      </c>
      <c r="C456" s="1043" t="s">
        <v>1488</v>
      </c>
      <c r="D456" s="1046"/>
      <c r="E456" s="1043" t="s">
        <v>1265</v>
      </c>
      <c r="F456" s="1032"/>
      <c r="G456" s="844"/>
      <c r="H456" s="1043">
        <v>2460165</v>
      </c>
      <c r="I456" s="264"/>
      <c r="J456" s="904"/>
      <c r="K456" s="595">
        <f t="shared" si="118"/>
        <v>442</v>
      </c>
      <c r="L456" s="591">
        <f t="shared" si="119"/>
        <v>397</v>
      </c>
      <c r="M456" s="591">
        <f t="shared" si="120"/>
        <v>574</v>
      </c>
      <c r="N456" s="591">
        <f t="shared" si="121"/>
        <v>285</v>
      </c>
      <c r="O456" s="591">
        <f t="shared" si="122"/>
        <v>419</v>
      </c>
      <c r="P456" s="315">
        <f t="shared" si="111"/>
        <v>333</v>
      </c>
      <c r="Q456" s="315">
        <f t="shared" si="112"/>
        <v>187</v>
      </c>
      <c r="R456" s="315">
        <f t="shared" si="113"/>
        <v>565</v>
      </c>
      <c r="S456" s="315">
        <f t="shared" si="114"/>
        <v>182</v>
      </c>
      <c r="T456" s="315">
        <f t="shared" si="115"/>
        <v>403</v>
      </c>
      <c r="U456" s="315">
        <f t="shared" si="116"/>
        <v>1670</v>
      </c>
      <c r="V456" s="591">
        <f t="shared" si="123"/>
        <v>571</v>
      </c>
      <c r="W456" s="598">
        <f t="shared" si="117"/>
        <v>571</v>
      </c>
    </row>
    <row r="457" spans="2:23" ht="15">
      <c r="B457" s="1043" t="s">
        <v>1489</v>
      </c>
      <c r="C457" s="1043" t="s">
        <v>1490</v>
      </c>
      <c r="D457" s="1046"/>
      <c r="E457" s="1043" t="s">
        <v>1265</v>
      </c>
      <c r="F457" s="1032"/>
      <c r="G457" s="844"/>
      <c r="H457" s="1043">
        <v>233016</v>
      </c>
      <c r="I457" s="264"/>
      <c r="J457" s="904"/>
      <c r="K457" s="595">
        <f t="shared" si="118"/>
        <v>442</v>
      </c>
      <c r="L457" s="591">
        <f t="shared" si="119"/>
        <v>397</v>
      </c>
      <c r="M457" s="591">
        <f t="shared" si="120"/>
        <v>643</v>
      </c>
      <c r="N457" s="591">
        <f t="shared" si="121"/>
        <v>285</v>
      </c>
      <c r="O457" s="591">
        <f t="shared" si="122"/>
        <v>419</v>
      </c>
      <c r="P457" s="315">
        <f t="shared" si="111"/>
        <v>333</v>
      </c>
      <c r="Q457" s="315">
        <f t="shared" si="112"/>
        <v>187</v>
      </c>
      <c r="R457" s="315">
        <f t="shared" si="113"/>
        <v>634</v>
      </c>
      <c r="S457" s="315">
        <f t="shared" si="114"/>
        <v>182</v>
      </c>
      <c r="T457" s="315">
        <f t="shared" si="115"/>
        <v>403</v>
      </c>
      <c r="U457" s="315">
        <f t="shared" si="116"/>
        <v>1739</v>
      </c>
      <c r="V457" s="591">
        <f t="shared" si="123"/>
        <v>609</v>
      </c>
      <c r="W457" s="598">
        <f t="shared" si="117"/>
        <v>609</v>
      </c>
    </row>
    <row r="458" spans="2:23" ht="15">
      <c r="B458" s="1043" t="s">
        <v>1491</v>
      </c>
      <c r="C458" s="1043" t="s">
        <v>1492</v>
      </c>
      <c r="D458" s="1046"/>
      <c r="E458" s="1043" t="s">
        <v>1265</v>
      </c>
      <c r="F458" s="1032"/>
      <c r="G458" s="844"/>
      <c r="H458" s="1043">
        <v>1961557</v>
      </c>
      <c r="I458" s="264"/>
      <c r="J458" s="904"/>
      <c r="K458" s="595">
        <f t="shared" si="118"/>
        <v>442</v>
      </c>
      <c r="L458" s="591">
        <f t="shared" si="119"/>
        <v>397</v>
      </c>
      <c r="M458" s="591">
        <f t="shared" si="120"/>
        <v>589</v>
      </c>
      <c r="N458" s="591">
        <f t="shared" si="121"/>
        <v>285</v>
      </c>
      <c r="O458" s="591">
        <f t="shared" si="122"/>
        <v>419</v>
      </c>
      <c r="P458" s="315">
        <f t="shared" si="111"/>
        <v>333</v>
      </c>
      <c r="Q458" s="315">
        <f t="shared" si="112"/>
        <v>187</v>
      </c>
      <c r="R458" s="315">
        <f t="shared" si="113"/>
        <v>580</v>
      </c>
      <c r="S458" s="315">
        <f t="shared" si="114"/>
        <v>182</v>
      </c>
      <c r="T458" s="315">
        <f t="shared" si="115"/>
        <v>403</v>
      </c>
      <c r="U458" s="315">
        <f t="shared" si="116"/>
        <v>1685</v>
      </c>
      <c r="V458" s="591">
        <f t="shared" si="123"/>
        <v>581</v>
      </c>
      <c r="W458" s="598">
        <f t="shared" si="117"/>
        <v>581</v>
      </c>
    </row>
    <row r="459" spans="2:23" ht="15">
      <c r="B459" s="1043" t="s">
        <v>1493</v>
      </c>
      <c r="C459" s="1043" t="s">
        <v>1494</v>
      </c>
      <c r="D459" s="1046"/>
      <c r="E459" s="1043" t="s">
        <v>1265</v>
      </c>
      <c r="F459" s="1032"/>
      <c r="G459" s="844"/>
      <c r="H459" s="1043">
        <v>206479</v>
      </c>
      <c r="I459" s="264"/>
      <c r="J459" s="904"/>
      <c r="K459" s="595">
        <f t="shared" si="118"/>
        <v>442</v>
      </c>
      <c r="L459" s="591">
        <f t="shared" si="119"/>
        <v>397</v>
      </c>
      <c r="M459" s="591">
        <f t="shared" si="120"/>
        <v>645</v>
      </c>
      <c r="N459" s="591">
        <f t="shared" si="121"/>
        <v>285</v>
      </c>
      <c r="O459" s="591">
        <f t="shared" si="122"/>
        <v>419</v>
      </c>
      <c r="P459" s="315">
        <f t="shared" si="111"/>
        <v>333</v>
      </c>
      <c r="Q459" s="315">
        <f t="shared" si="112"/>
        <v>187</v>
      </c>
      <c r="R459" s="315">
        <f t="shared" si="113"/>
        <v>636</v>
      </c>
      <c r="S459" s="315">
        <f t="shared" si="114"/>
        <v>182</v>
      </c>
      <c r="T459" s="315">
        <f t="shared" si="115"/>
        <v>403</v>
      </c>
      <c r="U459" s="315">
        <f t="shared" si="116"/>
        <v>1741</v>
      </c>
      <c r="V459" s="591">
        <f t="shared" si="123"/>
        <v>613</v>
      </c>
      <c r="W459" s="598">
        <f t="shared" si="117"/>
        <v>613</v>
      </c>
    </row>
    <row r="460" spans="2:23" ht="15">
      <c r="B460" s="1043" t="s">
        <v>1495</v>
      </c>
      <c r="C460" s="1043" t="s">
        <v>1496</v>
      </c>
      <c r="D460" s="1046"/>
      <c r="E460" s="1043" t="s">
        <v>1265</v>
      </c>
      <c r="F460" s="1032"/>
      <c r="G460" s="844">
        <f>Data.Sard!J458</f>
        <v>0.40256824755871928</v>
      </c>
      <c r="H460" s="1003">
        <v>0</v>
      </c>
      <c r="I460" s="264"/>
      <c r="J460" s="904"/>
      <c r="K460" s="595">
        <f t="shared" si="118"/>
        <v>442</v>
      </c>
      <c r="L460" s="591">
        <f t="shared" si="119"/>
        <v>343</v>
      </c>
      <c r="M460" s="591">
        <f t="shared" si="120"/>
        <v>677</v>
      </c>
      <c r="N460" s="591">
        <f t="shared" si="121"/>
        <v>285</v>
      </c>
      <c r="O460" s="591">
        <f t="shared" si="122"/>
        <v>419</v>
      </c>
      <c r="P460" s="315">
        <f t="shared" si="111"/>
        <v>333</v>
      </c>
      <c r="Q460" s="315">
        <f t="shared" si="112"/>
        <v>133</v>
      </c>
      <c r="R460" s="315">
        <f t="shared" si="113"/>
        <v>668</v>
      </c>
      <c r="S460" s="315">
        <f t="shared" si="114"/>
        <v>182</v>
      </c>
      <c r="T460" s="315">
        <f t="shared" si="115"/>
        <v>403</v>
      </c>
      <c r="U460" s="315">
        <f t="shared" si="116"/>
        <v>1719</v>
      </c>
      <c r="V460" s="591">
        <f t="shared" si="123"/>
        <v>595</v>
      </c>
      <c r="W460" s="598">
        <f t="shared" si="117"/>
        <v>595</v>
      </c>
    </row>
    <row r="461" spans="2:23" ht="15">
      <c r="B461" s="996" t="s">
        <v>1497</v>
      </c>
      <c r="C461" s="1043" t="s">
        <v>1498</v>
      </c>
      <c r="D461" s="1046"/>
      <c r="E461" s="1043" t="s">
        <v>736</v>
      </c>
      <c r="F461" s="1032">
        <f>VALUE(Data.Sard!G459)</f>
        <v>0.13482231041344667</v>
      </c>
      <c r="G461" s="844"/>
      <c r="H461" s="1043">
        <v>394394730</v>
      </c>
      <c r="I461" s="264"/>
      <c r="J461" s="904">
        <f>Data.Sard!N459</f>
        <v>0.16287825515224011</v>
      </c>
      <c r="K461" s="595">
        <f t="shared" si="118"/>
        <v>176</v>
      </c>
      <c r="L461" s="591">
        <f t="shared" si="119"/>
        <v>397</v>
      </c>
      <c r="M461" s="591">
        <f t="shared" si="120"/>
        <v>116</v>
      </c>
      <c r="N461" s="591">
        <f t="shared" si="121"/>
        <v>285</v>
      </c>
      <c r="O461" s="591">
        <f t="shared" si="122"/>
        <v>84</v>
      </c>
      <c r="P461" s="315">
        <f t="shared" si="111"/>
        <v>67</v>
      </c>
      <c r="Q461" s="315">
        <f t="shared" si="112"/>
        <v>187</v>
      </c>
      <c r="R461" s="315">
        <f t="shared" si="113"/>
        <v>107</v>
      </c>
      <c r="S461" s="315">
        <f t="shared" si="114"/>
        <v>182</v>
      </c>
      <c r="T461" s="315">
        <f t="shared" si="115"/>
        <v>68</v>
      </c>
      <c r="U461" s="315">
        <f t="shared" si="116"/>
        <v>611</v>
      </c>
      <c r="V461" s="591">
        <f t="shared" si="123"/>
        <v>75</v>
      </c>
      <c r="W461" s="598">
        <f t="shared" si="117"/>
        <v>75</v>
      </c>
    </row>
    <row r="462" spans="2:23" ht="15">
      <c r="B462" s="996" t="s">
        <v>1499</v>
      </c>
      <c r="C462" s="1043" t="s">
        <v>1500</v>
      </c>
      <c r="D462" s="994"/>
      <c r="E462" s="1043" t="s">
        <v>603</v>
      </c>
      <c r="F462" s="1032"/>
      <c r="G462" s="844">
        <f>Data.Sard!J460</f>
        <v>3.3685165563744394E-2</v>
      </c>
      <c r="H462" s="1003">
        <v>0</v>
      </c>
      <c r="I462" s="264">
        <f>VALUE(Data.Sard!L460)</f>
        <v>0.89800000000000002</v>
      </c>
      <c r="J462" s="904"/>
      <c r="K462" s="595">
        <f t="shared" si="118"/>
        <v>442</v>
      </c>
      <c r="L462" s="591">
        <f t="shared" si="119"/>
        <v>387</v>
      </c>
      <c r="M462" s="591">
        <f t="shared" si="120"/>
        <v>677</v>
      </c>
      <c r="N462" s="591">
        <f t="shared" si="121"/>
        <v>118</v>
      </c>
      <c r="O462" s="591">
        <f t="shared" si="122"/>
        <v>419</v>
      </c>
      <c r="P462" s="315">
        <f t="shared" si="111"/>
        <v>333</v>
      </c>
      <c r="Q462" s="315">
        <f t="shared" si="112"/>
        <v>177</v>
      </c>
      <c r="R462" s="315">
        <f t="shared" si="113"/>
        <v>668</v>
      </c>
      <c r="S462" s="315">
        <f t="shared" si="114"/>
        <v>15</v>
      </c>
      <c r="T462" s="315">
        <f t="shared" si="115"/>
        <v>403</v>
      </c>
      <c r="U462" s="315">
        <f t="shared" si="116"/>
        <v>1596</v>
      </c>
      <c r="V462" s="591">
        <f t="shared" si="123"/>
        <v>524</v>
      </c>
      <c r="W462" s="598">
        <f t="shared" si="117"/>
        <v>524</v>
      </c>
    </row>
    <row r="463" spans="2:23" ht="15">
      <c r="B463" s="996" t="s">
        <v>1501</v>
      </c>
      <c r="C463" s="1043" t="s">
        <v>1502</v>
      </c>
      <c r="D463" s="1046"/>
      <c r="E463" s="1043" t="s">
        <v>736</v>
      </c>
      <c r="F463" s="1032">
        <f>VALUE(Data.Sard!G461)</f>
        <v>0.3123511154163639</v>
      </c>
      <c r="G463" s="844">
        <f>Data.Sard!J461</f>
        <v>2.4390304612730533</v>
      </c>
      <c r="H463" s="1043">
        <v>1057522749</v>
      </c>
      <c r="I463" s="264"/>
      <c r="J463" s="904">
        <f>Data.Sard!N461</f>
        <v>0.44113794568822701</v>
      </c>
      <c r="K463" s="595">
        <f t="shared" si="118"/>
        <v>51</v>
      </c>
      <c r="L463" s="591">
        <f t="shared" si="119"/>
        <v>212</v>
      </c>
      <c r="M463" s="591">
        <f t="shared" si="120"/>
        <v>60</v>
      </c>
      <c r="N463" s="591">
        <f t="shared" si="121"/>
        <v>285</v>
      </c>
      <c r="O463" s="591">
        <f t="shared" si="122"/>
        <v>8</v>
      </c>
      <c r="P463" s="315">
        <f t="shared" si="111"/>
        <v>58</v>
      </c>
      <c r="Q463" s="315">
        <f t="shared" si="112"/>
        <v>2</v>
      </c>
      <c r="R463" s="315">
        <f t="shared" si="113"/>
        <v>51</v>
      </c>
      <c r="S463" s="315">
        <f t="shared" si="114"/>
        <v>182</v>
      </c>
      <c r="T463" s="315">
        <f t="shared" si="115"/>
        <v>8</v>
      </c>
      <c r="U463" s="315">
        <f t="shared" si="116"/>
        <v>301</v>
      </c>
      <c r="V463" s="591">
        <f t="shared" si="123"/>
        <v>4</v>
      </c>
      <c r="W463" s="598">
        <f t="shared" si="117"/>
        <v>4</v>
      </c>
    </row>
    <row r="464" spans="2:23" ht="15">
      <c r="B464" s="1043" t="s">
        <v>1503</v>
      </c>
      <c r="C464" s="1043" t="s">
        <v>1504</v>
      </c>
      <c r="D464" s="994"/>
      <c r="E464" s="1043" t="s">
        <v>703</v>
      </c>
      <c r="F464" s="1032">
        <f>VALUE(Data.Sard!G462)</f>
        <v>0.1461519890654174</v>
      </c>
      <c r="G464" s="844">
        <f>Data.Sard!J462</f>
        <v>-0.65432397798144581</v>
      </c>
      <c r="H464" s="1043">
        <v>30969255</v>
      </c>
      <c r="I464" s="264">
        <f>VALUE(Data.Sard!L462)</f>
        <v>1.1319999999999999</v>
      </c>
      <c r="J464" s="904">
        <f>Data.Sard!N462</f>
        <v>6.7484691008715347E-2</v>
      </c>
      <c r="K464" s="595">
        <f t="shared" si="118"/>
        <v>159</v>
      </c>
      <c r="L464" s="591">
        <f t="shared" si="119"/>
        <v>473</v>
      </c>
      <c r="M464" s="591">
        <f t="shared" si="120"/>
        <v>338</v>
      </c>
      <c r="N464" s="591">
        <f t="shared" si="121"/>
        <v>85</v>
      </c>
      <c r="O464" s="591">
        <f t="shared" si="122"/>
        <v>220</v>
      </c>
      <c r="P464" s="315">
        <f t="shared" si="111"/>
        <v>50</v>
      </c>
      <c r="Q464" s="315">
        <f t="shared" si="112"/>
        <v>263</v>
      </c>
      <c r="R464" s="315">
        <f t="shared" si="113"/>
        <v>329</v>
      </c>
      <c r="S464" s="315">
        <f t="shared" si="114"/>
        <v>18</v>
      </c>
      <c r="T464" s="315">
        <f t="shared" si="115"/>
        <v>204</v>
      </c>
      <c r="U464" s="315">
        <f t="shared" si="116"/>
        <v>864</v>
      </c>
      <c r="V464" s="591">
        <f t="shared" si="123"/>
        <v>171</v>
      </c>
      <c r="W464" s="598">
        <f t="shared" si="117"/>
        <v>171</v>
      </c>
    </row>
    <row r="465" spans="2:23" ht="15">
      <c r="B465" s="996" t="s">
        <v>1505</v>
      </c>
      <c r="C465" s="1043" t="s">
        <v>1506</v>
      </c>
      <c r="D465" s="1046"/>
      <c r="E465" s="1043" t="s">
        <v>587</v>
      </c>
      <c r="F465" s="1032">
        <f>VALUE(Data.Sard!G463)</f>
        <v>-0.10197833627439219</v>
      </c>
      <c r="G465" s="844">
        <f>Data.Sard!J463</f>
        <v>-9.7189286659819611</v>
      </c>
      <c r="H465" s="1043">
        <v>26985947</v>
      </c>
      <c r="I465" s="264">
        <f>VALUE(Data.Sard!L463)</f>
        <v>0.60199999999999998</v>
      </c>
      <c r="J465" s="904">
        <f>Data.Sard!N463</f>
        <v>-0.10906751515289398</v>
      </c>
      <c r="K465" s="595">
        <f t="shared" si="118"/>
        <v>524</v>
      </c>
      <c r="L465" s="591">
        <f t="shared" si="119"/>
        <v>563</v>
      </c>
      <c r="M465" s="591">
        <f t="shared" si="120"/>
        <v>355</v>
      </c>
      <c r="N465" s="591">
        <f t="shared" si="121"/>
        <v>159</v>
      </c>
      <c r="O465" s="591">
        <f t="shared" si="122"/>
        <v>509</v>
      </c>
      <c r="P465" s="315">
        <f t="shared" si="111"/>
        <v>415</v>
      </c>
      <c r="Q465" s="315">
        <f t="shared" si="112"/>
        <v>353</v>
      </c>
      <c r="R465" s="315">
        <f t="shared" si="113"/>
        <v>346</v>
      </c>
      <c r="S465" s="315">
        <f t="shared" si="114"/>
        <v>56</v>
      </c>
      <c r="T465" s="315">
        <f t="shared" si="115"/>
        <v>493</v>
      </c>
      <c r="U465" s="315">
        <f t="shared" si="116"/>
        <v>1663</v>
      </c>
      <c r="V465" s="591">
        <f t="shared" si="123"/>
        <v>564</v>
      </c>
      <c r="W465" s="598">
        <f t="shared" si="117"/>
        <v>564</v>
      </c>
    </row>
    <row r="466" spans="2:23" ht="15">
      <c r="B466" s="996" t="s">
        <v>1507</v>
      </c>
      <c r="C466" s="1043" t="s">
        <v>1508</v>
      </c>
      <c r="D466" s="1046"/>
      <c r="E466" s="1043" t="s">
        <v>603</v>
      </c>
      <c r="F466" s="1032">
        <f>VALUE(Data.Sard!G464)</f>
        <v>1.1293352235210864E-2</v>
      </c>
      <c r="G466" s="844">
        <f>Data.Sard!J464</f>
        <v>6.2962839668914583</v>
      </c>
      <c r="H466" s="1043">
        <v>1416413</v>
      </c>
      <c r="I466" s="264">
        <f>VALUE(Data.Sard!L464)</f>
        <v>-20.969000000000001</v>
      </c>
      <c r="J466" s="904">
        <f>Data.Sard!N464</f>
        <v>-6.2369488439282882E-2</v>
      </c>
      <c r="K466" s="595">
        <f t="shared" si="118"/>
        <v>419</v>
      </c>
      <c r="L466" s="591">
        <f t="shared" si="119"/>
        <v>100</v>
      </c>
      <c r="M466" s="591">
        <f t="shared" si="120"/>
        <v>603</v>
      </c>
      <c r="N466" s="591">
        <f t="shared" si="121"/>
        <v>535</v>
      </c>
      <c r="O466" s="591">
        <f t="shared" si="122"/>
        <v>482</v>
      </c>
      <c r="P466" s="315">
        <f t="shared" si="111"/>
        <v>310</v>
      </c>
      <c r="Q466" s="315">
        <f t="shared" si="112"/>
        <v>110</v>
      </c>
      <c r="R466" s="315">
        <f t="shared" si="113"/>
        <v>594</v>
      </c>
      <c r="S466" s="315">
        <f t="shared" si="114"/>
        <v>432</v>
      </c>
      <c r="T466" s="315">
        <f t="shared" si="115"/>
        <v>466</v>
      </c>
      <c r="U466" s="315">
        <f t="shared" si="116"/>
        <v>1912</v>
      </c>
      <c r="V466" s="591">
        <f t="shared" si="123"/>
        <v>686</v>
      </c>
      <c r="W466" s="598">
        <f t="shared" si="117"/>
        <v>686</v>
      </c>
    </row>
    <row r="467" spans="2:23" ht="15">
      <c r="B467" s="996" t="s">
        <v>1509</v>
      </c>
      <c r="C467" s="1043" t="s">
        <v>1510</v>
      </c>
      <c r="D467" s="1046"/>
      <c r="E467" s="1043" t="s">
        <v>603</v>
      </c>
      <c r="F467" s="1032">
        <f>VALUE(Data.Sard!G465)</f>
        <v>6.1973269473090738E-2</v>
      </c>
      <c r="G467" s="844">
        <f>Data.Sard!J465</f>
        <v>0</v>
      </c>
      <c r="H467" s="1043">
        <v>1653968</v>
      </c>
      <c r="I467" s="264">
        <f>VALUE(Data.Sard!L465)</f>
        <v>-2.7549999999999999</v>
      </c>
      <c r="J467" s="904">
        <f>Data.Sard!N465</f>
        <v>6.4423797780968226E-2</v>
      </c>
      <c r="K467" s="595">
        <f t="shared" si="118"/>
        <v>300</v>
      </c>
      <c r="L467" s="591">
        <f t="shared" si="119"/>
        <v>397</v>
      </c>
      <c r="M467" s="591">
        <f t="shared" si="120"/>
        <v>598</v>
      </c>
      <c r="N467" s="591">
        <f t="shared" si="121"/>
        <v>491</v>
      </c>
      <c r="O467" s="591">
        <f t="shared" si="122"/>
        <v>230</v>
      </c>
      <c r="P467" s="315">
        <f t="shared" si="111"/>
        <v>191</v>
      </c>
      <c r="Q467" s="315">
        <f t="shared" si="112"/>
        <v>187</v>
      </c>
      <c r="R467" s="315">
        <f t="shared" si="113"/>
        <v>589</v>
      </c>
      <c r="S467" s="315">
        <f t="shared" si="114"/>
        <v>388</v>
      </c>
      <c r="T467" s="315">
        <f t="shared" si="115"/>
        <v>214</v>
      </c>
      <c r="U467" s="315">
        <f t="shared" si="116"/>
        <v>1569</v>
      </c>
      <c r="V467" s="591">
        <f t="shared" si="123"/>
        <v>508</v>
      </c>
      <c r="W467" s="598">
        <f t="shared" si="117"/>
        <v>508</v>
      </c>
    </row>
    <row r="468" spans="2:23" ht="15">
      <c r="B468" s="1043" t="s">
        <v>1511</v>
      </c>
      <c r="C468" s="1043" t="s">
        <v>1512</v>
      </c>
      <c r="D468" s="1046"/>
      <c r="E468" s="1043" t="s">
        <v>1513</v>
      </c>
      <c r="F468" s="1032">
        <f>VALUE(Data.Sard!G466)</f>
        <v>0.28093977771957895</v>
      </c>
      <c r="G468" s="844">
        <f>Data.Sard!J466</f>
        <v>0</v>
      </c>
      <c r="H468" s="1043">
        <v>15267176</v>
      </c>
      <c r="I468" s="264">
        <f>VALUE(Data.Sard!L466)</f>
        <v>-0.86699999999999999</v>
      </c>
      <c r="J468" s="904">
        <f>Data.Sard!N466</f>
        <v>0.75003164591188509</v>
      </c>
      <c r="K468" s="595">
        <f t="shared" si="118"/>
        <v>64</v>
      </c>
      <c r="L468" s="591">
        <f t="shared" si="119"/>
        <v>397</v>
      </c>
      <c r="M468" s="591">
        <f t="shared" si="120"/>
        <v>428</v>
      </c>
      <c r="N468" s="591">
        <f t="shared" si="121"/>
        <v>425</v>
      </c>
      <c r="O468" s="591">
        <f t="shared" si="122"/>
        <v>3</v>
      </c>
      <c r="P468" s="315">
        <f t="shared" si="111"/>
        <v>45</v>
      </c>
      <c r="Q468" s="315">
        <f t="shared" si="112"/>
        <v>187</v>
      </c>
      <c r="R468" s="315">
        <f t="shared" si="113"/>
        <v>419</v>
      </c>
      <c r="S468" s="315">
        <f t="shared" si="114"/>
        <v>322</v>
      </c>
      <c r="T468" s="315">
        <f t="shared" si="115"/>
        <v>13</v>
      </c>
      <c r="U468" s="315">
        <f t="shared" si="116"/>
        <v>986</v>
      </c>
      <c r="V468" s="591">
        <f t="shared" si="123"/>
        <v>233</v>
      </c>
      <c r="W468" s="598">
        <f t="shared" si="117"/>
        <v>233</v>
      </c>
    </row>
    <row r="469" spans="2:23" ht="15">
      <c r="B469" s="1043" t="s">
        <v>1514</v>
      </c>
      <c r="C469" s="1043" t="s">
        <v>1515</v>
      </c>
      <c r="D469" s="1046"/>
      <c r="E469" s="1043" t="s">
        <v>1513</v>
      </c>
      <c r="F469" s="1032">
        <f>VALUE(Data.Sard!G467)</f>
        <v>2.8417117246334302E-2</v>
      </c>
      <c r="G469" s="844">
        <f>Data.Sard!J467</f>
        <v>-0.1360761292054781</v>
      </c>
      <c r="H469" s="1043">
        <v>9730076</v>
      </c>
      <c r="I469" s="264">
        <f>VALUE(Data.Sard!L467)</f>
        <v>0.222</v>
      </c>
      <c r="J469" s="904">
        <f>Data.Sard!N467</f>
        <v>1.0473591037231415E-2</v>
      </c>
      <c r="K469" s="595">
        <f t="shared" si="118"/>
        <v>377</v>
      </c>
      <c r="L469" s="591">
        <f t="shared" si="119"/>
        <v>453</v>
      </c>
      <c r="M469" s="591">
        <f t="shared" si="120"/>
        <v>470</v>
      </c>
      <c r="N469" s="591">
        <f t="shared" si="121"/>
        <v>234</v>
      </c>
      <c r="O469" s="591">
        <f t="shared" si="122"/>
        <v>391</v>
      </c>
      <c r="P469" s="315">
        <f t="shared" si="111"/>
        <v>268</v>
      </c>
      <c r="Q469" s="315">
        <f t="shared" si="112"/>
        <v>243</v>
      </c>
      <c r="R469" s="315">
        <f t="shared" si="113"/>
        <v>461</v>
      </c>
      <c r="S469" s="315">
        <f t="shared" si="114"/>
        <v>131</v>
      </c>
      <c r="T469" s="315">
        <f t="shared" si="115"/>
        <v>375</v>
      </c>
      <c r="U469" s="315">
        <f t="shared" si="116"/>
        <v>1478</v>
      </c>
      <c r="V469" s="591">
        <f t="shared" si="123"/>
        <v>449</v>
      </c>
      <c r="W469" s="598">
        <f t="shared" si="117"/>
        <v>449</v>
      </c>
    </row>
    <row r="470" spans="2:23" ht="15">
      <c r="B470" s="1043" t="s">
        <v>1516</v>
      </c>
      <c r="C470" s="1043" t="s">
        <v>1517</v>
      </c>
      <c r="D470" s="1046"/>
      <c r="E470" s="1043" t="s">
        <v>603</v>
      </c>
      <c r="F470" s="1032">
        <f>VALUE(Data.Sard!G468)</f>
        <v>-0.68973758536811303</v>
      </c>
      <c r="G470" s="844"/>
      <c r="H470" s="1043">
        <v>2387440</v>
      </c>
      <c r="I470" s="264">
        <f>VALUE(Data.Sard!L468)</f>
        <v>1.5269999999999999</v>
      </c>
      <c r="J470" s="904">
        <f>Data.Sard!N468</f>
        <v>-3.3420775357372956</v>
      </c>
      <c r="K470" s="595">
        <f t="shared" si="118"/>
        <v>589</v>
      </c>
      <c r="L470" s="591">
        <f t="shared" si="119"/>
        <v>397</v>
      </c>
      <c r="M470" s="591">
        <f t="shared" si="120"/>
        <v>578</v>
      </c>
      <c r="N470" s="591">
        <f t="shared" si="121"/>
        <v>60</v>
      </c>
      <c r="O470" s="591">
        <f t="shared" si="122"/>
        <v>589</v>
      </c>
      <c r="P470" s="315">
        <f t="shared" si="111"/>
        <v>480</v>
      </c>
      <c r="Q470" s="315">
        <f t="shared" si="112"/>
        <v>187</v>
      </c>
      <c r="R470" s="315">
        <f t="shared" si="113"/>
        <v>569</v>
      </c>
      <c r="S470" s="315">
        <f t="shared" si="114"/>
        <v>43</v>
      </c>
      <c r="T470" s="315">
        <f t="shared" si="115"/>
        <v>573</v>
      </c>
      <c r="U470" s="315">
        <f t="shared" si="116"/>
        <v>1852</v>
      </c>
      <c r="V470" s="591">
        <f t="shared" si="123"/>
        <v>664</v>
      </c>
      <c r="W470" s="598">
        <f t="shared" si="117"/>
        <v>664</v>
      </c>
    </row>
    <row r="471" spans="2:23" ht="15">
      <c r="B471" s="1043" t="s">
        <v>1518</v>
      </c>
      <c r="C471" s="1043" t="s">
        <v>1519</v>
      </c>
      <c r="D471" s="1046"/>
      <c r="E471" s="1043" t="s">
        <v>903</v>
      </c>
      <c r="F471" s="1032"/>
      <c r="G471" s="844">
        <f>Data.Sard!J469</f>
        <v>1.8645364537144236</v>
      </c>
      <c r="H471" s="1043">
        <v>4210544</v>
      </c>
      <c r="I471" s="264">
        <f>VALUE(Data.Sard!L469)</f>
        <v>-0.59599999999999997</v>
      </c>
      <c r="J471" s="904"/>
      <c r="K471" s="595">
        <f t="shared" si="118"/>
        <v>442</v>
      </c>
      <c r="L471" s="591">
        <f t="shared" si="119"/>
        <v>249</v>
      </c>
      <c r="M471" s="591">
        <f t="shared" si="120"/>
        <v>541</v>
      </c>
      <c r="N471" s="591">
        <f t="shared" si="121"/>
        <v>398</v>
      </c>
      <c r="O471" s="591">
        <f t="shared" si="122"/>
        <v>419</v>
      </c>
      <c r="P471" s="315">
        <f t="shared" si="111"/>
        <v>333</v>
      </c>
      <c r="Q471" s="315">
        <f t="shared" si="112"/>
        <v>39</v>
      </c>
      <c r="R471" s="315">
        <f t="shared" si="113"/>
        <v>532</v>
      </c>
      <c r="S471" s="315">
        <f t="shared" si="114"/>
        <v>295</v>
      </c>
      <c r="T471" s="315">
        <f t="shared" si="115"/>
        <v>403</v>
      </c>
      <c r="U471" s="315">
        <f t="shared" si="116"/>
        <v>1602</v>
      </c>
      <c r="V471" s="591">
        <f t="shared" si="123"/>
        <v>530</v>
      </c>
      <c r="W471" s="598">
        <f t="shared" si="117"/>
        <v>530</v>
      </c>
    </row>
    <row r="472" spans="2:23" ht="15">
      <c r="B472" s="1043" t="s">
        <v>1520</v>
      </c>
      <c r="C472" s="1043" t="s">
        <v>1521</v>
      </c>
      <c r="D472" s="1046"/>
      <c r="E472" s="1043" t="s">
        <v>603</v>
      </c>
      <c r="F472" s="1032">
        <f>VALUE(Data.Sard!G470)</f>
        <v>0.17068521382006241</v>
      </c>
      <c r="G472" s="844">
        <f>Data.Sard!J470</f>
        <v>1.1557483055040198E-2</v>
      </c>
      <c r="H472" s="1043">
        <v>160489454</v>
      </c>
      <c r="I472" s="264"/>
      <c r="J472" s="904">
        <f>Data.Sard!N470</f>
        <v>0.15903946460043877</v>
      </c>
      <c r="K472" s="595">
        <f t="shared" si="118"/>
        <v>137</v>
      </c>
      <c r="L472" s="591">
        <f t="shared" si="119"/>
        <v>392</v>
      </c>
      <c r="M472" s="591">
        <f t="shared" si="120"/>
        <v>185</v>
      </c>
      <c r="N472" s="591">
        <f t="shared" si="121"/>
        <v>285</v>
      </c>
      <c r="O472" s="591">
        <f t="shared" si="122"/>
        <v>89</v>
      </c>
      <c r="P472" s="315">
        <f t="shared" si="111"/>
        <v>28</v>
      </c>
      <c r="Q472" s="315">
        <f t="shared" si="112"/>
        <v>182</v>
      </c>
      <c r="R472" s="315">
        <f t="shared" si="113"/>
        <v>176</v>
      </c>
      <c r="S472" s="315">
        <f t="shared" si="114"/>
        <v>182</v>
      </c>
      <c r="T472" s="315">
        <f t="shared" si="115"/>
        <v>73</v>
      </c>
      <c r="U472" s="315">
        <f t="shared" si="116"/>
        <v>641</v>
      </c>
      <c r="V472" s="591">
        <f t="shared" si="123"/>
        <v>90</v>
      </c>
      <c r="W472" s="598">
        <f t="shared" si="117"/>
        <v>90</v>
      </c>
    </row>
    <row r="473" spans="2:23" ht="15">
      <c r="B473" s="996" t="s">
        <v>1522</v>
      </c>
      <c r="C473" s="1043" t="s">
        <v>1523</v>
      </c>
      <c r="D473" s="1046"/>
      <c r="E473" s="1043" t="s">
        <v>696</v>
      </c>
      <c r="F473" s="1032">
        <f>VALUE(Data.Sard!G471)</f>
        <v>0.53952372941406213</v>
      </c>
      <c r="G473" s="844">
        <f>Data.Sard!J471</f>
        <v>0.68037940536193287</v>
      </c>
      <c r="H473" s="1043">
        <v>26095045</v>
      </c>
      <c r="I473" s="264">
        <f>VALUE(Data.Sard!L471)</f>
        <v>-0.105</v>
      </c>
      <c r="J473" s="904">
        <f>Data.Sard!N471</f>
        <v>0.66887209188762442</v>
      </c>
      <c r="K473" s="595">
        <f t="shared" si="118"/>
        <v>27</v>
      </c>
      <c r="L473" s="591">
        <f t="shared" si="119"/>
        <v>316</v>
      </c>
      <c r="M473" s="591">
        <f t="shared" si="120"/>
        <v>359</v>
      </c>
      <c r="N473" s="591">
        <f t="shared" si="121"/>
        <v>317</v>
      </c>
      <c r="O473" s="591">
        <f t="shared" si="122"/>
        <v>5</v>
      </c>
      <c r="P473" s="315">
        <f t="shared" si="111"/>
        <v>82</v>
      </c>
      <c r="Q473" s="315">
        <f t="shared" si="112"/>
        <v>106</v>
      </c>
      <c r="R473" s="315">
        <f t="shared" si="113"/>
        <v>350</v>
      </c>
      <c r="S473" s="315">
        <f t="shared" si="114"/>
        <v>214</v>
      </c>
      <c r="T473" s="315">
        <f t="shared" si="115"/>
        <v>11</v>
      </c>
      <c r="U473" s="315">
        <f t="shared" si="116"/>
        <v>763</v>
      </c>
      <c r="V473" s="591">
        <f t="shared" si="123"/>
        <v>131</v>
      </c>
      <c r="W473" s="598">
        <f t="shared" si="117"/>
        <v>131</v>
      </c>
    </row>
    <row r="474" spans="2:23" ht="15">
      <c r="B474" s="996" t="s">
        <v>1524</v>
      </c>
      <c r="C474" s="1043" t="s">
        <v>1525</v>
      </c>
      <c r="D474" s="1046"/>
      <c r="E474" s="1043" t="s">
        <v>546</v>
      </c>
      <c r="F474" s="1032">
        <f>VALUE(Data.Sard!G472)</f>
        <v>1.5933805485246078E-2</v>
      </c>
      <c r="G474" s="844">
        <f>Data.Sard!J472</f>
        <v>-70.452292355795976</v>
      </c>
      <c r="H474" s="1043">
        <v>90629071</v>
      </c>
      <c r="I474" s="264">
        <f>VALUE(Data.Sard!L472)</f>
        <v>9.6000000000000002E-2</v>
      </c>
      <c r="J474" s="904">
        <f>Data.Sard!N472</f>
        <v>4.7142886273586676E-2</v>
      </c>
      <c r="K474" s="595">
        <f t="shared" si="118"/>
        <v>408</v>
      </c>
      <c r="L474" s="591">
        <f t="shared" si="119"/>
        <v>595</v>
      </c>
      <c r="M474" s="591">
        <f t="shared" si="120"/>
        <v>240</v>
      </c>
      <c r="N474" s="591">
        <f t="shared" si="121"/>
        <v>263</v>
      </c>
      <c r="O474" s="591">
        <f t="shared" si="122"/>
        <v>289</v>
      </c>
      <c r="P474" s="315">
        <f t="shared" si="111"/>
        <v>299</v>
      </c>
      <c r="Q474" s="315">
        <f t="shared" si="112"/>
        <v>385</v>
      </c>
      <c r="R474" s="315">
        <f t="shared" si="113"/>
        <v>231</v>
      </c>
      <c r="S474" s="315">
        <f t="shared" si="114"/>
        <v>160</v>
      </c>
      <c r="T474" s="315">
        <f t="shared" si="115"/>
        <v>273</v>
      </c>
      <c r="U474" s="315">
        <f t="shared" si="116"/>
        <v>1348</v>
      </c>
      <c r="V474" s="591">
        <f t="shared" si="123"/>
        <v>386</v>
      </c>
      <c r="W474" s="598">
        <f t="shared" si="117"/>
        <v>386</v>
      </c>
    </row>
    <row r="475" spans="2:23" ht="15">
      <c r="B475" s="996" t="s">
        <v>1526</v>
      </c>
      <c r="C475" s="1043" t="s">
        <v>1527</v>
      </c>
      <c r="D475" s="1046"/>
      <c r="E475" s="1043" t="s">
        <v>736</v>
      </c>
      <c r="F475" s="1032">
        <f>VALUE(Data.Sard!G473)</f>
        <v>-7.1187171794974302E-2</v>
      </c>
      <c r="G475" s="844">
        <f>Data.Sard!J473</f>
        <v>0</v>
      </c>
      <c r="H475" s="1043">
        <v>3446295</v>
      </c>
      <c r="I475" s="264">
        <f>VALUE(Data.Sard!L473)</f>
        <v>1.258</v>
      </c>
      <c r="J475" s="904">
        <f>Data.Sard!N473</f>
        <v>-2.9697338859264793E-3</v>
      </c>
      <c r="K475" s="595">
        <f t="shared" si="118"/>
        <v>502</v>
      </c>
      <c r="L475" s="591">
        <f t="shared" si="119"/>
        <v>397</v>
      </c>
      <c r="M475" s="591">
        <f t="shared" si="120"/>
        <v>555</v>
      </c>
      <c r="N475" s="591">
        <f t="shared" si="121"/>
        <v>74</v>
      </c>
      <c r="O475" s="591">
        <f t="shared" si="122"/>
        <v>432</v>
      </c>
      <c r="P475" s="315">
        <f t="shared" si="111"/>
        <v>393</v>
      </c>
      <c r="Q475" s="315">
        <f t="shared" si="112"/>
        <v>187</v>
      </c>
      <c r="R475" s="315">
        <f t="shared" si="113"/>
        <v>546</v>
      </c>
      <c r="S475" s="315">
        <f t="shared" si="114"/>
        <v>29</v>
      </c>
      <c r="T475" s="315">
        <f t="shared" si="115"/>
        <v>416</v>
      </c>
      <c r="U475" s="315">
        <f t="shared" si="116"/>
        <v>1571</v>
      </c>
      <c r="V475" s="591">
        <f t="shared" si="123"/>
        <v>511</v>
      </c>
      <c r="W475" s="598">
        <f t="shared" si="117"/>
        <v>511</v>
      </c>
    </row>
    <row r="476" spans="2:23" ht="15">
      <c r="B476" s="1043" t="s">
        <v>1528</v>
      </c>
      <c r="C476" s="1043" t="s">
        <v>1529</v>
      </c>
      <c r="D476" s="1046"/>
      <c r="E476" s="1043" t="s">
        <v>736</v>
      </c>
      <c r="F476" s="1032">
        <f>VALUE(Data.Sard!G474)</f>
        <v>-4.4932479520748601</v>
      </c>
      <c r="G476" s="844">
        <f>Data.Sard!J474</f>
        <v>1.7007940512574038</v>
      </c>
      <c r="H476" s="1043">
        <v>7882150</v>
      </c>
      <c r="I476" s="264">
        <f>VALUE(Data.Sard!L474)</f>
        <v>0.92800000000000005</v>
      </c>
      <c r="J476" s="904">
        <f>Data.Sard!N474</f>
        <v>-0.69355702360433646</v>
      </c>
      <c r="K476" s="595">
        <f t="shared" si="118"/>
        <v>604</v>
      </c>
      <c r="L476" s="591">
        <f t="shared" si="119"/>
        <v>258</v>
      </c>
      <c r="M476" s="591">
        <f t="shared" si="120"/>
        <v>489</v>
      </c>
      <c r="N476" s="591">
        <f t="shared" si="121"/>
        <v>111</v>
      </c>
      <c r="O476" s="591">
        <f t="shared" si="122"/>
        <v>571</v>
      </c>
      <c r="P476" s="315">
        <f t="shared" si="111"/>
        <v>495</v>
      </c>
      <c r="Q476" s="315">
        <f t="shared" si="112"/>
        <v>48</v>
      </c>
      <c r="R476" s="315">
        <f t="shared" si="113"/>
        <v>480</v>
      </c>
      <c r="S476" s="315">
        <f t="shared" si="114"/>
        <v>8</v>
      </c>
      <c r="T476" s="315">
        <f t="shared" si="115"/>
        <v>555</v>
      </c>
      <c r="U476" s="315">
        <f t="shared" si="116"/>
        <v>1586</v>
      </c>
      <c r="V476" s="591">
        <f t="shared" si="123"/>
        <v>519</v>
      </c>
      <c r="W476" s="598">
        <f t="shared" si="117"/>
        <v>519</v>
      </c>
    </row>
    <row r="477" spans="2:23" ht="15">
      <c r="B477" s="1043" t="s">
        <v>1530</v>
      </c>
      <c r="C477" s="1043" t="s">
        <v>1531</v>
      </c>
      <c r="D477" s="1046"/>
      <c r="E477" s="1043" t="s">
        <v>603</v>
      </c>
      <c r="F477" s="1032">
        <f>VALUE(Data.Sard!G475)</f>
        <v>0.27944094288958182</v>
      </c>
      <c r="G477" s="844"/>
      <c r="H477" s="1043">
        <v>534798</v>
      </c>
      <c r="I477" s="264">
        <f>VALUE(Data.Sard!L475)</f>
        <v>1.0209999999999999</v>
      </c>
      <c r="J477" s="904">
        <f>Data.Sard!N475</f>
        <v>0.16164874848631</v>
      </c>
      <c r="K477" s="595">
        <f t="shared" si="118"/>
        <v>66</v>
      </c>
      <c r="L477" s="591">
        <f t="shared" si="119"/>
        <v>397</v>
      </c>
      <c r="M477" s="591">
        <f t="shared" si="120"/>
        <v>628</v>
      </c>
      <c r="N477" s="591">
        <f t="shared" si="121"/>
        <v>99</v>
      </c>
      <c r="O477" s="591">
        <f t="shared" si="122"/>
        <v>87</v>
      </c>
      <c r="P477" s="315">
        <f t="shared" si="111"/>
        <v>43</v>
      </c>
      <c r="Q477" s="315">
        <f t="shared" si="112"/>
        <v>187</v>
      </c>
      <c r="R477" s="315">
        <f t="shared" si="113"/>
        <v>619</v>
      </c>
      <c r="S477" s="315">
        <f t="shared" si="114"/>
        <v>4</v>
      </c>
      <c r="T477" s="315">
        <f t="shared" si="115"/>
        <v>71</v>
      </c>
      <c r="U477" s="315">
        <f t="shared" si="116"/>
        <v>924</v>
      </c>
      <c r="V477" s="591">
        <f t="shared" si="123"/>
        <v>193</v>
      </c>
      <c r="W477" s="598">
        <f t="shared" si="117"/>
        <v>193</v>
      </c>
    </row>
    <row r="478" spans="2:23" ht="15">
      <c r="B478" s="1043" t="s">
        <v>1532</v>
      </c>
      <c r="C478" s="1043" t="s">
        <v>1533</v>
      </c>
      <c r="D478" s="1046"/>
      <c r="E478" s="1043" t="s">
        <v>1286</v>
      </c>
      <c r="F478" s="1032"/>
      <c r="G478" s="844">
        <f>Data.Sard!J476</f>
        <v>1.2079289838407026</v>
      </c>
      <c r="H478" s="1043">
        <v>21182098</v>
      </c>
      <c r="I478" s="264">
        <f>VALUE(Data.Sard!L476)</f>
        <v>-10.952</v>
      </c>
      <c r="J478" s="904"/>
      <c r="K478" s="595">
        <f t="shared" si="118"/>
        <v>442</v>
      </c>
      <c r="L478" s="591">
        <f t="shared" si="119"/>
        <v>281</v>
      </c>
      <c r="M478" s="591">
        <f t="shared" si="120"/>
        <v>386</v>
      </c>
      <c r="N478" s="591">
        <f t="shared" si="121"/>
        <v>531</v>
      </c>
      <c r="O478" s="591">
        <f t="shared" si="122"/>
        <v>419</v>
      </c>
      <c r="P478" s="315">
        <f t="shared" si="111"/>
        <v>333</v>
      </c>
      <c r="Q478" s="315">
        <f t="shared" si="112"/>
        <v>71</v>
      </c>
      <c r="R478" s="315">
        <f t="shared" si="113"/>
        <v>377</v>
      </c>
      <c r="S478" s="315">
        <f t="shared" si="114"/>
        <v>428</v>
      </c>
      <c r="T478" s="315">
        <f t="shared" si="115"/>
        <v>403</v>
      </c>
      <c r="U478" s="315">
        <f t="shared" si="116"/>
        <v>1612</v>
      </c>
      <c r="V478" s="591">
        <f t="shared" si="123"/>
        <v>539</v>
      </c>
      <c r="W478" s="598">
        <f t="shared" si="117"/>
        <v>539</v>
      </c>
    </row>
    <row r="479" spans="2:23" ht="15">
      <c r="B479" s="1043" t="s">
        <v>1534</v>
      </c>
      <c r="C479" s="1043" t="s">
        <v>1535</v>
      </c>
      <c r="D479" s="1046"/>
      <c r="E479" s="1043" t="s">
        <v>562</v>
      </c>
      <c r="F479" s="1032">
        <f>VALUE(Data.Sard!G477)</f>
        <v>0.1730620991189748</v>
      </c>
      <c r="G479" s="844"/>
      <c r="H479" s="1043">
        <v>269416847</v>
      </c>
      <c r="I479" s="264"/>
      <c r="J479" s="904">
        <f>Data.Sard!N477</f>
        <v>0.22187365476239074</v>
      </c>
      <c r="K479" s="595">
        <f t="shared" si="118"/>
        <v>131</v>
      </c>
      <c r="L479" s="591">
        <f t="shared" si="119"/>
        <v>397</v>
      </c>
      <c r="M479" s="591">
        <f t="shared" si="120"/>
        <v>145</v>
      </c>
      <c r="N479" s="591">
        <f t="shared" si="121"/>
        <v>285</v>
      </c>
      <c r="O479" s="591">
        <f t="shared" si="122"/>
        <v>38</v>
      </c>
      <c r="P479" s="315">
        <f t="shared" si="111"/>
        <v>22</v>
      </c>
      <c r="Q479" s="315">
        <f t="shared" si="112"/>
        <v>187</v>
      </c>
      <c r="R479" s="315">
        <f t="shared" si="113"/>
        <v>136</v>
      </c>
      <c r="S479" s="315">
        <f t="shared" si="114"/>
        <v>182</v>
      </c>
      <c r="T479" s="315">
        <f t="shared" si="115"/>
        <v>22</v>
      </c>
      <c r="U479" s="315">
        <f t="shared" si="116"/>
        <v>549</v>
      </c>
      <c r="V479" s="591">
        <f t="shared" si="123"/>
        <v>49</v>
      </c>
      <c r="W479" s="598">
        <f t="shared" si="117"/>
        <v>49</v>
      </c>
    </row>
    <row r="480" spans="2:23" ht="15">
      <c r="B480" s="996" t="s">
        <v>1536</v>
      </c>
      <c r="C480" s="1043" t="s">
        <v>1537</v>
      </c>
      <c r="D480" s="1046"/>
      <c r="E480" s="1043" t="s">
        <v>570</v>
      </c>
      <c r="F480" s="1032"/>
      <c r="G480" s="844"/>
      <c r="H480" s="1043">
        <v>10494428</v>
      </c>
      <c r="I480" s="264">
        <f>VALUE(Data.Sard!L478)</f>
        <v>0.14799999999999999</v>
      </c>
      <c r="J480" s="904"/>
      <c r="K480" s="595">
        <f t="shared" si="118"/>
        <v>442</v>
      </c>
      <c r="L480" s="591">
        <f t="shared" si="119"/>
        <v>397</v>
      </c>
      <c r="M480" s="591">
        <f t="shared" si="120"/>
        <v>465</v>
      </c>
      <c r="N480" s="591">
        <f t="shared" si="121"/>
        <v>250</v>
      </c>
      <c r="O480" s="591">
        <f t="shared" si="122"/>
        <v>419</v>
      </c>
      <c r="P480" s="315">
        <f t="shared" si="111"/>
        <v>333</v>
      </c>
      <c r="Q480" s="315">
        <f t="shared" si="112"/>
        <v>187</v>
      </c>
      <c r="R480" s="315">
        <f t="shared" si="113"/>
        <v>456</v>
      </c>
      <c r="S480" s="315">
        <f t="shared" si="114"/>
        <v>147</v>
      </c>
      <c r="T480" s="315">
        <f t="shared" si="115"/>
        <v>403</v>
      </c>
      <c r="U480" s="315">
        <f t="shared" si="116"/>
        <v>1526</v>
      </c>
      <c r="V480" s="591">
        <f t="shared" si="123"/>
        <v>477</v>
      </c>
      <c r="W480" s="598">
        <f t="shared" si="117"/>
        <v>477</v>
      </c>
    </row>
    <row r="481" spans="2:23" ht="15">
      <c r="B481" s="996" t="s">
        <v>1538</v>
      </c>
      <c r="C481" s="1043" t="s">
        <v>1539</v>
      </c>
      <c r="D481" s="1046"/>
      <c r="E481" s="1043" t="s">
        <v>1540</v>
      </c>
      <c r="F481" s="1032"/>
      <c r="G481" s="844">
        <f>Data.Sard!J479</f>
        <v>-1.9020424850787421</v>
      </c>
      <c r="H481" s="1043">
        <v>6584653</v>
      </c>
      <c r="I481" s="264"/>
      <c r="J481" s="904">
        <f>Data.Sard!N479</f>
        <v>0</v>
      </c>
      <c r="K481" s="595">
        <f t="shared" si="118"/>
        <v>442</v>
      </c>
      <c r="L481" s="591">
        <f t="shared" si="119"/>
        <v>504</v>
      </c>
      <c r="M481" s="591">
        <f t="shared" si="120"/>
        <v>508</v>
      </c>
      <c r="N481" s="591">
        <f t="shared" si="121"/>
        <v>285</v>
      </c>
      <c r="O481" s="591">
        <f t="shared" si="122"/>
        <v>419</v>
      </c>
      <c r="P481" s="315">
        <f t="shared" si="111"/>
        <v>333</v>
      </c>
      <c r="Q481" s="315">
        <f t="shared" si="112"/>
        <v>294</v>
      </c>
      <c r="R481" s="315">
        <f t="shared" si="113"/>
        <v>499</v>
      </c>
      <c r="S481" s="315">
        <f t="shared" si="114"/>
        <v>182</v>
      </c>
      <c r="T481" s="315">
        <f t="shared" si="115"/>
        <v>403</v>
      </c>
      <c r="U481" s="315">
        <f t="shared" si="116"/>
        <v>1711</v>
      </c>
      <c r="V481" s="591">
        <f t="shared" si="123"/>
        <v>591</v>
      </c>
      <c r="W481" s="598">
        <f t="shared" si="117"/>
        <v>591</v>
      </c>
    </row>
    <row r="482" spans="2:23" ht="15">
      <c r="B482" s="1043" t="s">
        <v>1541</v>
      </c>
      <c r="C482" s="1043" t="s">
        <v>1542</v>
      </c>
      <c r="D482" s="1046"/>
      <c r="E482" s="1043" t="s">
        <v>532</v>
      </c>
      <c r="F482" s="1032">
        <f>VALUE(Data.Sard!G480)</f>
        <v>0.2774147176862311</v>
      </c>
      <c r="G482" s="844"/>
      <c r="H482" s="1043">
        <v>2426510</v>
      </c>
      <c r="I482" s="264"/>
      <c r="J482" s="904">
        <f>Data.Sard!N480</f>
        <v>-5.9905563339113126</v>
      </c>
      <c r="K482" s="595">
        <f t="shared" si="118"/>
        <v>69</v>
      </c>
      <c r="L482" s="591">
        <f t="shared" si="119"/>
        <v>397</v>
      </c>
      <c r="M482" s="591">
        <f t="shared" si="120"/>
        <v>576</v>
      </c>
      <c r="N482" s="591">
        <f t="shared" si="121"/>
        <v>285</v>
      </c>
      <c r="O482" s="591">
        <f t="shared" si="122"/>
        <v>594</v>
      </c>
      <c r="P482" s="315">
        <f t="shared" si="111"/>
        <v>40</v>
      </c>
      <c r="Q482" s="315">
        <f t="shared" si="112"/>
        <v>187</v>
      </c>
      <c r="R482" s="315">
        <f t="shared" si="113"/>
        <v>567</v>
      </c>
      <c r="S482" s="315">
        <f t="shared" si="114"/>
        <v>182</v>
      </c>
      <c r="T482" s="315">
        <f t="shared" si="115"/>
        <v>578</v>
      </c>
      <c r="U482" s="315">
        <f t="shared" si="116"/>
        <v>1554</v>
      </c>
      <c r="V482" s="591">
        <f t="shared" si="123"/>
        <v>497</v>
      </c>
      <c r="W482" s="598">
        <f t="shared" si="117"/>
        <v>497</v>
      </c>
    </row>
    <row r="483" spans="2:23" ht="15">
      <c r="B483" s="1043" t="s">
        <v>1543</v>
      </c>
      <c r="C483" s="1043" t="s">
        <v>1544</v>
      </c>
      <c r="D483" s="1046"/>
      <c r="E483" s="1043" t="s">
        <v>1286</v>
      </c>
      <c r="F483" s="1032"/>
      <c r="G483" s="844">
        <f>Data.Sard!J481</f>
        <v>-1.9011670753686172</v>
      </c>
      <c r="H483" s="1043">
        <v>11643629</v>
      </c>
      <c r="I483" s="264">
        <f>VALUE(Data.Sard!L481)</f>
        <v>2.69</v>
      </c>
      <c r="J483" s="904"/>
      <c r="K483" s="595">
        <f t="shared" si="118"/>
        <v>442</v>
      </c>
      <c r="L483" s="591">
        <f t="shared" si="119"/>
        <v>503</v>
      </c>
      <c r="M483" s="591">
        <f t="shared" si="120"/>
        <v>455</v>
      </c>
      <c r="N483" s="591">
        <f t="shared" si="121"/>
        <v>36</v>
      </c>
      <c r="O483" s="591">
        <f t="shared" si="122"/>
        <v>419</v>
      </c>
      <c r="P483" s="315">
        <f t="shared" si="111"/>
        <v>333</v>
      </c>
      <c r="Q483" s="315">
        <f t="shared" si="112"/>
        <v>293</v>
      </c>
      <c r="R483" s="315">
        <f t="shared" si="113"/>
        <v>446</v>
      </c>
      <c r="S483" s="315">
        <f t="shared" si="114"/>
        <v>67</v>
      </c>
      <c r="T483" s="315">
        <f t="shared" si="115"/>
        <v>403</v>
      </c>
      <c r="U483" s="315">
        <f t="shared" si="116"/>
        <v>1542</v>
      </c>
      <c r="V483" s="591">
        <f t="shared" si="123"/>
        <v>488</v>
      </c>
      <c r="W483" s="598">
        <f t="shared" si="117"/>
        <v>488</v>
      </c>
    </row>
    <row r="484" spans="2:23" ht="15">
      <c r="B484" s="996" t="s">
        <v>1545</v>
      </c>
      <c r="C484" s="1043" t="s">
        <v>1546</v>
      </c>
      <c r="D484" s="1046"/>
      <c r="E484" s="1043" t="s">
        <v>736</v>
      </c>
      <c r="F484" s="1032">
        <f>VALUE(Data.Sard!G482)</f>
        <v>0.23145174422319639</v>
      </c>
      <c r="G484" s="844">
        <f>Data.Sard!J482</f>
        <v>4.1657740754822399</v>
      </c>
      <c r="H484" s="1043">
        <v>6853973</v>
      </c>
      <c r="I484" s="264"/>
      <c r="J484" s="904">
        <f>Data.Sard!N482</f>
        <v>-3.3557359616749167</v>
      </c>
      <c r="K484" s="595">
        <f t="shared" si="118"/>
        <v>85</v>
      </c>
      <c r="L484" s="591">
        <f t="shared" si="119"/>
        <v>140</v>
      </c>
      <c r="M484" s="591">
        <f t="shared" si="120"/>
        <v>504</v>
      </c>
      <c r="N484" s="591">
        <f t="shared" si="121"/>
        <v>285</v>
      </c>
      <c r="O484" s="591">
        <f t="shared" si="122"/>
        <v>590</v>
      </c>
      <c r="P484" s="315">
        <f t="shared" si="111"/>
        <v>24</v>
      </c>
      <c r="Q484" s="315">
        <f t="shared" si="112"/>
        <v>70</v>
      </c>
      <c r="R484" s="315">
        <f t="shared" si="113"/>
        <v>495</v>
      </c>
      <c r="S484" s="315">
        <f t="shared" si="114"/>
        <v>182</v>
      </c>
      <c r="T484" s="315">
        <f t="shared" si="115"/>
        <v>574</v>
      </c>
      <c r="U484" s="315">
        <f t="shared" si="116"/>
        <v>1345</v>
      </c>
      <c r="V484" s="591">
        <f t="shared" si="123"/>
        <v>385</v>
      </c>
      <c r="W484" s="598">
        <f t="shared" si="117"/>
        <v>385</v>
      </c>
    </row>
    <row r="485" spans="2:23" ht="15">
      <c r="B485" s="996" t="s">
        <v>1547</v>
      </c>
      <c r="C485" s="1043" t="s">
        <v>1548</v>
      </c>
      <c r="D485" s="1046"/>
      <c r="E485" s="1043" t="s">
        <v>736</v>
      </c>
      <c r="F485" s="1032">
        <f>VALUE(Data.Sard!G483)</f>
        <v>2.0782756746571512E-2</v>
      </c>
      <c r="G485" s="844">
        <f>Data.Sard!J483</f>
        <v>-0.37306004886340044</v>
      </c>
      <c r="H485" s="1043">
        <v>59737711</v>
      </c>
      <c r="I485" s="264"/>
      <c r="J485" s="904">
        <f>Data.Sard!N483</f>
        <v>7.4616707370883995E-2</v>
      </c>
      <c r="K485" s="595">
        <f t="shared" si="118"/>
        <v>394</v>
      </c>
      <c r="L485" s="591">
        <f t="shared" si="119"/>
        <v>464</v>
      </c>
      <c r="M485" s="591">
        <f t="shared" si="120"/>
        <v>280</v>
      </c>
      <c r="N485" s="591">
        <f t="shared" si="121"/>
        <v>285</v>
      </c>
      <c r="O485" s="591">
        <f t="shared" si="122"/>
        <v>211</v>
      </c>
      <c r="P485" s="315">
        <f t="shared" ref="P485:P548" si="124">IFERROR(ABS(K$3-K485),"N/A")</f>
        <v>285</v>
      </c>
      <c r="Q485" s="315">
        <f t="shared" ref="Q485:Q548" si="125">IFERROR(ABS(L$3-L485),"N/A")</f>
        <v>254</v>
      </c>
      <c r="R485" s="315">
        <f t="shared" ref="R485:R548" si="126">IFERROR(ABS(M$3-M485),"N/A")</f>
        <v>271</v>
      </c>
      <c r="S485" s="315">
        <f t="shared" ref="S485:S548" si="127">IFERROR(ABS(N$3-N485),"N/A")</f>
        <v>182</v>
      </c>
      <c r="T485" s="315">
        <f t="shared" ref="T485:T548" si="128">IFERROR(ABS(O$3-O485),"N/A")</f>
        <v>195</v>
      </c>
      <c r="U485" s="315">
        <f t="shared" ref="U485:U548" si="129">SUM(P485:T485)</f>
        <v>1187</v>
      </c>
      <c r="V485" s="591">
        <f t="shared" si="123"/>
        <v>302</v>
      </c>
      <c r="W485" s="598">
        <f t="shared" ref="W485:W548" si="130">IF(Y485="Not suitable","-",V485)</f>
        <v>302</v>
      </c>
    </row>
    <row r="486" spans="2:23" ht="15">
      <c r="B486" s="996" t="s">
        <v>1549</v>
      </c>
      <c r="C486" s="1043" t="s">
        <v>1550</v>
      </c>
      <c r="D486" s="1046"/>
      <c r="E486" s="1043" t="s">
        <v>546</v>
      </c>
      <c r="F486" s="1032">
        <f>VALUE(Data.Sard!G484)</f>
        <v>-0.63477210001227546</v>
      </c>
      <c r="G486" s="844">
        <f>Data.Sard!J484</f>
        <v>-2.6311981270904679</v>
      </c>
      <c r="H486" s="1043">
        <v>29848726</v>
      </c>
      <c r="I486" s="264">
        <f>VALUE(Data.Sard!L484)</f>
        <v>1.105</v>
      </c>
      <c r="J486" s="904">
        <f>Data.Sard!N484</f>
        <v>-1.3299209986015532</v>
      </c>
      <c r="K486" s="595">
        <f t="shared" si="118"/>
        <v>586</v>
      </c>
      <c r="L486" s="591">
        <f t="shared" si="119"/>
        <v>517</v>
      </c>
      <c r="M486" s="591">
        <f t="shared" si="120"/>
        <v>343</v>
      </c>
      <c r="N486" s="591">
        <f t="shared" si="121"/>
        <v>88</v>
      </c>
      <c r="O486" s="591">
        <f t="shared" si="122"/>
        <v>581</v>
      </c>
      <c r="P486" s="315">
        <f t="shared" si="124"/>
        <v>477</v>
      </c>
      <c r="Q486" s="315">
        <f t="shared" si="125"/>
        <v>307</v>
      </c>
      <c r="R486" s="315">
        <f t="shared" si="126"/>
        <v>334</v>
      </c>
      <c r="S486" s="315">
        <f t="shared" si="127"/>
        <v>15</v>
      </c>
      <c r="T486" s="315">
        <f t="shared" si="128"/>
        <v>565</v>
      </c>
      <c r="U486" s="315">
        <f t="shared" si="129"/>
        <v>1698</v>
      </c>
      <c r="V486" s="591">
        <f t="shared" si="123"/>
        <v>586</v>
      </c>
      <c r="W486" s="598">
        <f t="shared" si="130"/>
        <v>586</v>
      </c>
    </row>
    <row r="487" spans="2:23" ht="15">
      <c r="B487" s="996" t="s">
        <v>1551</v>
      </c>
      <c r="C487" s="1043" t="s">
        <v>1552</v>
      </c>
      <c r="D487" s="1046"/>
      <c r="E487" s="1043" t="s">
        <v>706</v>
      </c>
      <c r="F487" s="1032">
        <f>VALUE(Data.Sard!G485)</f>
        <v>-2.4348842990760618E-2</v>
      </c>
      <c r="G487" s="844">
        <f>Data.Sard!J485</f>
        <v>-1.5907176875329143</v>
      </c>
      <c r="H487" s="1043">
        <v>30953273</v>
      </c>
      <c r="I487" s="264">
        <f>VALUE(Data.Sard!L485)</f>
        <v>-1.8919999999999999</v>
      </c>
      <c r="J487" s="904">
        <f>Data.Sard!N485</f>
        <v>-1.7316940671909978E-2</v>
      </c>
      <c r="K487" s="595">
        <f t="shared" si="118"/>
        <v>465</v>
      </c>
      <c r="L487" s="591">
        <f t="shared" si="119"/>
        <v>496</v>
      </c>
      <c r="M487" s="591">
        <f t="shared" si="120"/>
        <v>339</v>
      </c>
      <c r="N487" s="591">
        <f t="shared" si="121"/>
        <v>482</v>
      </c>
      <c r="O487" s="591">
        <f t="shared" si="122"/>
        <v>447</v>
      </c>
      <c r="P487" s="315">
        <f t="shared" si="124"/>
        <v>356</v>
      </c>
      <c r="Q487" s="315">
        <f t="shared" si="125"/>
        <v>286</v>
      </c>
      <c r="R487" s="315">
        <f t="shared" si="126"/>
        <v>330</v>
      </c>
      <c r="S487" s="315">
        <f t="shared" si="127"/>
        <v>379</v>
      </c>
      <c r="T487" s="315">
        <f t="shared" si="128"/>
        <v>431</v>
      </c>
      <c r="U487" s="315">
        <f t="shared" si="129"/>
        <v>1782</v>
      </c>
      <c r="V487" s="591">
        <f t="shared" si="123"/>
        <v>639</v>
      </c>
      <c r="W487" s="598">
        <f t="shared" si="130"/>
        <v>639</v>
      </c>
    </row>
    <row r="488" spans="2:23" ht="15">
      <c r="B488" s="996" t="s">
        <v>1553</v>
      </c>
      <c r="C488" s="1043" t="s">
        <v>1554</v>
      </c>
      <c r="D488" s="1046"/>
      <c r="E488" s="1043" t="s">
        <v>736</v>
      </c>
      <c r="F488" s="1032">
        <f>VALUE(Data.Sard!G486)</f>
        <v>-8.8406240375139111E-2</v>
      </c>
      <c r="G488" s="844"/>
      <c r="H488" s="1043">
        <v>17161223</v>
      </c>
      <c r="I488" s="264">
        <f>VALUE(Data.Sard!L486)</f>
        <v>0.73099999999999998</v>
      </c>
      <c r="J488" s="904">
        <f>Data.Sard!N486</f>
        <v>-7.0956219415298866E-2</v>
      </c>
      <c r="K488" s="595">
        <f t="shared" si="118"/>
        <v>515</v>
      </c>
      <c r="L488" s="591">
        <f t="shared" si="119"/>
        <v>397</v>
      </c>
      <c r="M488" s="591">
        <f t="shared" si="120"/>
        <v>420</v>
      </c>
      <c r="N488" s="591">
        <f t="shared" si="121"/>
        <v>136</v>
      </c>
      <c r="O488" s="591">
        <f t="shared" si="122"/>
        <v>490</v>
      </c>
      <c r="P488" s="315">
        <f t="shared" si="124"/>
        <v>406</v>
      </c>
      <c r="Q488" s="315">
        <f t="shared" si="125"/>
        <v>187</v>
      </c>
      <c r="R488" s="315">
        <f t="shared" si="126"/>
        <v>411</v>
      </c>
      <c r="S488" s="315">
        <f t="shared" si="127"/>
        <v>33</v>
      </c>
      <c r="T488" s="315">
        <f t="shared" si="128"/>
        <v>474</v>
      </c>
      <c r="U488" s="315">
        <f t="shared" si="129"/>
        <v>1511</v>
      </c>
      <c r="V488" s="591">
        <f t="shared" si="123"/>
        <v>471</v>
      </c>
      <c r="W488" s="598">
        <f t="shared" si="130"/>
        <v>471</v>
      </c>
    </row>
    <row r="489" spans="2:23" ht="15">
      <c r="B489" s="1043" t="s">
        <v>1555</v>
      </c>
      <c r="C489" s="1043" t="s">
        <v>1556</v>
      </c>
      <c r="D489" s="1046"/>
      <c r="E489" s="1043" t="s">
        <v>1557</v>
      </c>
      <c r="F489" s="1032"/>
      <c r="G489" s="844">
        <f>Data.Sard!J487</f>
        <v>0.29662418026606774</v>
      </c>
      <c r="H489" s="1043">
        <v>61033831</v>
      </c>
      <c r="I489" s="264">
        <f>VALUE(Data.Sard!L487)</f>
        <v>-3.9329999999999998</v>
      </c>
      <c r="J489" s="904"/>
      <c r="K489" s="595">
        <f t="shared" si="118"/>
        <v>442</v>
      </c>
      <c r="L489" s="591">
        <f t="shared" si="119"/>
        <v>353</v>
      </c>
      <c r="M489" s="591">
        <f t="shared" si="120"/>
        <v>276</v>
      </c>
      <c r="N489" s="591">
        <f t="shared" si="121"/>
        <v>509</v>
      </c>
      <c r="O489" s="591">
        <f t="shared" si="122"/>
        <v>419</v>
      </c>
      <c r="P489" s="315">
        <f t="shared" si="124"/>
        <v>333</v>
      </c>
      <c r="Q489" s="315">
        <f t="shared" si="125"/>
        <v>143</v>
      </c>
      <c r="R489" s="315">
        <f t="shared" si="126"/>
        <v>267</v>
      </c>
      <c r="S489" s="315">
        <f t="shared" si="127"/>
        <v>406</v>
      </c>
      <c r="T489" s="315">
        <f t="shared" si="128"/>
        <v>403</v>
      </c>
      <c r="U489" s="315">
        <f t="shared" si="129"/>
        <v>1552</v>
      </c>
      <c r="V489" s="591">
        <f t="shared" si="123"/>
        <v>493</v>
      </c>
      <c r="W489" s="598">
        <f t="shared" si="130"/>
        <v>493</v>
      </c>
    </row>
    <row r="490" spans="2:23" ht="15">
      <c r="B490" s="996" t="s">
        <v>1558</v>
      </c>
      <c r="C490" s="1043" t="s">
        <v>1559</v>
      </c>
      <c r="D490" s="1046"/>
      <c r="E490" s="1043" t="s">
        <v>736</v>
      </c>
      <c r="F490" s="1032">
        <f>VALUE(Data.Sard!G488)</f>
        <v>0.10448049852867153</v>
      </c>
      <c r="G490" s="844">
        <f>Data.Sard!J488</f>
        <v>2.8445814785378203</v>
      </c>
      <c r="H490" s="1043">
        <v>413047317</v>
      </c>
      <c r="I490" s="264"/>
      <c r="J490" s="904">
        <f>Data.Sard!N488</f>
        <v>0.10601757234360971</v>
      </c>
      <c r="K490" s="595">
        <f t="shared" si="118"/>
        <v>225</v>
      </c>
      <c r="L490" s="591">
        <f t="shared" si="119"/>
        <v>191</v>
      </c>
      <c r="M490" s="591">
        <f t="shared" si="120"/>
        <v>112</v>
      </c>
      <c r="N490" s="591">
        <f t="shared" si="121"/>
        <v>285</v>
      </c>
      <c r="O490" s="591">
        <f t="shared" si="122"/>
        <v>143</v>
      </c>
      <c r="P490" s="315">
        <f t="shared" si="124"/>
        <v>116</v>
      </c>
      <c r="Q490" s="315">
        <f t="shared" si="125"/>
        <v>19</v>
      </c>
      <c r="R490" s="315">
        <f t="shared" si="126"/>
        <v>103</v>
      </c>
      <c r="S490" s="315">
        <f t="shared" si="127"/>
        <v>182</v>
      </c>
      <c r="T490" s="315">
        <f t="shared" si="128"/>
        <v>127</v>
      </c>
      <c r="U490" s="315">
        <f t="shared" si="129"/>
        <v>547</v>
      </c>
      <c r="V490" s="591">
        <f t="shared" si="123"/>
        <v>48</v>
      </c>
      <c r="W490" s="598">
        <f t="shared" si="130"/>
        <v>48</v>
      </c>
    </row>
    <row r="491" spans="2:23" ht="15">
      <c r="B491" s="996" t="s">
        <v>1560</v>
      </c>
      <c r="C491" s="1043" t="s">
        <v>1561</v>
      </c>
      <c r="D491" s="1046"/>
      <c r="E491" s="1043" t="s">
        <v>736</v>
      </c>
      <c r="F491" s="1032">
        <f>VALUE(Data.Sard!G489)</f>
        <v>0.11085408388776789</v>
      </c>
      <c r="G491" s="844">
        <f>Data.Sard!J489</f>
        <v>6.4702390631139233</v>
      </c>
      <c r="H491" s="1043">
        <v>559877378</v>
      </c>
      <c r="I491" s="264">
        <f>VALUE(Data.Sard!L489)</f>
        <v>-5.3999999999999999E-2</v>
      </c>
      <c r="J491" s="904">
        <f>Data.Sard!N489</f>
        <v>0.12219751212895551</v>
      </c>
      <c r="K491" s="595">
        <f t="shared" si="118"/>
        <v>214</v>
      </c>
      <c r="L491" s="591">
        <f t="shared" si="119"/>
        <v>95</v>
      </c>
      <c r="M491" s="591">
        <f t="shared" si="120"/>
        <v>92</v>
      </c>
      <c r="N491" s="591">
        <f t="shared" si="121"/>
        <v>303</v>
      </c>
      <c r="O491" s="591">
        <f t="shared" si="122"/>
        <v>120</v>
      </c>
      <c r="P491" s="315">
        <f t="shared" si="124"/>
        <v>105</v>
      </c>
      <c r="Q491" s="315">
        <f t="shared" si="125"/>
        <v>115</v>
      </c>
      <c r="R491" s="315">
        <f t="shared" si="126"/>
        <v>83</v>
      </c>
      <c r="S491" s="315">
        <f t="shared" si="127"/>
        <v>200</v>
      </c>
      <c r="T491" s="315">
        <f t="shared" si="128"/>
        <v>104</v>
      </c>
      <c r="U491" s="315">
        <f t="shared" si="129"/>
        <v>607</v>
      </c>
      <c r="V491" s="591">
        <f t="shared" si="123"/>
        <v>74</v>
      </c>
      <c r="W491" s="598">
        <f t="shared" si="130"/>
        <v>74</v>
      </c>
    </row>
    <row r="492" spans="2:23" ht="15">
      <c r="B492" s="1043" t="s">
        <v>1562</v>
      </c>
      <c r="C492" s="1043" t="s">
        <v>1563</v>
      </c>
      <c r="D492" s="1046"/>
      <c r="E492" s="1043" t="s">
        <v>1286</v>
      </c>
      <c r="F492" s="1032">
        <f>VALUE(Data.Sard!G490)</f>
        <v>7.4515790758159436E-2</v>
      </c>
      <c r="G492" s="844">
        <f>Data.Sard!J490</f>
        <v>0.45537314602977225</v>
      </c>
      <c r="H492" s="1043">
        <v>25769861</v>
      </c>
      <c r="I492" s="264"/>
      <c r="J492" s="904">
        <f>Data.Sard!N490</f>
        <v>3.4710038680010075E-2</v>
      </c>
      <c r="K492" s="595">
        <f t="shared" si="118"/>
        <v>277</v>
      </c>
      <c r="L492" s="591">
        <f t="shared" si="119"/>
        <v>334</v>
      </c>
      <c r="M492" s="591">
        <f t="shared" si="120"/>
        <v>361</v>
      </c>
      <c r="N492" s="591">
        <f t="shared" si="121"/>
        <v>285</v>
      </c>
      <c r="O492" s="591">
        <f t="shared" si="122"/>
        <v>325</v>
      </c>
      <c r="P492" s="315">
        <f t="shared" si="124"/>
        <v>168</v>
      </c>
      <c r="Q492" s="315">
        <f t="shared" si="125"/>
        <v>124</v>
      </c>
      <c r="R492" s="315">
        <f t="shared" si="126"/>
        <v>352</v>
      </c>
      <c r="S492" s="315">
        <f t="shared" si="127"/>
        <v>182</v>
      </c>
      <c r="T492" s="315">
        <f t="shared" si="128"/>
        <v>309</v>
      </c>
      <c r="U492" s="315">
        <f t="shared" si="129"/>
        <v>1135</v>
      </c>
      <c r="V492" s="591">
        <f t="shared" si="123"/>
        <v>286</v>
      </c>
      <c r="W492" s="598">
        <f t="shared" si="130"/>
        <v>286</v>
      </c>
    </row>
    <row r="493" spans="2:23" ht="15">
      <c r="B493" s="996" t="s">
        <v>1564</v>
      </c>
      <c r="C493" s="1043" t="s">
        <v>1565</v>
      </c>
      <c r="D493" s="1046"/>
      <c r="E493" s="1043" t="s">
        <v>736</v>
      </c>
      <c r="F493" s="1032">
        <f>VALUE(Data.Sard!G491)</f>
        <v>0.17617271341979876</v>
      </c>
      <c r="G493" s="844">
        <f>Data.Sard!J491</f>
        <v>-0.80018819210340397</v>
      </c>
      <c r="H493" s="1043">
        <v>2312825749</v>
      </c>
      <c r="I493" s="264">
        <f>VALUE(Data.Sard!L491)</f>
        <v>-1.4570000000000001</v>
      </c>
      <c r="J493" s="904">
        <f>Data.Sard!N491</f>
        <v>0.29644684220418549</v>
      </c>
      <c r="K493" s="595">
        <f t="shared" si="118"/>
        <v>125</v>
      </c>
      <c r="L493" s="591">
        <f t="shared" si="119"/>
        <v>478</v>
      </c>
      <c r="M493" s="591">
        <f t="shared" si="120"/>
        <v>39</v>
      </c>
      <c r="N493" s="591">
        <f t="shared" si="121"/>
        <v>467</v>
      </c>
      <c r="O493" s="591">
        <f t="shared" si="122"/>
        <v>18</v>
      </c>
      <c r="P493" s="315">
        <f t="shared" si="124"/>
        <v>16</v>
      </c>
      <c r="Q493" s="315">
        <f t="shared" si="125"/>
        <v>268</v>
      </c>
      <c r="R493" s="315">
        <f t="shared" si="126"/>
        <v>30</v>
      </c>
      <c r="S493" s="315">
        <f t="shared" si="127"/>
        <v>364</v>
      </c>
      <c r="T493" s="315">
        <f t="shared" si="128"/>
        <v>2</v>
      </c>
      <c r="U493" s="315">
        <f t="shared" si="129"/>
        <v>680</v>
      </c>
      <c r="V493" s="591">
        <f t="shared" si="123"/>
        <v>104</v>
      </c>
      <c r="W493" s="598">
        <f t="shared" si="130"/>
        <v>104</v>
      </c>
    </row>
    <row r="494" spans="2:23" ht="15">
      <c r="B494" s="996" t="s">
        <v>1566</v>
      </c>
      <c r="C494" s="1043" t="s">
        <v>1567</v>
      </c>
      <c r="D494" s="1046"/>
      <c r="E494" s="1043" t="s">
        <v>736</v>
      </c>
      <c r="F494" s="1032">
        <f>VALUE(Data.Sard!G492)</f>
        <v>-2.8247116968802003E-2</v>
      </c>
      <c r="G494" s="844">
        <f>Data.Sard!J492</f>
        <v>-0.2580680426148057</v>
      </c>
      <c r="H494" s="1043">
        <v>299549090</v>
      </c>
      <c r="I494" s="264">
        <f>VALUE(Data.Sard!L492)</f>
        <v>0.22500000000000001</v>
      </c>
      <c r="J494" s="904">
        <f>Data.Sard!N492</f>
        <v>-8.952856051044554E-2</v>
      </c>
      <c r="K494" s="595">
        <f t="shared" si="118"/>
        <v>470</v>
      </c>
      <c r="L494" s="591">
        <f t="shared" si="119"/>
        <v>458</v>
      </c>
      <c r="M494" s="591">
        <f t="shared" si="120"/>
        <v>136</v>
      </c>
      <c r="N494" s="591">
        <f t="shared" si="121"/>
        <v>232</v>
      </c>
      <c r="O494" s="591">
        <f t="shared" si="122"/>
        <v>502</v>
      </c>
      <c r="P494" s="315">
        <f t="shared" si="124"/>
        <v>361</v>
      </c>
      <c r="Q494" s="315">
        <f t="shared" si="125"/>
        <v>248</v>
      </c>
      <c r="R494" s="315">
        <f t="shared" si="126"/>
        <v>127</v>
      </c>
      <c r="S494" s="315">
        <f t="shared" si="127"/>
        <v>129</v>
      </c>
      <c r="T494" s="315">
        <f t="shared" si="128"/>
        <v>486</v>
      </c>
      <c r="U494" s="315">
        <f t="shared" si="129"/>
        <v>1351</v>
      </c>
      <c r="V494" s="591">
        <f t="shared" si="123"/>
        <v>389</v>
      </c>
      <c r="W494" s="598">
        <f t="shared" si="130"/>
        <v>389</v>
      </c>
    </row>
    <row r="495" spans="2:23" ht="15">
      <c r="B495" s="996" t="s">
        <v>1568</v>
      </c>
      <c r="C495" s="1043" t="s">
        <v>1569</v>
      </c>
      <c r="D495" s="1046"/>
      <c r="E495" s="1043" t="s">
        <v>736</v>
      </c>
      <c r="F495" s="1032">
        <f>VALUE(Data.Sard!G493)</f>
        <v>5.1388390536574073</v>
      </c>
      <c r="G495" s="844">
        <f>Data.Sard!J493</f>
        <v>10.560003003444114</v>
      </c>
      <c r="H495" s="1043">
        <v>51489941</v>
      </c>
      <c r="I495" s="264">
        <f>VALUE(Data.Sard!L493)</f>
        <v>-0.91</v>
      </c>
      <c r="J495" s="904">
        <f>Data.Sard!N493</f>
        <v>-5.6724710627407546</v>
      </c>
      <c r="K495" s="595">
        <f t="shared" si="118"/>
        <v>4</v>
      </c>
      <c r="L495" s="591">
        <f t="shared" si="119"/>
        <v>59</v>
      </c>
      <c r="M495" s="591">
        <f t="shared" si="120"/>
        <v>290</v>
      </c>
      <c r="N495" s="591">
        <f t="shared" si="121"/>
        <v>431</v>
      </c>
      <c r="O495" s="591">
        <f t="shared" si="122"/>
        <v>593</v>
      </c>
      <c r="P495" s="315">
        <f t="shared" si="124"/>
        <v>105</v>
      </c>
      <c r="Q495" s="315">
        <f t="shared" si="125"/>
        <v>151</v>
      </c>
      <c r="R495" s="315">
        <f t="shared" si="126"/>
        <v>281</v>
      </c>
      <c r="S495" s="315">
        <f t="shared" si="127"/>
        <v>328</v>
      </c>
      <c r="T495" s="315">
        <f t="shared" si="128"/>
        <v>577</v>
      </c>
      <c r="U495" s="315">
        <f t="shared" si="129"/>
        <v>1442</v>
      </c>
      <c r="V495" s="591">
        <f t="shared" si="123"/>
        <v>432</v>
      </c>
      <c r="W495" s="598">
        <f t="shared" si="130"/>
        <v>432</v>
      </c>
    </row>
    <row r="496" spans="2:23" ht="15">
      <c r="B496" s="996" t="s">
        <v>1570</v>
      </c>
      <c r="C496" s="1043" t="s">
        <v>1571</v>
      </c>
      <c r="D496" s="1046"/>
      <c r="E496" s="1043" t="s">
        <v>736</v>
      </c>
      <c r="F496" s="1032">
        <f>VALUE(Data.Sard!G494)</f>
        <v>2.1091002967544965E-2</v>
      </c>
      <c r="G496" s="844">
        <f>Data.Sard!J494</f>
        <v>12.655351423596898</v>
      </c>
      <c r="H496" s="1043">
        <v>66038057</v>
      </c>
      <c r="I496" s="264">
        <f>VALUE(Data.Sard!L494)</f>
        <v>0.81200000000000006</v>
      </c>
      <c r="J496" s="904">
        <f>Data.Sard!N494</f>
        <v>2.4157795869694909E-2</v>
      </c>
      <c r="K496" s="595">
        <f t="shared" si="118"/>
        <v>392</v>
      </c>
      <c r="L496" s="591">
        <f t="shared" si="119"/>
        <v>53</v>
      </c>
      <c r="M496" s="591">
        <f t="shared" si="120"/>
        <v>266</v>
      </c>
      <c r="N496" s="591">
        <f t="shared" si="121"/>
        <v>127</v>
      </c>
      <c r="O496" s="591">
        <f t="shared" si="122"/>
        <v>354</v>
      </c>
      <c r="P496" s="315">
        <f t="shared" si="124"/>
        <v>283</v>
      </c>
      <c r="Q496" s="315">
        <f t="shared" si="125"/>
        <v>157</v>
      </c>
      <c r="R496" s="315">
        <f t="shared" si="126"/>
        <v>257</v>
      </c>
      <c r="S496" s="315">
        <f t="shared" si="127"/>
        <v>24</v>
      </c>
      <c r="T496" s="315">
        <f t="shared" si="128"/>
        <v>338</v>
      </c>
      <c r="U496" s="315">
        <f t="shared" si="129"/>
        <v>1059</v>
      </c>
      <c r="V496" s="591">
        <f t="shared" si="123"/>
        <v>261</v>
      </c>
      <c r="W496" s="598">
        <f t="shared" si="130"/>
        <v>261</v>
      </c>
    </row>
    <row r="497" spans="2:23" ht="15">
      <c r="B497" s="996" t="s">
        <v>1572</v>
      </c>
      <c r="C497" s="1043" t="s">
        <v>1573</v>
      </c>
      <c r="D497" s="1046"/>
      <c r="E497" s="1043" t="s">
        <v>546</v>
      </c>
      <c r="F497" s="1032">
        <f>VALUE(Data.Sard!G495)</f>
        <v>0.11246662517139497</v>
      </c>
      <c r="G497" s="844"/>
      <c r="H497" s="1043">
        <v>89667771</v>
      </c>
      <c r="I497" s="264">
        <f>VALUE(Data.Sard!L495)</f>
        <v>-0.28299999999999997</v>
      </c>
      <c r="J497" s="904">
        <f>Data.Sard!N495</f>
        <v>0.16229681054999004</v>
      </c>
      <c r="K497" s="595">
        <f t="shared" si="118"/>
        <v>211</v>
      </c>
      <c r="L497" s="591">
        <f t="shared" si="119"/>
        <v>397</v>
      </c>
      <c r="M497" s="591">
        <f t="shared" si="120"/>
        <v>242</v>
      </c>
      <c r="N497" s="591">
        <f t="shared" si="121"/>
        <v>354</v>
      </c>
      <c r="O497" s="591">
        <f t="shared" si="122"/>
        <v>86</v>
      </c>
      <c r="P497" s="315">
        <f t="shared" si="124"/>
        <v>102</v>
      </c>
      <c r="Q497" s="315">
        <f t="shared" si="125"/>
        <v>187</v>
      </c>
      <c r="R497" s="315">
        <f t="shared" si="126"/>
        <v>233</v>
      </c>
      <c r="S497" s="315">
        <f t="shared" si="127"/>
        <v>251</v>
      </c>
      <c r="T497" s="315">
        <f t="shared" si="128"/>
        <v>70</v>
      </c>
      <c r="U497" s="315">
        <f t="shared" si="129"/>
        <v>843</v>
      </c>
      <c r="V497" s="591">
        <f t="shared" si="123"/>
        <v>162</v>
      </c>
      <c r="W497" s="598">
        <f t="shared" si="130"/>
        <v>162</v>
      </c>
    </row>
    <row r="498" spans="2:23" ht="15">
      <c r="B498" s="996" t="s">
        <v>1574</v>
      </c>
      <c r="C498" s="1043" t="s">
        <v>1575</v>
      </c>
      <c r="D498" s="1046"/>
      <c r="E498" s="1043" t="s">
        <v>603</v>
      </c>
      <c r="F498" s="1032"/>
      <c r="G498" s="844"/>
      <c r="H498" s="1003">
        <v>0</v>
      </c>
      <c r="I498" s="264">
        <f>VALUE(Data.Sard!L496)</f>
        <v>8.2590000000000003</v>
      </c>
      <c r="J498" s="904"/>
      <c r="K498" s="595">
        <f t="shared" si="118"/>
        <v>442</v>
      </c>
      <c r="L498" s="591">
        <f t="shared" si="119"/>
        <v>397</v>
      </c>
      <c r="M498" s="591">
        <f t="shared" si="120"/>
        <v>677</v>
      </c>
      <c r="N498" s="591">
        <f t="shared" si="121"/>
        <v>17</v>
      </c>
      <c r="O498" s="591">
        <f t="shared" si="122"/>
        <v>419</v>
      </c>
      <c r="P498" s="315">
        <f t="shared" si="124"/>
        <v>333</v>
      </c>
      <c r="Q498" s="315">
        <f t="shared" si="125"/>
        <v>187</v>
      </c>
      <c r="R498" s="315">
        <f t="shared" si="126"/>
        <v>668</v>
      </c>
      <c r="S498" s="315">
        <f t="shared" si="127"/>
        <v>86</v>
      </c>
      <c r="T498" s="315">
        <f t="shared" si="128"/>
        <v>403</v>
      </c>
      <c r="U498" s="315">
        <f t="shared" si="129"/>
        <v>1677</v>
      </c>
      <c r="V498" s="591">
        <f t="shared" si="123"/>
        <v>575</v>
      </c>
      <c r="W498" s="598">
        <f t="shared" si="130"/>
        <v>575</v>
      </c>
    </row>
    <row r="499" spans="2:23" ht="15">
      <c r="B499" s="996" t="s">
        <v>1576</v>
      </c>
      <c r="C499" s="1043" t="s">
        <v>1577</v>
      </c>
      <c r="D499" s="1046"/>
      <c r="E499" s="1043" t="s">
        <v>603</v>
      </c>
      <c r="F499" s="1032"/>
      <c r="G499" s="844">
        <f>Data.Sard!J497</f>
        <v>0.83697002992531655</v>
      </c>
      <c r="H499" s="1043">
        <v>2500156</v>
      </c>
      <c r="I499" s="264"/>
      <c r="J499" s="904"/>
      <c r="K499" s="595">
        <f t="shared" si="118"/>
        <v>442</v>
      </c>
      <c r="L499" s="591">
        <f t="shared" si="119"/>
        <v>303</v>
      </c>
      <c r="M499" s="591">
        <f t="shared" si="120"/>
        <v>573</v>
      </c>
      <c r="N499" s="591">
        <f t="shared" si="121"/>
        <v>285</v>
      </c>
      <c r="O499" s="591">
        <f t="shared" si="122"/>
        <v>419</v>
      </c>
      <c r="P499" s="315">
        <f t="shared" si="124"/>
        <v>333</v>
      </c>
      <c r="Q499" s="315">
        <f t="shared" si="125"/>
        <v>93</v>
      </c>
      <c r="R499" s="315">
        <f t="shared" si="126"/>
        <v>564</v>
      </c>
      <c r="S499" s="315">
        <f t="shared" si="127"/>
        <v>182</v>
      </c>
      <c r="T499" s="315">
        <f t="shared" si="128"/>
        <v>403</v>
      </c>
      <c r="U499" s="315">
        <f t="shared" si="129"/>
        <v>1575</v>
      </c>
      <c r="V499" s="591">
        <f t="shared" si="123"/>
        <v>516</v>
      </c>
      <c r="W499" s="598">
        <f t="shared" si="130"/>
        <v>516</v>
      </c>
    </row>
    <row r="500" spans="2:23" ht="15">
      <c r="B500" s="996" t="s">
        <v>1578</v>
      </c>
      <c r="C500" s="1043" t="s">
        <v>1579</v>
      </c>
      <c r="D500" s="994"/>
      <c r="E500" s="1043" t="s">
        <v>736</v>
      </c>
      <c r="F500" s="1032">
        <f>VALUE(Data.Sard!G498)</f>
        <v>4.5340305338378857E-2</v>
      </c>
      <c r="G500" s="844">
        <f>Data.Sard!J498</f>
        <v>68.093023255813947</v>
      </c>
      <c r="H500" s="1043">
        <v>389807816</v>
      </c>
      <c r="I500" s="264"/>
      <c r="J500" s="904">
        <f>Data.Sard!N498</f>
        <v>0.10151644126899416</v>
      </c>
      <c r="K500" s="595">
        <f t="shared" si="118"/>
        <v>340</v>
      </c>
      <c r="L500" s="591">
        <f t="shared" si="119"/>
        <v>5</v>
      </c>
      <c r="M500" s="591">
        <f t="shared" si="120"/>
        <v>118</v>
      </c>
      <c r="N500" s="591">
        <f t="shared" si="121"/>
        <v>285</v>
      </c>
      <c r="O500" s="591">
        <f t="shared" si="122"/>
        <v>154</v>
      </c>
      <c r="P500" s="315">
        <f t="shared" si="124"/>
        <v>231</v>
      </c>
      <c r="Q500" s="315">
        <f t="shared" si="125"/>
        <v>205</v>
      </c>
      <c r="R500" s="315">
        <f t="shared" si="126"/>
        <v>109</v>
      </c>
      <c r="S500" s="315">
        <f t="shared" si="127"/>
        <v>182</v>
      </c>
      <c r="T500" s="315">
        <f t="shared" si="128"/>
        <v>138</v>
      </c>
      <c r="U500" s="315">
        <f t="shared" si="129"/>
        <v>865</v>
      </c>
      <c r="V500" s="591">
        <f t="shared" si="123"/>
        <v>172</v>
      </c>
      <c r="W500" s="598">
        <f t="shared" si="130"/>
        <v>172</v>
      </c>
    </row>
    <row r="501" spans="2:23" ht="15">
      <c r="B501" s="996" t="s">
        <v>1580</v>
      </c>
      <c r="C501" s="1043" t="s">
        <v>1581</v>
      </c>
      <c r="D501" s="1046"/>
      <c r="E501" s="1043" t="s">
        <v>570</v>
      </c>
      <c r="F501" s="1032">
        <f>VALUE(Data.Sard!G499)</f>
        <v>4.2983915696062115E-3</v>
      </c>
      <c r="G501" s="844">
        <f>Data.Sard!J499</f>
        <v>14.463544304233343</v>
      </c>
      <c r="H501" s="1043">
        <v>753279</v>
      </c>
      <c r="I501" s="264">
        <f>VALUE(Data.Sard!L499)</f>
        <v>-0.248</v>
      </c>
      <c r="J501" s="904">
        <f>Data.Sard!N499</f>
        <v>2.0811167692033437E-4</v>
      </c>
      <c r="K501" s="595">
        <f t="shared" si="118"/>
        <v>435</v>
      </c>
      <c r="L501" s="591">
        <f t="shared" si="119"/>
        <v>38</v>
      </c>
      <c r="M501" s="591">
        <f t="shared" si="120"/>
        <v>619</v>
      </c>
      <c r="N501" s="591">
        <f t="shared" si="121"/>
        <v>348</v>
      </c>
      <c r="O501" s="591">
        <f t="shared" si="122"/>
        <v>418</v>
      </c>
      <c r="P501" s="315">
        <f t="shared" si="124"/>
        <v>326</v>
      </c>
      <c r="Q501" s="315">
        <f t="shared" si="125"/>
        <v>172</v>
      </c>
      <c r="R501" s="315">
        <f t="shared" si="126"/>
        <v>610</v>
      </c>
      <c r="S501" s="315">
        <f t="shared" si="127"/>
        <v>245</v>
      </c>
      <c r="T501" s="315">
        <f t="shared" si="128"/>
        <v>402</v>
      </c>
      <c r="U501" s="315">
        <f t="shared" si="129"/>
        <v>1755</v>
      </c>
      <c r="V501" s="591">
        <f t="shared" si="123"/>
        <v>620</v>
      </c>
      <c r="W501" s="598">
        <f t="shared" si="130"/>
        <v>620</v>
      </c>
    </row>
    <row r="502" spans="2:23" ht="15">
      <c r="B502" s="1043" t="s">
        <v>1582</v>
      </c>
      <c r="C502" s="1043" t="s">
        <v>1583</v>
      </c>
      <c r="D502" s="1046"/>
      <c r="E502" s="1043" t="s">
        <v>532</v>
      </c>
      <c r="F502" s="1032">
        <f>VALUE(Data.Sard!G500)</f>
        <v>4.3834851651787854E-2</v>
      </c>
      <c r="G502" s="844">
        <f>Data.Sard!J500</f>
        <v>0.28915915411852189</v>
      </c>
      <c r="H502" s="1043">
        <v>765579922</v>
      </c>
      <c r="I502" s="264">
        <f>VALUE(Data.Sard!L500)</f>
        <v>1.0669999999999999</v>
      </c>
      <c r="J502" s="904">
        <f>Data.Sard!N500</f>
        <v>6.0057419783526987E-2</v>
      </c>
      <c r="K502" s="595">
        <f t="shared" si="118"/>
        <v>348</v>
      </c>
      <c r="L502" s="591">
        <f t="shared" si="119"/>
        <v>356</v>
      </c>
      <c r="M502" s="591">
        <f t="shared" si="120"/>
        <v>76</v>
      </c>
      <c r="N502" s="591">
        <f t="shared" si="121"/>
        <v>94</v>
      </c>
      <c r="O502" s="591">
        <f t="shared" si="122"/>
        <v>242</v>
      </c>
      <c r="P502" s="315">
        <f t="shared" si="124"/>
        <v>239</v>
      </c>
      <c r="Q502" s="315">
        <f t="shared" si="125"/>
        <v>146</v>
      </c>
      <c r="R502" s="315">
        <f t="shared" si="126"/>
        <v>67</v>
      </c>
      <c r="S502" s="315">
        <f t="shared" si="127"/>
        <v>9</v>
      </c>
      <c r="T502" s="315">
        <f t="shared" si="128"/>
        <v>226</v>
      </c>
      <c r="U502" s="315">
        <f t="shared" si="129"/>
        <v>687</v>
      </c>
      <c r="V502" s="591">
        <f t="shared" si="123"/>
        <v>109</v>
      </c>
      <c r="W502" s="598">
        <f t="shared" si="130"/>
        <v>109</v>
      </c>
    </row>
    <row r="503" spans="2:23" ht="15">
      <c r="B503" s="996" t="s">
        <v>1584</v>
      </c>
      <c r="C503" s="1043" t="s">
        <v>1585</v>
      </c>
      <c r="D503" s="1046"/>
      <c r="E503" s="1043" t="s">
        <v>546</v>
      </c>
      <c r="F503" s="1032">
        <f>VALUE(Data.Sard!G501)</f>
        <v>0.11138910836314303</v>
      </c>
      <c r="G503" s="844">
        <f>Data.Sard!J501</f>
        <v>1.8119680542704288</v>
      </c>
      <c r="H503" s="1043">
        <v>52887087</v>
      </c>
      <c r="I503" s="264">
        <f>VALUE(Data.Sard!L501)</f>
        <v>-1.4999999999999999E-2</v>
      </c>
      <c r="J503" s="904">
        <f>Data.Sard!N501</f>
        <v>0.10978360929733195</v>
      </c>
      <c r="K503" s="595">
        <f t="shared" si="118"/>
        <v>212</v>
      </c>
      <c r="L503" s="591">
        <f t="shared" si="119"/>
        <v>251</v>
      </c>
      <c r="M503" s="591">
        <f t="shared" si="120"/>
        <v>288</v>
      </c>
      <c r="N503" s="591">
        <f t="shared" si="121"/>
        <v>288</v>
      </c>
      <c r="O503" s="591">
        <f t="shared" si="122"/>
        <v>132</v>
      </c>
      <c r="P503" s="315">
        <f t="shared" si="124"/>
        <v>103</v>
      </c>
      <c r="Q503" s="315">
        <f t="shared" si="125"/>
        <v>41</v>
      </c>
      <c r="R503" s="315">
        <f t="shared" si="126"/>
        <v>279</v>
      </c>
      <c r="S503" s="315">
        <f t="shared" si="127"/>
        <v>185</v>
      </c>
      <c r="T503" s="315">
        <f t="shared" si="128"/>
        <v>116</v>
      </c>
      <c r="U503" s="315">
        <f t="shared" si="129"/>
        <v>724</v>
      </c>
      <c r="V503" s="591">
        <f t="shared" si="123"/>
        <v>123</v>
      </c>
      <c r="W503" s="598">
        <f t="shared" si="130"/>
        <v>123</v>
      </c>
    </row>
    <row r="504" spans="2:23" ht="15">
      <c r="B504" s="1043" t="s">
        <v>1586</v>
      </c>
      <c r="C504" s="1043" t="s">
        <v>1587</v>
      </c>
      <c r="D504" s="1046"/>
      <c r="E504" s="1043" t="s">
        <v>603</v>
      </c>
      <c r="F504" s="1032">
        <f>VALUE(Data.Sard!G502)</f>
        <v>0.31012159971125891</v>
      </c>
      <c r="G504" s="844">
        <f>Data.Sard!J502</f>
        <v>9.0456558639655871</v>
      </c>
      <c r="H504" s="1043">
        <v>750831621</v>
      </c>
      <c r="I504" s="264">
        <f>VALUE(Data.Sard!L502)</f>
        <v>-1.2</v>
      </c>
      <c r="J504" s="904">
        <f>Data.Sard!N502</f>
        <v>3.7516265709259089E-2</v>
      </c>
      <c r="K504" s="595">
        <f t="shared" si="118"/>
        <v>54</v>
      </c>
      <c r="L504" s="591">
        <f t="shared" si="119"/>
        <v>70</v>
      </c>
      <c r="M504" s="591">
        <f t="shared" si="120"/>
        <v>78</v>
      </c>
      <c r="N504" s="591">
        <f t="shared" si="121"/>
        <v>450</v>
      </c>
      <c r="O504" s="591">
        <f t="shared" si="122"/>
        <v>311</v>
      </c>
      <c r="P504" s="315">
        <f t="shared" si="124"/>
        <v>55</v>
      </c>
      <c r="Q504" s="315">
        <f t="shared" si="125"/>
        <v>140</v>
      </c>
      <c r="R504" s="315">
        <f t="shared" si="126"/>
        <v>69</v>
      </c>
      <c r="S504" s="315">
        <f t="shared" si="127"/>
        <v>347</v>
      </c>
      <c r="T504" s="315">
        <f t="shared" si="128"/>
        <v>295</v>
      </c>
      <c r="U504" s="315">
        <f t="shared" si="129"/>
        <v>906</v>
      </c>
      <c r="V504" s="591">
        <f t="shared" si="123"/>
        <v>186</v>
      </c>
      <c r="W504" s="598">
        <f t="shared" si="130"/>
        <v>186</v>
      </c>
    </row>
    <row r="505" spans="2:23" ht="15">
      <c r="B505" s="1043" t="s">
        <v>1588</v>
      </c>
      <c r="C505" s="1043" t="s">
        <v>1589</v>
      </c>
      <c r="D505" s="1046"/>
      <c r="E505" s="1043" t="s">
        <v>903</v>
      </c>
      <c r="F505" s="1032">
        <f>VALUE(Data.Sard!G503)</f>
        <v>4.9252545921265933E-2</v>
      </c>
      <c r="G505" s="844">
        <f>Data.Sard!J503</f>
        <v>0.12512602831249167</v>
      </c>
      <c r="H505" s="1043">
        <v>19577066</v>
      </c>
      <c r="I505" s="264">
        <f>VALUE(Data.Sard!L503)</f>
        <v>-0.81299999999999994</v>
      </c>
      <c r="J505" s="904">
        <f>Data.Sard!N503</f>
        <v>3.1999447644563798E-2</v>
      </c>
      <c r="K505" s="595">
        <f t="shared" si="118"/>
        <v>333</v>
      </c>
      <c r="L505" s="591">
        <f t="shared" si="119"/>
        <v>370</v>
      </c>
      <c r="M505" s="591">
        <f t="shared" si="120"/>
        <v>398</v>
      </c>
      <c r="N505" s="591">
        <f t="shared" si="121"/>
        <v>420</v>
      </c>
      <c r="O505" s="591">
        <f t="shared" si="122"/>
        <v>329</v>
      </c>
      <c r="P505" s="315">
        <f t="shared" si="124"/>
        <v>224</v>
      </c>
      <c r="Q505" s="315">
        <f t="shared" si="125"/>
        <v>160</v>
      </c>
      <c r="R505" s="315">
        <f t="shared" si="126"/>
        <v>389</v>
      </c>
      <c r="S505" s="315">
        <f t="shared" si="127"/>
        <v>317</v>
      </c>
      <c r="T505" s="315">
        <f t="shared" si="128"/>
        <v>313</v>
      </c>
      <c r="U505" s="315">
        <f t="shared" si="129"/>
        <v>1403</v>
      </c>
      <c r="V505" s="591">
        <f t="shared" si="123"/>
        <v>411</v>
      </c>
      <c r="W505" s="598">
        <f t="shared" si="130"/>
        <v>411</v>
      </c>
    </row>
    <row r="506" spans="2:23" ht="15">
      <c r="B506" s="996" t="s">
        <v>1590</v>
      </c>
      <c r="C506" s="1043" t="s">
        <v>1591</v>
      </c>
      <c r="D506" s="1046"/>
      <c r="E506" s="1043" t="s">
        <v>736</v>
      </c>
      <c r="F506" s="1032">
        <f>VALUE(Data.Sard!G504)</f>
        <v>0.17992884791865113</v>
      </c>
      <c r="G506" s="844">
        <f>Data.Sard!J504</f>
        <v>-0.15809315634843862</v>
      </c>
      <c r="H506" s="1043">
        <v>2691106484</v>
      </c>
      <c r="I506" s="264">
        <f>VALUE(Data.Sard!L504)</f>
        <v>0.85499999999999998</v>
      </c>
      <c r="J506" s="904">
        <f>Data.Sard!N504</f>
        <v>0.12668312331091902</v>
      </c>
      <c r="K506" s="595">
        <f t="shared" si="118"/>
        <v>123</v>
      </c>
      <c r="L506" s="591">
        <f t="shared" si="119"/>
        <v>455</v>
      </c>
      <c r="M506" s="591">
        <f t="shared" si="120"/>
        <v>36</v>
      </c>
      <c r="N506" s="591">
        <f t="shared" si="121"/>
        <v>121</v>
      </c>
      <c r="O506" s="591">
        <f t="shared" si="122"/>
        <v>113</v>
      </c>
      <c r="P506" s="315">
        <f t="shared" si="124"/>
        <v>14</v>
      </c>
      <c r="Q506" s="315">
        <f t="shared" si="125"/>
        <v>245</v>
      </c>
      <c r="R506" s="315">
        <f t="shared" si="126"/>
        <v>27</v>
      </c>
      <c r="S506" s="315">
        <f t="shared" si="127"/>
        <v>18</v>
      </c>
      <c r="T506" s="315">
        <f t="shared" si="128"/>
        <v>97</v>
      </c>
      <c r="U506" s="315">
        <f t="shared" si="129"/>
        <v>401</v>
      </c>
      <c r="V506" s="591">
        <f t="shared" si="123"/>
        <v>15</v>
      </c>
      <c r="W506" s="598">
        <f t="shared" si="130"/>
        <v>15</v>
      </c>
    </row>
    <row r="507" spans="2:23" ht="15">
      <c r="B507" s="996" t="s">
        <v>1592</v>
      </c>
      <c r="C507" s="1043" t="s">
        <v>1593</v>
      </c>
      <c r="D507" s="1046"/>
      <c r="E507" s="1043" t="s">
        <v>736</v>
      </c>
      <c r="F507" s="1032">
        <f>VALUE(Data.Sard!G505)</f>
        <v>-0.18641996212189016</v>
      </c>
      <c r="G507" s="844">
        <f>Data.Sard!J505</f>
        <v>0</v>
      </c>
      <c r="H507" s="1043">
        <v>295353519</v>
      </c>
      <c r="I507" s="264">
        <f>VALUE(Data.Sard!L505)</f>
        <v>3.5999999999999997E-2</v>
      </c>
      <c r="J507" s="904">
        <f>Data.Sard!N505</f>
        <v>-0.17365571038496097</v>
      </c>
      <c r="K507" s="595">
        <f t="shared" si="118"/>
        <v>543</v>
      </c>
      <c r="L507" s="591">
        <f t="shared" si="119"/>
        <v>397</v>
      </c>
      <c r="M507" s="591">
        <f t="shared" si="120"/>
        <v>137</v>
      </c>
      <c r="N507" s="591">
        <f t="shared" si="121"/>
        <v>278</v>
      </c>
      <c r="O507" s="591">
        <f t="shared" si="122"/>
        <v>527</v>
      </c>
      <c r="P507" s="315">
        <f t="shared" si="124"/>
        <v>434</v>
      </c>
      <c r="Q507" s="315">
        <f t="shared" si="125"/>
        <v>187</v>
      </c>
      <c r="R507" s="315">
        <f t="shared" si="126"/>
        <v>128</v>
      </c>
      <c r="S507" s="315">
        <f t="shared" si="127"/>
        <v>175</v>
      </c>
      <c r="T507" s="315">
        <f t="shared" si="128"/>
        <v>511</v>
      </c>
      <c r="U507" s="315">
        <f t="shared" si="129"/>
        <v>1435</v>
      </c>
      <c r="V507" s="591">
        <f t="shared" si="123"/>
        <v>425</v>
      </c>
      <c r="W507" s="598">
        <f t="shared" si="130"/>
        <v>425</v>
      </c>
    </row>
    <row r="508" spans="2:23" ht="15">
      <c r="B508" s="996" t="s">
        <v>1594</v>
      </c>
      <c r="C508" s="1043" t="s">
        <v>1595</v>
      </c>
      <c r="D508" s="1046"/>
      <c r="E508" s="1043" t="s">
        <v>603</v>
      </c>
      <c r="F508" s="1032">
        <f>VALUE(Data.Sard!G506)</f>
        <v>5.0796520057684643E-3</v>
      </c>
      <c r="G508" s="844">
        <f>Data.Sard!J506</f>
        <v>-5.9267219965610289</v>
      </c>
      <c r="H508" s="1043">
        <v>1073438</v>
      </c>
      <c r="I508" s="264">
        <f>VALUE(Data.Sard!L506)</f>
        <v>-0.89400000000000002</v>
      </c>
      <c r="J508" s="904">
        <f>Data.Sard!N506</f>
        <v>5.0034910725693549E-2</v>
      </c>
      <c r="K508" s="595">
        <f t="shared" si="118"/>
        <v>432</v>
      </c>
      <c r="L508" s="591">
        <f t="shared" si="119"/>
        <v>547</v>
      </c>
      <c r="M508" s="591">
        <f t="shared" si="120"/>
        <v>610</v>
      </c>
      <c r="N508" s="591">
        <f t="shared" si="121"/>
        <v>430</v>
      </c>
      <c r="O508" s="591">
        <f t="shared" si="122"/>
        <v>279</v>
      </c>
      <c r="P508" s="315">
        <f t="shared" si="124"/>
        <v>323</v>
      </c>
      <c r="Q508" s="315">
        <f t="shared" si="125"/>
        <v>337</v>
      </c>
      <c r="R508" s="315">
        <f t="shared" si="126"/>
        <v>601</v>
      </c>
      <c r="S508" s="315">
        <f t="shared" si="127"/>
        <v>327</v>
      </c>
      <c r="T508" s="315">
        <f t="shared" si="128"/>
        <v>263</v>
      </c>
      <c r="U508" s="315">
        <f t="shared" si="129"/>
        <v>1851</v>
      </c>
      <c r="V508" s="591">
        <f t="shared" si="123"/>
        <v>663</v>
      </c>
      <c r="W508" s="598">
        <f t="shared" si="130"/>
        <v>663</v>
      </c>
    </row>
    <row r="509" spans="2:23" ht="15">
      <c r="B509" s="996" t="s">
        <v>1596</v>
      </c>
      <c r="C509" s="1043" t="s">
        <v>1597</v>
      </c>
      <c r="D509" s="1046"/>
      <c r="E509" s="1043" t="s">
        <v>736</v>
      </c>
      <c r="F509" s="1032">
        <f>VALUE(Data.Sard!G507)</f>
        <v>-0.25167236306520552</v>
      </c>
      <c r="G509" s="844">
        <f>Data.Sard!J507</f>
        <v>-0.7549367762558139</v>
      </c>
      <c r="H509" s="1043">
        <v>414699783</v>
      </c>
      <c r="I509" s="264">
        <f>VALUE(Data.Sard!L507)</f>
        <v>-4.75</v>
      </c>
      <c r="J509" s="904">
        <f>Data.Sard!N507</f>
        <v>-0.16001183243736181</v>
      </c>
      <c r="K509" s="595">
        <f t="shared" si="118"/>
        <v>553</v>
      </c>
      <c r="L509" s="591">
        <f t="shared" si="119"/>
        <v>475</v>
      </c>
      <c r="M509" s="591">
        <f t="shared" si="120"/>
        <v>111</v>
      </c>
      <c r="N509" s="591">
        <f t="shared" si="121"/>
        <v>517</v>
      </c>
      <c r="O509" s="591">
        <f t="shared" si="122"/>
        <v>525</v>
      </c>
      <c r="P509" s="315">
        <f t="shared" si="124"/>
        <v>444</v>
      </c>
      <c r="Q509" s="315">
        <f t="shared" si="125"/>
        <v>265</v>
      </c>
      <c r="R509" s="315">
        <f t="shared" si="126"/>
        <v>102</v>
      </c>
      <c r="S509" s="315">
        <f t="shared" si="127"/>
        <v>414</v>
      </c>
      <c r="T509" s="315">
        <f t="shared" si="128"/>
        <v>509</v>
      </c>
      <c r="U509" s="315">
        <f t="shared" si="129"/>
        <v>1734</v>
      </c>
      <c r="V509" s="591">
        <f t="shared" si="123"/>
        <v>606</v>
      </c>
      <c r="W509" s="598">
        <f t="shared" si="130"/>
        <v>606</v>
      </c>
    </row>
    <row r="510" spans="2:23" ht="15">
      <c r="B510" s="996" t="s">
        <v>1598</v>
      </c>
      <c r="C510" s="1043" t="s">
        <v>1599</v>
      </c>
      <c r="D510" s="1046"/>
      <c r="E510" s="1043" t="s">
        <v>546</v>
      </c>
      <c r="F510" s="1032">
        <f>VALUE(Data.Sard!G508)</f>
        <v>-0.48102590251049465</v>
      </c>
      <c r="G510" s="844">
        <f>Data.Sard!J508</f>
        <v>-0.81853669443617449</v>
      </c>
      <c r="H510" s="1043">
        <v>5505250</v>
      </c>
      <c r="I510" s="264">
        <f>VALUE(Data.Sard!L508)</f>
        <v>-3.306</v>
      </c>
      <c r="J510" s="904">
        <f>Data.Sard!N508</f>
        <v>-1.1737771181734657</v>
      </c>
      <c r="K510" s="595">
        <f t="shared" si="118"/>
        <v>572</v>
      </c>
      <c r="L510" s="591">
        <f t="shared" si="119"/>
        <v>479</v>
      </c>
      <c r="M510" s="591">
        <f t="shared" si="120"/>
        <v>518</v>
      </c>
      <c r="N510" s="591">
        <f t="shared" si="121"/>
        <v>505</v>
      </c>
      <c r="O510" s="591">
        <f t="shared" si="122"/>
        <v>579</v>
      </c>
      <c r="P510" s="315">
        <f t="shared" si="124"/>
        <v>463</v>
      </c>
      <c r="Q510" s="315">
        <f t="shared" si="125"/>
        <v>269</v>
      </c>
      <c r="R510" s="315">
        <f t="shared" si="126"/>
        <v>509</v>
      </c>
      <c r="S510" s="315">
        <f t="shared" si="127"/>
        <v>402</v>
      </c>
      <c r="T510" s="315">
        <f t="shared" si="128"/>
        <v>563</v>
      </c>
      <c r="U510" s="315">
        <f t="shared" si="129"/>
        <v>2206</v>
      </c>
      <c r="V510" s="591">
        <f t="shared" si="123"/>
        <v>703</v>
      </c>
      <c r="W510" s="598">
        <f t="shared" si="130"/>
        <v>703</v>
      </c>
    </row>
    <row r="511" spans="2:23" ht="15">
      <c r="B511" s="996" t="s">
        <v>1600</v>
      </c>
      <c r="C511" s="1043" t="s">
        <v>1601</v>
      </c>
      <c r="D511" s="1046"/>
      <c r="E511" s="1043" t="s">
        <v>736</v>
      </c>
      <c r="F511" s="1032">
        <f>VALUE(Data.Sard!G509)</f>
        <v>-0.38711091071225179</v>
      </c>
      <c r="G511" s="844">
        <f>Data.Sard!J509</f>
        <v>-4.8804705441022445E-2</v>
      </c>
      <c r="H511" s="1043">
        <v>51078371</v>
      </c>
      <c r="I511" s="264">
        <f>VALUE(Data.Sard!L509)</f>
        <v>0.31900000000000001</v>
      </c>
      <c r="J511" s="904">
        <f>Data.Sard!N509</f>
        <v>-0.30448233589249551</v>
      </c>
      <c r="K511" s="595">
        <f t="shared" si="118"/>
        <v>563</v>
      </c>
      <c r="L511" s="591">
        <f t="shared" si="119"/>
        <v>443</v>
      </c>
      <c r="M511" s="591">
        <f t="shared" si="120"/>
        <v>292</v>
      </c>
      <c r="N511" s="591">
        <f t="shared" si="121"/>
        <v>210</v>
      </c>
      <c r="O511" s="591">
        <f t="shared" si="122"/>
        <v>546</v>
      </c>
      <c r="P511" s="315">
        <f t="shared" si="124"/>
        <v>454</v>
      </c>
      <c r="Q511" s="315">
        <f t="shared" si="125"/>
        <v>233</v>
      </c>
      <c r="R511" s="315">
        <f t="shared" si="126"/>
        <v>283</v>
      </c>
      <c r="S511" s="315">
        <f t="shared" si="127"/>
        <v>107</v>
      </c>
      <c r="T511" s="315">
        <f t="shared" si="128"/>
        <v>530</v>
      </c>
      <c r="U511" s="315">
        <f t="shared" si="129"/>
        <v>1607</v>
      </c>
      <c r="V511" s="591">
        <f t="shared" si="123"/>
        <v>536</v>
      </c>
      <c r="W511" s="598">
        <f t="shared" si="130"/>
        <v>536</v>
      </c>
    </row>
    <row r="512" spans="2:23" ht="15">
      <c r="B512" s="996" t="s">
        <v>1602</v>
      </c>
      <c r="C512" s="1043" t="s">
        <v>1603</v>
      </c>
      <c r="D512" s="1046"/>
      <c r="E512" s="1043" t="s">
        <v>546</v>
      </c>
      <c r="F512" s="1032">
        <f>VALUE(Data.Sard!G510)</f>
        <v>-0.26090697209113922</v>
      </c>
      <c r="G512" s="844">
        <f>Data.Sard!J510</f>
        <v>0</v>
      </c>
      <c r="H512" s="1043">
        <v>25115068</v>
      </c>
      <c r="I512" s="264">
        <f>VALUE(Data.Sard!L510)</f>
        <v>-4.609</v>
      </c>
      <c r="J512" s="904">
        <f>Data.Sard!N510</f>
        <v>-0.14118573141410728</v>
      </c>
      <c r="K512" s="595">
        <f t="shared" si="118"/>
        <v>554</v>
      </c>
      <c r="L512" s="591">
        <f t="shared" si="119"/>
        <v>397</v>
      </c>
      <c r="M512" s="591">
        <f t="shared" si="120"/>
        <v>365</v>
      </c>
      <c r="N512" s="591">
        <f t="shared" si="121"/>
        <v>516</v>
      </c>
      <c r="O512" s="591">
        <f t="shared" si="122"/>
        <v>521</v>
      </c>
      <c r="P512" s="315">
        <f t="shared" si="124"/>
        <v>445</v>
      </c>
      <c r="Q512" s="315">
        <f t="shared" si="125"/>
        <v>187</v>
      </c>
      <c r="R512" s="315">
        <f t="shared" si="126"/>
        <v>356</v>
      </c>
      <c r="S512" s="315">
        <f t="shared" si="127"/>
        <v>413</v>
      </c>
      <c r="T512" s="315">
        <f t="shared" si="128"/>
        <v>505</v>
      </c>
      <c r="U512" s="315">
        <f t="shared" si="129"/>
        <v>1906</v>
      </c>
      <c r="V512" s="591">
        <f t="shared" si="123"/>
        <v>685</v>
      </c>
      <c r="W512" s="598">
        <f t="shared" si="130"/>
        <v>685</v>
      </c>
    </row>
    <row r="513" spans="2:23" ht="15">
      <c r="B513" s="996" t="s">
        <v>1604</v>
      </c>
      <c r="C513" s="1043" t="s">
        <v>1605</v>
      </c>
      <c r="D513" s="1046"/>
      <c r="E513" s="1043" t="s">
        <v>541</v>
      </c>
      <c r="F513" s="1032">
        <f>VALUE(Data.Sard!G511)</f>
        <v>-2.8860322333077515</v>
      </c>
      <c r="G513" s="844">
        <f>Data.Sard!J511</f>
        <v>20.322360370766553</v>
      </c>
      <c r="H513" s="1043">
        <v>32</v>
      </c>
      <c r="I513" s="264">
        <f>VALUE(Data.Sard!L511)</f>
        <v>0.39600000000000002</v>
      </c>
      <c r="J513" s="904">
        <f>Data.Sard!N511</f>
        <v>-0.56037104622871048</v>
      </c>
      <c r="K513" s="595">
        <f t="shared" si="118"/>
        <v>602</v>
      </c>
      <c r="L513" s="591">
        <f t="shared" si="119"/>
        <v>27</v>
      </c>
      <c r="M513" s="591">
        <f t="shared" si="120"/>
        <v>672</v>
      </c>
      <c r="N513" s="591">
        <f t="shared" si="121"/>
        <v>188</v>
      </c>
      <c r="O513" s="591">
        <f t="shared" si="122"/>
        <v>560</v>
      </c>
      <c r="P513" s="315">
        <f t="shared" si="124"/>
        <v>493</v>
      </c>
      <c r="Q513" s="315">
        <f t="shared" si="125"/>
        <v>183</v>
      </c>
      <c r="R513" s="315">
        <f t="shared" si="126"/>
        <v>663</v>
      </c>
      <c r="S513" s="315">
        <f t="shared" si="127"/>
        <v>85</v>
      </c>
      <c r="T513" s="315">
        <f t="shared" si="128"/>
        <v>544</v>
      </c>
      <c r="U513" s="315">
        <f t="shared" si="129"/>
        <v>1968</v>
      </c>
      <c r="V513" s="591">
        <f t="shared" si="123"/>
        <v>694</v>
      </c>
      <c r="W513" s="598">
        <f t="shared" si="130"/>
        <v>694</v>
      </c>
    </row>
    <row r="514" spans="2:23" ht="15">
      <c r="B514" s="1043" t="s">
        <v>1606</v>
      </c>
      <c r="C514" s="1043" t="s">
        <v>1607</v>
      </c>
      <c r="D514" s="1046"/>
      <c r="E514" s="1043" t="s">
        <v>603</v>
      </c>
      <c r="F514" s="1032">
        <f>VALUE(Data.Sard!G512)</f>
        <v>-2.6185164449482596E-3</v>
      </c>
      <c r="G514" s="844">
        <f>Data.Sard!J512</f>
        <v>7.9560747004958925</v>
      </c>
      <c r="H514" s="1043">
        <v>1896601</v>
      </c>
      <c r="I514" s="264"/>
      <c r="J514" s="904">
        <f>Data.Sard!N512</f>
        <v>4.6481617944159802E-2</v>
      </c>
      <c r="K514" s="595">
        <f t="shared" si="118"/>
        <v>450</v>
      </c>
      <c r="L514" s="591">
        <f t="shared" si="119"/>
        <v>80</v>
      </c>
      <c r="M514" s="591">
        <f t="shared" si="120"/>
        <v>592</v>
      </c>
      <c r="N514" s="591">
        <f t="shared" si="121"/>
        <v>285</v>
      </c>
      <c r="O514" s="591">
        <f t="shared" si="122"/>
        <v>292</v>
      </c>
      <c r="P514" s="315">
        <f t="shared" si="124"/>
        <v>341</v>
      </c>
      <c r="Q514" s="315">
        <f t="shared" si="125"/>
        <v>130</v>
      </c>
      <c r="R514" s="315">
        <f t="shared" si="126"/>
        <v>583</v>
      </c>
      <c r="S514" s="315">
        <f t="shared" si="127"/>
        <v>182</v>
      </c>
      <c r="T514" s="315">
        <f t="shared" si="128"/>
        <v>276</v>
      </c>
      <c r="U514" s="315">
        <f t="shared" si="129"/>
        <v>1512</v>
      </c>
      <c r="V514" s="591">
        <f t="shared" si="123"/>
        <v>472</v>
      </c>
      <c r="W514" s="598">
        <f t="shared" si="130"/>
        <v>472</v>
      </c>
    </row>
    <row r="515" spans="2:23" ht="15">
      <c r="B515" s="996" t="s">
        <v>1608</v>
      </c>
      <c r="C515" s="1043" t="s">
        <v>1609</v>
      </c>
      <c r="D515" s="1046"/>
      <c r="E515" s="1043" t="s">
        <v>603</v>
      </c>
      <c r="F515" s="1032">
        <f>VALUE(Data.Sard!G513)</f>
        <v>2.6686522098992121E-2</v>
      </c>
      <c r="G515" s="844">
        <f>Data.Sard!J513</f>
        <v>14.361277605874038</v>
      </c>
      <c r="H515" s="1043">
        <v>7141044</v>
      </c>
      <c r="I515" s="264"/>
      <c r="J515" s="904">
        <f>Data.Sard!N513</f>
        <v>2.9917842436510477E-2</v>
      </c>
      <c r="K515" s="595">
        <f t="shared" si="118"/>
        <v>379</v>
      </c>
      <c r="L515" s="591">
        <f t="shared" si="119"/>
        <v>39</v>
      </c>
      <c r="M515" s="591">
        <f t="shared" si="120"/>
        <v>500</v>
      </c>
      <c r="N515" s="591">
        <f t="shared" si="121"/>
        <v>285</v>
      </c>
      <c r="O515" s="591">
        <f t="shared" si="122"/>
        <v>337</v>
      </c>
      <c r="P515" s="315">
        <f t="shared" si="124"/>
        <v>270</v>
      </c>
      <c r="Q515" s="315">
        <f t="shared" si="125"/>
        <v>171</v>
      </c>
      <c r="R515" s="315">
        <f t="shared" si="126"/>
        <v>491</v>
      </c>
      <c r="S515" s="315">
        <f t="shared" si="127"/>
        <v>182</v>
      </c>
      <c r="T515" s="315">
        <f t="shared" si="128"/>
        <v>321</v>
      </c>
      <c r="U515" s="315">
        <f t="shared" si="129"/>
        <v>1435</v>
      </c>
      <c r="V515" s="591">
        <f t="shared" si="123"/>
        <v>425</v>
      </c>
      <c r="W515" s="598">
        <f t="shared" si="130"/>
        <v>425</v>
      </c>
    </row>
    <row r="516" spans="2:23" ht="15">
      <c r="B516" s="996" t="s">
        <v>1610</v>
      </c>
      <c r="C516" s="1043" t="s">
        <v>1611</v>
      </c>
      <c r="D516" s="1046"/>
      <c r="E516" s="1043" t="s">
        <v>736</v>
      </c>
      <c r="F516" s="1032">
        <f>VALUE(Data.Sard!G514)</f>
        <v>3.1856127317587316E-2</v>
      </c>
      <c r="G516" s="844">
        <f>Data.Sard!J514</f>
        <v>0</v>
      </c>
      <c r="H516" s="1043">
        <v>650055945</v>
      </c>
      <c r="I516" s="264">
        <f>VALUE(Data.Sard!L514)</f>
        <v>6</v>
      </c>
      <c r="J516" s="904">
        <f>Data.Sard!N514</f>
        <v>2.9665459557764787E-2</v>
      </c>
      <c r="K516" s="595">
        <f t="shared" si="118"/>
        <v>368</v>
      </c>
      <c r="L516" s="591">
        <f t="shared" si="119"/>
        <v>397</v>
      </c>
      <c r="M516" s="591">
        <f t="shared" si="120"/>
        <v>83</v>
      </c>
      <c r="N516" s="591">
        <f t="shared" si="121"/>
        <v>20</v>
      </c>
      <c r="O516" s="591">
        <f t="shared" si="122"/>
        <v>338</v>
      </c>
      <c r="P516" s="315">
        <f t="shared" si="124"/>
        <v>259</v>
      </c>
      <c r="Q516" s="315">
        <f t="shared" si="125"/>
        <v>187</v>
      </c>
      <c r="R516" s="315">
        <f t="shared" si="126"/>
        <v>74</v>
      </c>
      <c r="S516" s="315">
        <f t="shared" si="127"/>
        <v>83</v>
      </c>
      <c r="T516" s="315">
        <f t="shared" si="128"/>
        <v>322</v>
      </c>
      <c r="U516" s="315">
        <f t="shared" si="129"/>
        <v>925</v>
      </c>
      <c r="V516" s="591">
        <f t="shared" si="123"/>
        <v>194</v>
      </c>
      <c r="W516" s="598">
        <f t="shared" si="130"/>
        <v>194</v>
      </c>
    </row>
    <row r="517" spans="2:23" ht="15">
      <c r="B517" s="996" t="s">
        <v>1612</v>
      </c>
      <c r="C517" s="1043" t="s">
        <v>1613</v>
      </c>
      <c r="D517" s="1046"/>
      <c r="E517" s="1043" t="s">
        <v>603</v>
      </c>
      <c r="F517" s="1032">
        <f>VALUE(Data.Sard!G515)</f>
        <v>-0.11646105072008975</v>
      </c>
      <c r="G517" s="844">
        <f>Data.Sard!J515</f>
        <v>-1.7670940177908296</v>
      </c>
      <c r="H517" s="1043">
        <v>1731600</v>
      </c>
      <c r="I517" s="264">
        <f>VALUE(Data.Sard!L515)</f>
        <v>1.3</v>
      </c>
      <c r="J517" s="904">
        <f>Data.Sard!N515</f>
        <v>-0.15814961713474421</v>
      </c>
      <c r="K517" s="595">
        <f t="shared" ref="K517:K580" si="131">IFERROR(_xlfn.RANK.EQ(F517,F$3:F$706),"N/A")</f>
        <v>525</v>
      </c>
      <c r="L517" s="591">
        <f t="shared" ref="L517:L580" si="132">IFERROR(_xlfn.RANK.EQ(G517,G$3:G$706),"N/A")</f>
        <v>499</v>
      </c>
      <c r="M517" s="591">
        <f t="shared" ref="M517:M580" si="133">IFERROR(_xlfn.RANK.EQ(H517,H$3:H$706),"N/A")</f>
        <v>594</v>
      </c>
      <c r="N517" s="591">
        <f t="shared" ref="N517:N580" si="134">IFERROR(_xlfn.RANK.EQ(I517,I$3:I$706),"N/A")</f>
        <v>71</v>
      </c>
      <c r="O517" s="591">
        <f t="shared" ref="O517:O580" si="135">IFERROR(_xlfn.RANK.EQ(J517,J$3:J$706),"N/A")</f>
        <v>524</v>
      </c>
      <c r="P517" s="315">
        <f t="shared" si="124"/>
        <v>416</v>
      </c>
      <c r="Q517" s="315">
        <f t="shared" si="125"/>
        <v>289</v>
      </c>
      <c r="R517" s="315">
        <f t="shared" si="126"/>
        <v>585</v>
      </c>
      <c r="S517" s="315">
        <f t="shared" si="127"/>
        <v>32</v>
      </c>
      <c r="T517" s="315">
        <f t="shared" si="128"/>
        <v>508</v>
      </c>
      <c r="U517" s="315">
        <f t="shared" si="129"/>
        <v>1830</v>
      </c>
      <c r="V517" s="591">
        <f t="shared" ref="V517:V580" si="136">_xlfn.RANK.EQ(U517,$U$4:$U$706,1)</f>
        <v>653</v>
      </c>
      <c r="W517" s="598">
        <f t="shared" si="130"/>
        <v>653</v>
      </c>
    </row>
    <row r="518" spans="2:23" ht="15">
      <c r="B518" s="996" t="s">
        <v>1614</v>
      </c>
      <c r="C518" s="1043" t="s">
        <v>1615</v>
      </c>
      <c r="D518" s="1046"/>
      <c r="E518" s="1043" t="s">
        <v>541</v>
      </c>
      <c r="F518" s="1032">
        <f>VALUE(Data.Sard!G516)</f>
        <v>-0.30355865504843421</v>
      </c>
      <c r="G518" s="844">
        <f>Data.Sard!J516</f>
        <v>3.6955251915074889</v>
      </c>
      <c r="H518" s="1043">
        <v>13428232</v>
      </c>
      <c r="I518" s="264">
        <f>VALUE(Data.Sard!L516)</f>
        <v>-1.24</v>
      </c>
      <c r="J518" s="904">
        <f>Data.Sard!N516</f>
        <v>-3.0625599796178345E-2</v>
      </c>
      <c r="K518" s="595">
        <f t="shared" si="131"/>
        <v>557</v>
      </c>
      <c r="L518" s="591">
        <f t="shared" si="132"/>
        <v>155</v>
      </c>
      <c r="M518" s="591">
        <f t="shared" si="133"/>
        <v>439</v>
      </c>
      <c r="N518" s="591">
        <f t="shared" si="134"/>
        <v>453</v>
      </c>
      <c r="O518" s="591">
        <f t="shared" si="135"/>
        <v>460</v>
      </c>
      <c r="P518" s="315">
        <f t="shared" si="124"/>
        <v>448</v>
      </c>
      <c r="Q518" s="315">
        <f t="shared" si="125"/>
        <v>55</v>
      </c>
      <c r="R518" s="315">
        <f t="shared" si="126"/>
        <v>430</v>
      </c>
      <c r="S518" s="315">
        <f t="shared" si="127"/>
        <v>350</v>
      </c>
      <c r="T518" s="315">
        <f t="shared" si="128"/>
        <v>444</v>
      </c>
      <c r="U518" s="315">
        <f t="shared" si="129"/>
        <v>1727</v>
      </c>
      <c r="V518" s="591">
        <f t="shared" si="136"/>
        <v>601</v>
      </c>
      <c r="W518" s="598">
        <f t="shared" si="130"/>
        <v>601</v>
      </c>
    </row>
    <row r="519" spans="2:23" ht="15">
      <c r="B519" s="1043" t="s">
        <v>1616</v>
      </c>
      <c r="C519" s="1043" t="s">
        <v>1617</v>
      </c>
      <c r="D519" s="1046"/>
      <c r="E519" s="1043" t="s">
        <v>584</v>
      </c>
      <c r="F519" s="1032">
        <f>VALUE(Data.Sard!G517)</f>
        <v>0.11428641642464317</v>
      </c>
      <c r="G519" s="844"/>
      <c r="H519" s="1043">
        <v>53115240</v>
      </c>
      <c r="I519" s="264">
        <f>VALUE(Data.Sard!L517)</f>
        <v>-4.0570000000000004</v>
      </c>
      <c r="J519" s="904">
        <f>Data.Sard!N517</f>
        <v>7.6451281501419943E-2</v>
      </c>
      <c r="K519" s="595">
        <f t="shared" si="131"/>
        <v>205</v>
      </c>
      <c r="L519" s="591">
        <f t="shared" si="132"/>
        <v>397</v>
      </c>
      <c r="M519" s="591">
        <f t="shared" si="133"/>
        <v>287</v>
      </c>
      <c r="N519" s="591">
        <f t="shared" si="134"/>
        <v>511</v>
      </c>
      <c r="O519" s="591">
        <f t="shared" si="135"/>
        <v>206</v>
      </c>
      <c r="P519" s="315">
        <f t="shared" si="124"/>
        <v>96</v>
      </c>
      <c r="Q519" s="315">
        <f t="shared" si="125"/>
        <v>187</v>
      </c>
      <c r="R519" s="315">
        <f t="shared" si="126"/>
        <v>278</v>
      </c>
      <c r="S519" s="315">
        <f t="shared" si="127"/>
        <v>408</v>
      </c>
      <c r="T519" s="315">
        <f t="shared" si="128"/>
        <v>190</v>
      </c>
      <c r="U519" s="315">
        <f t="shared" si="129"/>
        <v>1159</v>
      </c>
      <c r="V519" s="591">
        <f t="shared" si="136"/>
        <v>295</v>
      </c>
      <c r="W519" s="598">
        <f t="shared" si="130"/>
        <v>295</v>
      </c>
    </row>
    <row r="520" spans="2:23" ht="15">
      <c r="B520" s="1043" t="s">
        <v>1618</v>
      </c>
      <c r="C520" s="1043" t="s">
        <v>1619</v>
      </c>
      <c r="D520" s="1046"/>
      <c r="E520" s="1043" t="s">
        <v>1286</v>
      </c>
      <c r="F520" s="1032"/>
      <c r="G520" s="844">
        <f>Data.Sard!J518</f>
        <v>3.340774174121842</v>
      </c>
      <c r="H520" s="1043">
        <v>12727808</v>
      </c>
      <c r="I520" s="264">
        <f>VALUE(Data.Sard!L518)</f>
        <v>0.05</v>
      </c>
      <c r="J520" s="904"/>
      <c r="K520" s="595">
        <f t="shared" si="131"/>
        <v>442</v>
      </c>
      <c r="L520" s="591">
        <f t="shared" si="132"/>
        <v>167</v>
      </c>
      <c r="M520" s="591">
        <f t="shared" si="133"/>
        <v>444</v>
      </c>
      <c r="N520" s="591">
        <f t="shared" si="134"/>
        <v>276</v>
      </c>
      <c r="O520" s="591">
        <f t="shared" si="135"/>
        <v>419</v>
      </c>
      <c r="P520" s="315">
        <f t="shared" si="124"/>
        <v>333</v>
      </c>
      <c r="Q520" s="315">
        <f t="shared" si="125"/>
        <v>43</v>
      </c>
      <c r="R520" s="315">
        <f t="shared" si="126"/>
        <v>435</v>
      </c>
      <c r="S520" s="315">
        <f t="shared" si="127"/>
        <v>173</v>
      </c>
      <c r="T520" s="315">
        <f t="shared" si="128"/>
        <v>403</v>
      </c>
      <c r="U520" s="315">
        <f t="shared" si="129"/>
        <v>1387</v>
      </c>
      <c r="V520" s="591">
        <f t="shared" si="136"/>
        <v>401</v>
      </c>
      <c r="W520" s="598">
        <f t="shared" si="130"/>
        <v>401</v>
      </c>
    </row>
    <row r="521" spans="2:23" ht="15">
      <c r="B521" s="996" t="s">
        <v>1620</v>
      </c>
      <c r="C521" s="1043" t="s">
        <v>1621</v>
      </c>
      <c r="D521" s="1046"/>
      <c r="E521" s="1043" t="s">
        <v>706</v>
      </c>
      <c r="F521" s="1032">
        <f>VALUE(Data.Sard!G519)</f>
        <v>0.11477467820664754</v>
      </c>
      <c r="G521" s="844">
        <f>Data.Sard!J519</f>
        <v>-3.7799353178465562</v>
      </c>
      <c r="H521" s="1043">
        <v>341637058</v>
      </c>
      <c r="I521" s="264"/>
      <c r="J521" s="904">
        <f>Data.Sard!N519</f>
        <v>5.5667037124504312E-2</v>
      </c>
      <c r="K521" s="595">
        <f t="shared" si="131"/>
        <v>203</v>
      </c>
      <c r="L521" s="591">
        <f t="shared" si="132"/>
        <v>524</v>
      </c>
      <c r="M521" s="591">
        <f t="shared" si="133"/>
        <v>123</v>
      </c>
      <c r="N521" s="591">
        <f t="shared" si="134"/>
        <v>285</v>
      </c>
      <c r="O521" s="591">
        <f t="shared" si="135"/>
        <v>262</v>
      </c>
      <c r="P521" s="315">
        <f t="shared" si="124"/>
        <v>94</v>
      </c>
      <c r="Q521" s="315">
        <f t="shared" si="125"/>
        <v>314</v>
      </c>
      <c r="R521" s="315">
        <f t="shared" si="126"/>
        <v>114</v>
      </c>
      <c r="S521" s="315">
        <f t="shared" si="127"/>
        <v>182</v>
      </c>
      <c r="T521" s="315">
        <f t="shared" si="128"/>
        <v>246</v>
      </c>
      <c r="U521" s="315">
        <f t="shared" si="129"/>
        <v>950</v>
      </c>
      <c r="V521" s="591">
        <f t="shared" si="136"/>
        <v>211</v>
      </c>
      <c r="W521" s="598">
        <f t="shared" si="130"/>
        <v>211</v>
      </c>
    </row>
    <row r="522" spans="2:23" ht="15">
      <c r="B522" s="1043" t="s">
        <v>1622</v>
      </c>
      <c r="C522" s="1043" t="s">
        <v>1623</v>
      </c>
      <c r="D522" s="1046"/>
      <c r="E522" s="1043" t="s">
        <v>532</v>
      </c>
      <c r="F522" s="1032">
        <f>VALUE(Data.Sard!G520)</f>
        <v>-0.38896032544367565</v>
      </c>
      <c r="G522" s="844">
        <f>Data.Sard!J520</f>
        <v>4.1177738444588394</v>
      </c>
      <c r="H522" s="1043">
        <v>8312384</v>
      </c>
      <c r="I522" s="264">
        <f>VALUE(Data.Sard!L520)</f>
        <v>-0.36599999999999999</v>
      </c>
      <c r="J522" s="904">
        <f>Data.Sard!N520</f>
        <v>-0.10661654693867083</v>
      </c>
      <c r="K522" s="595">
        <f t="shared" si="131"/>
        <v>564</v>
      </c>
      <c r="L522" s="591">
        <f t="shared" si="132"/>
        <v>143</v>
      </c>
      <c r="M522" s="591">
        <f t="shared" si="133"/>
        <v>483</v>
      </c>
      <c r="N522" s="591">
        <f t="shared" si="134"/>
        <v>365</v>
      </c>
      <c r="O522" s="591">
        <f t="shared" si="135"/>
        <v>507</v>
      </c>
      <c r="P522" s="315">
        <f t="shared" si="124"/>
        <v>455</v>
      </c>
      <c r="Q522" s="315">
        <f t="shared" si="125"/>
        <v>67</v>
      </c>
      <c r="R522" s="315">
        <f t="shared" si="126"/>
        <v>474</v>
      </c>
      <c r="S522" s="315">
        <f t="shared" si="127"/>
        <v>262</v>
      </c>
      <c r="T522" s="315">
        <f t="shared" si="128"/>
        <v>491</v>
      </c>
      <c r="U522" s="315">
        <f t="shared" si="129"/>
        <v>1749</v>
      </c>
      <c r="V522" s="591">
        <f t="shared" si="136"/>
        <v>617</v>
      </c>
      <c r="W522" s="598">
        <f t="shared" si="130"/>
        <v>617</v>
      </c>
    </row>
    <row r="523" spans="2:23" ht="15">
      <c r="B523" s="1043" t="s">
        <v>1624</v>
      </c>
      <c r="C523" s="1043" t="s">
        <v>1625</v>
      </c>
      <c r="D523" s="1046"/>
      <c r="E523" s="1043" t="s">
        <v>603</v>
      </c>
      <c r="F523" s="1032">
        <f>VALUE(Data.Sard!G521)</f>
        <v>0.17783452971536701</v>
      </c>
      <c r="G523" s="844">
        <f>Data.Sard!J521</f>
        <v>1.6505200197247252</v>
      </c>
      <c r="H523" s="1043">
        <v>886709388</v>
      </c>
      <c r="I523" s="264">
        <f>VALUE(Data.Sard!L521)</f>
        <v>-0.79</v>
      </c>
      <c r="J523" s="904">
        <f>Data.Sard!N521</f>
        <v>7.0487214967546327E-2</v>
      </c>
      <c r="K523" s="595">
        <f t="shared" si="131"/>
        <v>124</v>
      </c>
      <c r="L523" s="591">
        <f t="shared" si="132"/>
        <v>262</v>
      </c>
      <c r="M523" s="591">
        <f t="shared" si="133"/>
        <v>67</v>
      </c>
      <c r="N523" s="591">
        <f t="shared" si="134"/>
        <v>419</v>
      </c>
      <c r="O523" s="591">
        <f t="shared" si="135"/>
        <v>217</v>
      </c>
      <c r="P523" s="315">
        <f t="shared" si="124"/>
        <v>15</v>
      </c>
      <c r="Q523" s="315">
        <f t="shared" si="125"/>
        <v>52</v>
      </c>
      <c r="R523" s="315">
        <f t="shared" si="126"/>
        <v>58</v>
      </c>
      <c r="S523" s="315">
        <f t="shared" si="127"/>
        <v>316</v>
      </c>
      <c r="T523" s="315">
        <f t="shared" si="128"/>
        <v>201</v>
      </c>
      <c r="U523" s="315">
        <f t="shared" si="129"/>
        <v>642</v>
      </c>
      <c r="V523" s="591">
        <f t="shared" si="136"/>
        <v>91</v>
      </c>
      <c r="W523" s="598">
        <f t="shared" si="130"/>
        <v>91</v>
      </c>
    </row>
    <row r="524" spans="2:23" ht="15">
      <c r="B524" s="1043" t="s">
        <v>1626</v>
      </c>
      <c r="C524" s="1043" t="s">
        <v>1627</v>
      </c>
      <c r="D524" s="1046"/>
      <c r="E524" s="1043" t="s">
        <v>584</v>
      </c>
      <c r="F524" s="1032">
        <f>VALUE(Data.Sard!G522)</f>
        <v>8.7027436512373213E-2</v>
      </c>
      <c r="G524" s="844">
        <f>Data.Sard!J522</f>
        <v>1.1683908270537775</v>
      </c>
      <c r="H524" s="1043">
        <v>19710062</v>
      </c>
      <c r="I524" s="264"/>
      <c r="J524" s="904">
        <f>Data.Sard!N522</f>
        <v>7.6451641612893792E-2</v>
      </c>
      <c r="K524" s="595">
        <f t="shared" si="131"/>
        <v>249</v>
      </c>
      <c r="L524" s="591">
        <f t="shared" si="132"/>
        <v>282</v>
      </c>
      <c r="M524" s="591">
        <f t="shared" si="133"/>
        <v>396</v>
      </c>
      <c r="N524" s="591">
        <f t="shared" si="134"/>
        <v>285</v>
      </c>
      <c r="O524" s="591">
        <f t="shared" si="135"/>
        <v>205</v>
      </c>
      <c r="P524" s="315">
        <f t="shared" si="124"/>
        <v>140</v>
      </c>
      <c r="Q524" s="315">
        <f t="shared" si="125"/>
        <v>72</v>
      </c>
      <c r="R524" s="315">
        <f t="shared" si="126"/>
        <v>387</v>
      </c>
      <c r="S524" s="315">
        <f t="shared" si="127"/>
        <v>182</v>
      </c>
      <c r="T524" s="315">
        <f t="shared" si="128"/>
        <v>189</v>
      </c>
      <c r="U524" s="315">
        <f t="shared" si="129"/>
        <v>970</v>
      </c>
      <c r="V524" s="591">
        <f t="shared" si="136"/>
        <v>226</v>
      </c>
      <c r="W524" s="598">
        <f t="shared" si="130"/>
        <v>226</v>
      </c>
    </row>
    <row r="525" spans="2:23" ht="15">
      <c r="B525" s="996" t="s">
        <v>1628</v>
      </c>
      <c r="C525" s="1043" t="s">
        <v>1629</v>
      </c>
      <c r="D525" s="1046"/>
      <c r="E525" s="1043" t="s">
        <v>603</v>
      </c>
      <c r="F525" s="1032">
        <f>VALUE(Data.Sard!G523)</f>
        <v>0.15360108391697341</v>
      </c>
      <c r="G525" s="844">
        <f>Data.Sard!J523</f>
        <v>5.2283367117579918</v>
      </c>
      <c r="H525" s="1043">
        <v>11804944</v>
      </c>
      <c r="I525" s="264">
        <f>VALUE(Data.Sard!L523)</f>
        <v>-1.3779999999999999</v>
      </c>
      <c r="J525" s="904">
        <f>Data.Sard!N523</f>
        <v>7.8116025386256491E-2</v>
      </c>
      <c r="K525" s="595">
        <f t="shared" si="131"/>
        <v>152</v>
      </c>
      <c r="L525" s="591">
        <f t="shared" si="132"/>
        <v>119</v>
      </c>
      <c r="M525" s="591">
        <f t="shared" si="133"/>
        <v>451</v>
      </c>
      <c r="N525" s="591">
        <f t="shared" si="134"/>
        <v>461</v>
      </c>
      <c r="O525" s="591">
        <f t="shared" si="135"/>
        <v>195</v>
      </c>
      <c r="P525" s="315">
        <f t="shared" si="124"/>
        <v>43</v>
      </c>
      <c r="Q525" s="315">
        <f t="shared" si="125"/>
        <v>91</v>
      </c>
      <c r="R525" s="315">
        <f t="shared" si="126"/>
        <v>442</v>
      </c>
      <c r="S525" s="315">
        <f t="shared" si="127"/>
        <v>358</v>
      </c>
      <c r="T525" s="315">
        <f t="shared" si="128"/>
        <v>179</v>
      </c>
      <c r="U525" s="315">
        <f t="shared" si="129"/>
        <v>1113</v>
      </c>
      <c r="V525" s="591">
        <f t="shared" si="136"/>
        <v>278</v>
      </c>
      <c r="W525" s="598">
        <f t="shared" si="130"/>
        <v>278</v>
      </c>
    </row>
    <row r="526" spans="2:23" ht="15">
      <c r="B526" s="996" t="s">
        <v>1630</v>
      </c>
      <c r="C526" s="1043" t="s">
        <v>1631</v>
      </c>
      <c r="D526" s="1046"/>
      <c r="E526" s="1043" t="s">
        <v>546</v>
      </c>
      <c r="F526" s="1032">
        <f>VALUE(Data.Sard!G524)</f>
        <v>0.10804333031552514</v>
      </c>
      <c r="G526" s="844">
        <f>Data.Sard!J524</f>
        <v>-0.66569010304038201</v>
      </c>
      <c r="H526" s="1043">
        <v>359407110</v>
      </c>
      <c r="I526" s="264">
        <f>VALUE(Data.Sard!L524)</f>
        <v>-0.42599999999999999</v>
      </c>
      <c r="J526" s="904">
        <f>Data.Sard!N524</f>
        <v>9.9986077422894379E-2</v>
      </c>
      <c r="K526" s="595">
        <f t="shared" si="131"/>
        <v>217</v>
      </c>
      <c r="L526" s="591">
        <f t="shared" si="132"/>
        <v>474</v>
      </c>
      <c r="M526" s="591">
        <f t="shared" si="133"/>
        <v>121</v>
      </c>
      <c r="N526" s="591">
        <f t="shared" si="134"/>
        <v>375</v>
      </c>
      <c r="O526" s="591">
        <f t="shared" si="135"/>
        <v>157</v>
      </c>
      <c r="P526" s="315">
        <f t="shared" si="124"/>
        <v>108</v>
      </c>
      <c r="Q526" s="315">
        <f t="shared" si="125"/>
        <v>264</v>
      </c>
      <c r="R526" s="315">
        <f t="shared" si="126"/>
        <v>112</v>
      </c>
      <c r="S526" s="315">
        <f t="shared" si="127"/>
        <v>272</v>
      </c>
      <c r="T526" s="315">
        <f t="shared" si="128"/>
        <v>141</v>
      </c>
      <c r="U526" s="315">
        <f t="shared" si="129"/>
        <v>897</v>
      </c>
      <c r="V526" s="591">
        <f t="shared" si="136"/>
        <v>183</v>
      </c>
      <c r="W526" s="598">
        <f t="shared" si="130"/>
        <v>183</v>
      </c>
    </row>
    <row r="527" spans="2:23" ht="15">
      <c r="B527" s="996" t="s">
        <v>1632</v>
      </c>
      <c r="C527" s="1043" t="s">
        <v>1633</v>
      </c>
      <c r="D527" s="1046"/>
      <c r="E527" s="1043" t="s">
        <v>736</v>
      </c>
      <c r="F527" s="1032">
        <f>VALUE(Data.Sard!G525)</f>
        <v>-4.8582108252813769E-2</v>
      </c>
      <c r="G527" s="844">
        <f>Data.Sard!J525</f>
        <v>-7.1791010981546473</v>
      </c>
      <c r="H527" s="1043">
        <v>18861716</v>
      </c>
      <c r="I527" s="264">
        <f>VALUE(Data.Sard!L525)</f>
        <v>-0.65900000000000003</v>
      </c>
      <c r="J527" s="904">
        <f>Data.Sard!N525</f>
        <v>-3.4548393976298941E-2</v>
      </c>
      <c r="K527" s="595">
        <f t="shared" si="131"/>
        <v>488</v>
      </c>
      <c r="L527" s="591">
        <f t="shared" si="132"/>
        <v>554</v>
      </c>
      <c r="M527" s="591">
        <f t="shared" si="133"/>
        <v>404</v>
      </c>
      <c r="N527" s="591">
        <f t="shared" si="134"/>
        <v>407</v>
      </c>
      <c r="O527" s="591">
        <f t="shared" si="135"/>
        <v>465</v>
      </c>
      <c r="P527" s="315">
        <f t="shared" si="124"/>
        <v>379</v>
      </c>
      <c r="Q527" s="315">
        <f t="shared" si="125"/>
        <v>344</v>
      </c>
      <c r="R527" s="315">
        <f t="shared" si="126"/>
        <v>395</v>
      </c>
      <c r="S527" s="315">
        <f t="shared" si="127"/>
        <v>304</v>
      </c>
      <c r="T527" s="315">
        <f t="shared" si="128"/>
        <v>449</v>
      </c>
      <c r="U527" s="315">
        <f t="shared" si="129"/>
        <v>1871</v>
      </c>
      <c r="V527" s="591">
        <f t="shared" si="136"/>
        <v>673</v>
      </c>
      <c r="W527" s="598">
        <f t="shared" si="130"/>
        <v>673</v>
      </c>
    </row>
    <row r="528" spans="2:23" ht="15">
      <c r="B528" s="1043" t="s">
        <v>1634</v>
      </c>
      <c r="C528" s="1043" t="s">
        <v>1635</v>
      </c>
      <c r="D528" s="1046"/>
      <c r="E528" s="1043" t="s">
        <v>570</v>
      </c>
      <c r="F528" s="1032">
        <f>VALUE(Data.Sard!G526)</f>
        <v>-4.161523775695955E-2</v>
      </c>
      <c r="G528" s="844">
        <f>Data.Sard!J526</f>
        <v>0.77720447273922699</v>
      </c>
      <c r="H528" s="1043">
        <v>149690965</v>
      </c>
      <c r="I528" s="264">
        <f>VALUE(Data.Sard!L526)</f>
        <v>-0.20899999999999999</v>
      </c>
      <c r="J528" s="904">
        <f>Data.Sard!N526</f>
        <v>-1.365897560002536E-2</v>
      </c>
      <c r="K528" s="595">
        <f t="shared" si="131"/>
        <v>483</v>
      </c>
      <c r="L528" s="591">
        <f t="shared" si="132"/>
        <v>311</v>
      </c>
      <c r="M528" s="591">
        <f t="shared" si="133"/>
        <v>193</v>
      </c>
      <c r="N528" s="591">
        <f t="shared" si="134"/>
        <v>343</v>
      </c>
      <c r="O528" s="591">
        <f t="shared" si="135"/>
        <v>445</v>
      </c>
      <c r="P528" s="315">
        <f t="shared" si="124"/>
        <v>374</v>
      </c>
      <c r="Q528" s="315">
        <f t="shared" si="125"/>
        <v>101</v>
      </c>
      <c r="R528" s="315">
        <f t="shared" si="126"/>
        <v>184</v>
      </c>
      <c r="S528" s="315">
        <f t="shared" si="127"/>
        <v>240</v>
      </c>
      <c r="T528" s="315">
        <f t="shared" si="128"/>
        <v>429</v>
      </c>
      <c r="U528" s="315">
        <f t="shared" si="129"/>
        <v>1328</v>
      </c>
      <c r="V528" s="591">
        <f t="shared" si="136"/>
        <v>374</v>
      </c>
      <c r="W528" s="598">
        <f t="shared" si="130"/>
        <v>374</v>
      </c>
    </row>
    <row r="529" spans="2:23" ht="15">
      <c r="B529" s="1043" t="s">
        <v>1636</v>
      </c>
      <c r="C529" s="1043" t="s">
        <v>1637</v>
      </c>
      <c r="D529" s="1046"/>
      <c r="E529" s="1043" t="s">
        <v>903</v>
      </c>
      <c r="F529" s="1032">
        <f>VALUE(Data.Sard!G527)</f>
        <v>0.28286595153608823</v>
      </c>
      <c r="G529" s="844">
        <f>Data.Sard!J527</f>
        <v>7.7603376437752027</v>
      </c>
      <c r="H529" s="1043">
        <v>138901694</v>
      </c>
      <c r="I529" s="264">
        <f>VALUE(Data.Sard!L527)</f>
        <v>-4.2999999999999997E-2</v>
      </c>
      <c r="J529" s="904">
        <f>Data.Sard!N527</f>
        <v>0.16638086244299552</v>
      </c>
      <c r="K529" s="595">
        <f t="shared" si="131"/>
        <v>63</v>
      </c>
      <c r="L529" s="591">
        <f t="shared" si="132"/>
        <v>84</v>
      </c>
      <c r="M529" s="591">
        <f t="shared" si="133"/>
        <v>200</v>
      </c>
      <c r="N529" s="591">
        <f t="shared" si="134"/>
        <v>300</v>
      </c>
      <c r="O529" s="591">
        <f t="shared" si="135"/>
        <v>75</v>
      </c>
      <c r="P529" s="315">
        <f t="shared" si="124"/>
        <v>46</v>
      </c>
      <c r="Q529" s="315">
        <f t="shared" si="125"/>
        <v>126</v>
      </c>
      <c r="R529" s="315">
        <f t="shared" si="126"/>
        <v>191</v>
      </c>
      <c r="S529" s="315">
        <f t="shared" si="127"/>
        <v>197</v>
      </c>
      <c r="T529" s="315">
        <f t="shared" si="128"/>
        <v>59</v>
      </c>
      <c r="U529" s="315">
        <f t="shared" si="129"/>
        <v>619</v>
      </c>
      <c r="V529" s="591">
        <f t="shared" si="136"/>
        <v>81</v>
      </c>
      <c r="W529" s="598">
        <f t="shared" si="130"/>
        <v>81</v>
      </c>
    </row>
    <row r="530" spans="2:23" ht="15">
      <c r="B530" s="996" t="s">
        <v>1638</v>
      </c>
      <c r="C530" s="1043" t="s">
        <v>1639</v>
      </c>
      <c r="D530" s="1046"/>
      <c r="E530" s="1043" t="s">
        <v>736</v>
      </c>
      <c r="F530" s="1032">
        <f>VALUE(Data.Sard!G528)</f>
        <v>2.0677528599903048E-2</v>
      </c>
      <c r="G530" s="844">
        <f>Data.Sard!J528</f>
        <v>2.0984451515762901</v>
      </c>
      <c r="H530" s="1043">
        <v>313637341</v>
      </c>
      <c r="I530" s="264">
        <f>VALUE(Data.Sard!L528)</f>
        <v>-0.28999999999999998</v>
      </c>
      <c r="J530" s="904">
        <f>Data.Sard!N528</f>
        <v>2.7114818015748242E-2</v>
      </c>
      <c r="K530" s="595">
        <f t="shared" si="131"/>
        <v>396</v>
      </c>
      <c r="L530" s="591">
        <f t="shared" si="132"/>
        <v>233</v>
      </c>
      <c r="M530" s="591">
        <f t="shared" si="133"/>
        <v>133</v>
      </c>
      <c r="N530" s="591">
        <f t="shared" si="134"/>
        <v>356</v>
      </c>
      <c r="O530" s="591">
        <f t="shared" si="135"/>
        <v>343</v>
      </c>
      <c r="P530" s="315">
        <f t="shared" si="124"/>
        <v>287</v>
      </c>
      <c r="Q530" s="315">
        <f t="shared" si="125"/>
        <v>23</v>
      </c>
      <c r="R530" s="315">
        <f t="shared" si="126"/>
        <v>124</v>
      </c>
      <c r="S530" s="315">
        <f t="shared" si="127"/>
        <v>253</v>
      </c>
      <c r="T530" s="315">
        <f t="shared" si="128"/>
        <v>327</v>
      </c>
      <c r="U530" s="315">
        <f t="shared" si="129"/>
        <v>1014</v>
      </c>
      <c r="V530" s="591">
        <f t="shared" si="136"/>
        <v>245</v>
      </c>
      <c r="W530" s="598">
        <f t="shared" si="130"/>
        <v>245</v>
      </c>
    </row>
    <row r="531" spans="2:23" ht="15">
      <c r="B531" s="1043" t="s">
        <v>1640</v>
      </c>
      <c r="C531" s="1043" t="s">
        <v>1641</v>
      </c>
      <c r="D531" s="1046"/>
      <c r="E531" s="1043" t="s">
        <v>603</v>
      </c>
      <c r="F531" s="1032">
        <f>VALUE(Data.Sard!G529)</f>
        <v>0.12249206141384447</v>
      </c>
      <c r="G531" s="844">
        <f>Data.Sard!J529</f>
        <v>0.42083576534845235</v>
      </c>
      <c r="H531" s="1043">
        <v>176650580</v>
      </c>
      <c r="I531" s="264">
        <f>VALUE(Data.Sard!L529)</f>
        <v>-0.38</v>
      </c>
      <c r="J531" s="904">
        <f>Data.Sard!N529</f>
        <v>0.10817798997526454</v>
      </c>
      <c r="K531" s="595">
        <f t="shared" si="131"/>
        <v>191</v>
      </c>
      <c r="L531" s="591">
        <f t="shared" si="132"/>
        <v>340</v>
      </c>
      <c r="M531" s="591">
        <f t="shared" si="133"/>
        <v>180</v>
      </c>
      <c r="N531" s="591">
        <f t="shared" si="134"/>
        <v>368</v>
      </c>
      <c r="O531" s="591">
        <f t="shared" si="135"/>
        <v>138</v>
      </c>
      <c r="P531" s="315">
        <f t="shared" si="124"/>
        <v>82</v>
      </c>
      <c r="Q531" s="315">
        <f t="shared" si="125"/>
        <v>130</v>
      </c>
      <c r="R531" s="315">
        <f t="shared" si="126"/>
        <v>171</v>
      </c>
      <c r="S531" s="315">
        <f t="shared" si="127"/>
        <v>265</v>
      </c>
      <c r="T531" s="315">
        <f t="shared" si="128"/>
        <v>122</v>
      </c>
      <c r="U531" s="315">
        <f t="shared" si="129"/>
        <v>770</v>
      </c>
      <c r="V531" s="591">
        <f t="shared" si="136"/>
        <v>134</v>
      </c>
      <c r="W531" s="598">
        <f t="shared" si="130"/>
        <v>134</v>
      </c>
    </row>
    <row r="532" spans="2:23" ht="15">
      <c r="B532" s="996" t="s">
        <v>1642</v>
      </c>
      <c r="C532" s="1043" t="s">
        <v>1643</v>
      </c>
      <c r="D532" s="1046"/>
      <c r="E532" s="1043" t="s">
        <v>736</v>
      </c>
      <c r="F532" s="1032">
        <f>VALUE(Data.Sard!G530)</f>
        <v>0.10653106298989137</v>
      </c>
      <c r="G532" s="844">
        <f>Data.Sard!J530</f>
        <v>1.3684398792440877</v>
      </c>
      <c r="H532" s="1043">
        <v>873749738</v>
      </c>
      <c r="I532" s="264">
        <f>VALUE(Data.Sard!L530)</f>
        <v>0.34699999999999998</v>
      </c>
      <c r="J532" s="904">
        <f>Data.Sard!N530</f>
        <v>0.18051317402827249</v>
      </c>
      <c r="K532" s="595">
        <f t="shared" si="131"/>
        <v>221</v>
      </c>
      <c r="L532" s="591">
        <f t="shared" si="132"/>
        <v>278</v>
      </c>
      <c r="M532" s="591">
        <f t="shared" si="133"/>
        <v>68</v>
      </c>
      <c r="N532" s="591">
        <f t="shared" si="134"/>
        <v>201</v>
      </c>
      <c r="O532" s="591">
        <f t="shared" si="135"/>
        <v>64</v>
      </c>
      <c r="P532" s="315">
        <f t="shared" si="124"/>
        <v>112</v>
      </c>
      <c r="Q532" s="315">
        <f t="shared" si="125"/>
        <v>68</v>
      </c>
      <c r="R532" s="315">
        <f t="shared" si="126"/>
        <v>59</v>
      </c>
      <c r="S532" s="315">
        <f t="shared" si="127"/>
        <v>98</v>
      </c>
      <c r="T532" s="315">
        <f t="shared" si="128"/>
        <v>48</v>
      </c>
      <c r="U532" s="315">
        <f t="shared" si="129"/>
        <v>385</v>
      </c>
      <c r="V532" s="591">
        <f t="shared" si="136"/>
        <v>13</v>
      </c>
      <c r="W532" s="598">
        <f t="shared" si="130"/>
        <v>13</v>
      </c>
    </row>
    <row r="533" spans="2:23" ht="15">
      <c r="B533" s="1043" t="s">
        <v>1644</v>
      </c>
      <c r="C533" s="1043" t="s">
        <v>1645</v>
      </c>
      <c r="D533" s="1046"/>
      <c r="E533" s="1043" t="s">
        <v>603</v>
      </c>
      <c r="F533" s="1032">
        <f>VALUE(Data.Sard!G531)</f>
        <v>9.4691960115180121E-2</v>
      </c>
      <c r="G533" s="844"/>
      <c r="H533" s="1043">
        <v>480511985</v>
      </c>
      <c r="I533" s="264">
        <f>VALUE(Data.Sard!L531)</f>
        <v>-0.104</v>
      </c>
      <c r="J533" s="904">
        <f>Data.Sard!N531</f>
        <v>8.2269008606210989E-2</v>
      </c>
      <c r="K533" s="595">
        <f t="shared" si="131"/>
        <v>243</v>
      </c>
      <c r="L533" s="591">
        <f t="shared" si="132"/>
        <v>397</v>
      </c>
      <c r="M533" s="591">
        <f t="shared" si="133"/>
        <v>103</v>
      </c>
      <c r="N533" s="591">
        <f t="shared" si="134"/>
        <v>316</v>
      </c>
      <c r="O533" s="591">
        <f t="shared" si="135"/>
        <v>188</v>
      </c>
      <c r="P533" s="315">
        <f t="shared" si="124"/>
        <v>134</v>
      </c>
      <c r="Q533" s="315">
        <f t="shared" si="125"/>
        <v>187</v>
      </c>
      <c r="R533" s="315">
        <f t="shared" si="126"/>
        <v>94</v>
      </c>
      <c r="S533" s="315">
        <f t="shared" si="127"/>
        <v>213</v>
      </c>
      <c r="T533" s="315">
        <f t="shared" si="128"/>
        <v>172</v>
      </c>
      <c r="U533" s="315">
        <f t="shared" si="129"/>
        <v>800</v>
      </c>
      <c r="V533" s="591">
        <f t="shared" si="136"/>
        <v>144</v>
      </c>
      <c r="W533" s="598">
        <f t="shared" si="130"/>
        <v>144</v>
      </c>
    </row>
    <row r="534" spans="2:23" ht="15">
      <c r="B534" s="1043" t="s">
        <v>1646</v>
      </c>
      <c r="C534" s="1043" t="s">
        <v>1647</v>
      </c>
      <c r="D534" s="1046"/>
      <c r="E534" s="1043" t="s">
        <v>579</v>
      </c>
      <c r="F534" s="1032"/>
      <c r="G534" s="844">
        <f>Data.Sard!J532</f>
        <v>0</v>
      </c>
      <c r="H534" s="1043">
        <v>8067572</v>
      </c>
      <c r="I534" s="264">
        <f>VALUE(Data.Sard!L532)</f>
        <v>0.11799999999999999</v>
      </c>
      <c r="J534" s="904"/>
      <c r="K534" s="595">
        <f t="shared" si="131"/>
        <v>442</v>
      </c>
      <c r="L534" s="591">
        <f t="shared" si="132"/>
        <v>397</v>
      </c>
      <c r="M534" s="591">
        <f t="shared" si="133"/>
        <v>488</v>
      </c>
      <c r="N534" s="591">
        <f t="shared" si="134"/>
        <v>257</v>
      </c>
      <c r="O534" s="591">
        <f t="shared" si="135"/>
        <v>419</v>
      </c>
      <c r="P534" s="315">
        <f t="shared" si="124"/>
        <v>333</v>
      </c>
      <c r="Q534" s="315">
        <f t="shared" si="125"/>
        <v>187</v>
      </c>
      <c r="R534" s="315">
        <f t="shared" si="126"/>
        <v>479</v>
      </c>
      <c r="S534" s="315">
        <f t="shared" si="127"/>
        <v>154</v>
      </c>
      <c r="T534" s="315">
        <f t="shared" si="128"/>
        <v>403</v>
      </c>
      <c r="U534" s="315">
        <f t="shared" si="129"/>
        <v>1556</v>
      </c>
      <c r="V534" s="591">
        <f t="shared" si="136"/>
        <v>499</v>
      </c>
      <c r="W534" s="598">
        <f t="shared" si="130"/>
        <v>499</v>
      </c>
    </row>
    <row r="535" spans="2:23" ht="15">
      <c r="B535" s="996" t="s">
        <v>1648</v>
      </c>
      <c r="C535" s="1043" t="s">
        <v>1649</v>
      </c>
      <c r="D535" s="1046"/>
      <c r="E535" s="1043" t="s">
        <v>603</v>
      </c>
      <c r="F535" s="1032">
        <f>VALUE(Data.Sard!G533)</f>
        <v>4.4728163620950511E-3</v>
      </c>
      <c r="G535" s="844">
        <f>Data.Sard!J533</f>
        <v>2.5465957151464176</v>
      </c>
      <c r="H535" s="1043">
        <v>2400640</v>
      </c>
      <c r="I535" s="264">
        <f>VALUE(Data.Sard!L533)</f>
        <v>0</v>
      </c>
      <c r="J535" s="904">
        <f>Data.Sard!N533</f>
        <v>-3.5986552497735244E-3</v>
      </c>
      <c r="K535" s="595">
        <f t="shared" si="131"/>
        <v>434</v>
      </c>
      <c r="L535" s="591">
        <f t="shared" si="132"/>
        <v>204</v>
      </c>
      <c r="M535" s="591">
        <f t="shared" si="133"/>
        <v>577</v>
      </c>
      <c r="N535" s="591">
        <f t="shared" si="134"/>
        <v>285</v>
      </c>
      <c r="O535" s="591">
        <f t="shared" si="135"/>
        <v>434</v>
      </c>
      <c r="P535" s="315">
        <f t="shared" si="124"/>
        <v>325</v>
      </c>
      <c r="Q535" s="315">
        <f t="shared" si="125"/>
        <v>6</v>
      </c>
      <c r="R535" s="315">
        <f t="shared" si="126"/>
        <v>568</v>
      </c>
      <c r="S535" s="315">
        <f t="shared" si="127"/>
        <v>182</v>
      </c>
      <c r="T535" s="315">
        <f t="shared" si="128"/>
        <v>418</v>
      </c>
      <c r="U535" s="315">
        <f t="shared" si="129"/>
        <v>1499</v>
      </c>
      <c r="V535" s="591">
        <f t="shared" si="136"/>
        <v>464</v>
      </c>
      <c r="W535" s="598">
        <f t="shared" si="130"/>
        <v>464</v>
      </c>
    </row>
    <row r="536" spans="2:23" ht="15">
      <c r="B536" s="996" t="s">
        <v>1650</v>
      </c>
      <c r="C536" s="1043" t="s">
        <v>1651</v>
      </c>
      <c r="D536" s="1046"/>
      <c r="E536" s="1043" t="s">
        <v>603</v>
      </c>
      <c r="F536" s="1032">
        <f>VALUE(Data.Sard!G534)</f>
        <v>0.13968103169974466</v>
      </c>
      <c r="G536" s="844">
        <f>Data.Sard!J534</f>
        <v>3.9513871159956411</v>
      </c>
      <c r="H536" s="1043">
        <v>45359408</v>
      </c>
      <c r="I536" s="264">
        <f>VALUE(Data.Sard!L534)</f>
        <v>3.149</v>
      </c>
      <c r="J536" s="904">
        <f>Data.Sard!N534</f>
        <v>7.3789586206970029E-2</v>
      </c>
      <c r="K536" s="595">
        <f t="shared" si="131"/>
        <v>167</v>
      </c>
      <c r="L536" s="591">
        <f t="shared" si="132"/>
        <v>149</v>
      </c>
      <c r="M536" s="591">
        <f t="shared" si="133"/>
        <v>304</v>
      </c>
      <c r="N536" s="591">
        <f t="shared" si="134"/>
        <v>32</v>
      </c>
      <c r="O536" s="591">
        <f t="shared" si="135"/>
        <v>212</v>
      </c>
      <c r="P536" s="315">
        <f t="shared" si="124"/>
        <v>58</v>
      </c>
      <c r="Q536" s="315">
        <f t="shared" si="125"/>
        <v>61</v>
      </c>
      <c r="R536" s="315">
        <f t="shared" si="126"/>
        <v>295</v>
      </c>
      <c r="S536" s="315">
        <f t="shared" si="127"/>
        <v>71</v>
      </c>
      <c r="T536" s="315">
        <f t="shared" si="128"/>
        <v>196</v>
      </c>
      <c r="U536" s="315">
        <f t="shared" si="129"/>
        <v>681</v>
      </c>
      <c r="V536" s="591">
        <f t="shared" si="136"/>
        <v>105</v>
      </c>
      <c r="W536" s="598">
        <f t="shared" si="130"/>
        <v>105</v>
      </c>
    </row>
    <row r="537" spans="2:23" ht="15">
      <c r="B537" s="1043" t="s">
        <v>1652</v>
      </c>
      <c r="C537" s="1043" t="s">
        <v>1653</v>
      </c>
      <c r="D537" s="1046"/>
      <c r="E537" s="1043" t="s">
        <v>584</v>
      </c>
      <c r="F537" s="1032">
        <f>VALUE(Data.Sard!G535)</f>
        <v>0.15145928264059538</v>
      </c>
      <c r="G537" s="844">
        <f>Data.Sard!J535</f>
        <v>0.58554841702671678</v>
      </c>
      <c r="H537" s="1043">
        <v>178416657</v>
      </c>
      <c r="I537" s="264">
        <f>VALUE(Data.Sard!L535)</f>
        <v>0.14899999999999999</v>
      </c>
      <c r="J537" s="904">
        <f>Data.Sard!N535</f>
        <v>0.10166882793210126</v>
      </c>
      <c r="K537" s="595">
        <f t="shared" si="131"/>
        <v>155</v>
      </c>
      <c r="L537" s="591">
        <f t="shared" si="132"/>
        <v>324</v>
      </c>
      <c r="M537" s="591">
        <f t="shared" si="133"/>
        <v>177</v>
      </c>
      <c r="N537" s="591">
        <f t="shared" si="134"/>
        <v>249</v>
      </c>
      <c r="O537" s="591">
        <f t="shared" si="135"/>
        <v>153</v>
      </c>
      <c r="P537" s="315">
        <f t="shared" si="124"/>
        <v>46</v>
      </c>
      <c r="Q537" s="315">
        <f t="shared" si="125"/>
        <v>114</v>
      </c>
      <c r="R537" s="315">
        <f t="shared" si="126"/>
        <v>168</v>
      </c>
      <c r="S537" s="315">
        <f t="shared" si="127"/>
        <v>146</v>
      </c>
      <c r="T537" s="315">
        <f t="shared" si="128"/>
        <v>137</v>
      </c>
      <c r="U537" s="315">
        <f t="shared" si="129"/>
        <v>611</v>
      </c>
      <c r="V537" s="591">
        <f t="shared" si="136"/>
        <v>75</v>
      </c>
      <c r="W537" s="598">
        <f t="shared" si="130"/>
        <v>75</v>
      </c>
    </row>
    <row r="538" spans="2:23" ht="15">
      <c r="B538" s="996" t="s">
        <v>1654</v>
      </c>
      <c r="C538" s="1043" t="s">
        <v>1655</v>
      </c>
      <c r="D538" s="1046"/>
      <c r="E538" s="1043" t="s">
        <v>546</v>
      </c>
      <c r="F538" s="1032">
        <f>VALUE(Data.Sard!G536)</f>
        <v>5.3150387316745595E-2</v>
      </c>
      <c r="G538" s="844">
        <f>Data.Sard!J536</f>
        <v>2.429385555900943</v>
      </c>
      <c r="H538" s="1043">
        <v>32179423</v>
      </c>
      <c r="I538" s="264">
        <f>VALUE(Data.Sard!L536)</f>
        <v>-1.1739999999999999</v>
      </c>
      <c r="J538" s="904">
        <f>Data.Sard!N536</f>
        <v>0.1271970198148733</v>
      </c>
      <c r="K538" s="595">
        <f t="shared" si="131"/>
        <v>325</v>
      </c>
      <c r="L538" s="591">
        <f t="shared" si="132"/>
        <v>214</v>
      </c>
      <c r="M538" s="591">
        <f t="shared" si="133"/>
        <v>335</v>
      </c>
      <c r="N538" s="591">
        <f t="shared" si="134"/>
        <v>447</v>
      </c>
      <c r="O538" s="591">
        <f t="shared" si="135"/>
        <v>112</v>
      </c>
      <c r="P538" s="315">
        <f t="shared" si="124"/>
        <v>216</v>
      </c>
      <c r="Q538" s="315">
        <f t="shared" si="125"/>
        <v>4</v>
      </c>
      <c r="R538" s="315">
        <f t="shared" si="126"/>
        <v>326</v>
      </c>
      <c r="S538" s="315">
        <f t="shared" si="127"/>
        <v>344</v>
      </c>
      <c r="T538" s="315">
        <f t="shared" si="128"/>
        <v>96</v>
      </c>
      <c r="U538" s="315">
        <f t="shared" si="129"/>
        <v>986</v>
      </c>
      <c r="V538" s="591">
        <f t="shared" si="136"/>
        <v>233</v>
      </c>
      <c r="W538" s="598">
        <f t="shared" si="130"/>
        <v>233</v>
      </c>
    </row>
    <row r="539" spans="2:23" ht="15">
      <c r="B539" s="996" t="s">
        <v>1656</v>
      </c>
      <c r="C539" s="1043" t="s">
        <v>1657</v>
      </c>
      <c r="D539" s="1046"/>
      <c r="E539" s="1043" t="s">
        <v>603</v>
      </c>
      <c r="F539" s="1032">
        <f>VALUE(Data.Sard!G537)</f>
        <v>8.5296702558997586E-2</v>
      </c>
      <c r="G539" s="844">
        <f>Data.Sard!J537</f>
        <v>0</v>
      </c>
      <c r="H539" s="1043">
        <v>3435437</v>
      </c>
      <c r="I539" s="264">
        <f>VALUE(Data.Sard!L537)</f>
        <v>1.1559999999999999</v>
      </c>
      <c r="J539" s="904">
        <f>Data.Sard!N537</f>
        <v>0.20711357660665455</v>
      </c>
      <c r="K539" s="595">
        <f t="shared" si="131"/>
        <v>258</v>
      </c>
      <c r="L539" s="591">
        <f t="shared" si="132"/>
        <v>397</v>
      </c>
      <c r="M539" s="591">
        <f t="shared" si="133"/>
        <v>556</v>
      </c>
      <c r="N539" s="591">
        <f t="shared" si="134"/>
        <v>84</v>
      </c>
      <c r="O539" s="591">
        <f t="shared" si="135"/>
        <v>45</v>
      </c>
      <c r="P539" s="315">
        <f t="shared" si="124"/>
        <v>149</v>
      </c>
      <c r="Q539" s="315">
        <f t="shared" si="125"/>
        <v>187</v>
      </c>
      <c r="R539" s="315">
        <f t="shared" si="126"/>
        <v>547</v>
      </c>
      <c r="S539" s="315">
        <f t="shared" si="127"/>
        <v>19</v>
      </c>
      <c r="T539" s="315">
        <f t="shared" si="128"/>
        <v>29</v>
      </c>
      <c r="U539" s="315">
        <f t="shared" si="129"/>
        <v>931</v>
      </c>
      <c r="V539" s="591">
        <f t="shared" si="136"/>
        <v>201</v>
      </c>
      <c r="W539" s="598">
        <f t="shared" si="130"/>
        <v>201</v>
      </c>
    </row>
    <row r="540" spans="2:23" ht="15">
      <c r="B540" s="1043" t="s">
        <v>1658</v>
      </c>
      <c r="C540" s="1043" t="s">
        <v>1659</v>
      </c>
      <c r="D540" s="1046"/>
      <c r="E540" s="1043" t="s">
        <v>1048</v>
      </c>
      <c r="F540" s="1032">
        <f>VALUE(Data.Sard!G538)</f>
        <v>-1.3800855347925316E-2</v>
      </c>
      <c r="G540" s="844">
        <f>Data.Sard!J538</f>
        <v>0</v>
      </c>
      <c r="H540" s="1043">
        <v>403471</v>
      </c>
      <c r="I540" s="264">
        <f>VALUE(Data.Sard!L538)</f>
        <v>7.6609999999999996</v>
      </c>
      <c r="J540" s="904"/>
      <c r="K540" s="595">
        <f t="shared" si="131"/>
        <v>459</v>
      </c>
      <c r="L540" s="591">
        <f t="shared" si="132"/>
        <v>397</v>
      </c>
      <c r="M540" s="591">
        <f t="shared" si="133"/>
        <v>632</v>
      </c>
      <c r="N540" s="591">
        <f t="shared" si="134"/>
        <v>18</v>
      </c>
      <c r="O540" s="591">
        <f t="shared" si="135"/>
        <v>419</v>
      </c>
      <c r="P540" s="315">
        <f t="shared" si="124"/>
        <v>350</v>
      </c>
      <c r="Q540" s="315">
        <f t="shared" si="125"/>
        <v>187</v>
      </c>
      <c r="R540" s="315">
        <f t="shared" si="126"/>
        <v>623</v>
      </c>
      <c r="S540" s="315">
        <f t="shared" si="127"/>
        <v>85</v>
      </c>
      <c r="T540" s="315">
        <f t="shared" si="128"/>
        <v>403</v>
      </c>
      <c r="U540" s="315">
        <f t="shared" si="129"/>
        <v>1648</v>
      </c>
      <c r="V540" s="591">
        <f t="shared" si="136"/>
        <v>557</v>
      </c>
      <c r="W540" s="598">
        <f t="shared" si="130"/>
        <v>557</v>
      </c>
    </row>
    <row r="541" spans="2:23" ht="15">
      <c r="B541" s="996" t="s">
        <v>1660</v>
      </c>
      <c r="C541" s="1043" t="s">
        <v>1661</v>
      </c>
      <c r="D541" s="1046"/>
      <c r="E541" s="1043" t="s">
        <v>603</v>
      </c>
      <c r="F541" s="1032">
        <f>VALUE(Data.Sard!G539)</f>
        <v>7.0910771009880828E-3</v>
      </c>
      <c r="G541" s="844">
        <f>Data.Sard!J539</f>
        <v>4.5515773540929398</v>
      </c>
      <c r="H541" s="1043">
        <v>1931359</v>
      </c>
      <c r="I541" s="264"/>
      <c r="J541" s="904">
        <f>Data.Sard!N539</f>
        <v>4.7205869897465648E-3</v>
      </c>
      <c r="K541" s="595">
        <f t="shared" si="131"/>
        <v>427</v>
      </c>
      <c r="L541" s="591">
        <f t="shared" si="132"/>
        <v>133</v>
      </c>
      <c r="M541" s="591">
        <f t="shared" si="133"/>
        <v>590</v>
      </c>
      <c r="N541" s="591">
        <f t="shared" si="134"/>
        <v>285</v>
      </c>
      <c r="O541" s="591">
        <f t="shared" si="135"/>
        <v>409</v>
      </c>
      <c r="P541" s="315">
        <f t="shared" si="124"/>
        <v>318</v>
      </c>
      <c r="Q541" s="315">
        <f t="shared" si="125"/>
        <v>77</v>
      </c>
      <c r="R541" s="315">
        <f t="shared" si="126"/>
        <v>581</v>
      </c>
      <c r="S541" s="315">
        <f t="shared" si="127"/>
        <v>182</v>
      </c>
      <c r="T541" s="315">
        <f t="shared" si="128"/>
        <v>393</v>
      </c>
      <c r="U541" s="315">
        <f t="shared" si="129"/>
        <v>1551</v>
      </c>
      <c r="V541" s="591">
        <f t="shared" si="136"/>
        <v>491</v>
      </c>
      <c r="W541" s="598">
        <f t="shared" si="130"/>
        <v>491</v>
      </c>
    </row>
    <row r="542" spans="2:23" ht="15">
      <c r="B542" s="996" t="s">
        <v>1662</v>
      </c>
      <c r="C542" s="1043" t="s">
        <v>1663</v>
      </c>
      <c r="D542" s="1046"/>
      <c r="E542" s="1043" t="s">
        <v>546</v>
      </c>
      <c r="F542" s="1032">
        <f>VALUE(Data.Sard!G540)</f>
        <v>6.9592633843775439E-2</v>
      </c>
      <c r="G542" s="844">
        <f>Data.Sard!J540</f>
        <v>1.2722851313635648</v>
      </c>
      <c r="H542" s="1043">
        <v>177475157</v>
      </c>
      <c r="I542" s="264">
        <f>VALUE(Data.Sard!L540)</f>
        <v>-0.53400000000000003</v>
      </c>
      <c r="J542" s="904">
        <f>Data.Sard!N540</f>
        <v>5.2524527368922422E-2</v>
      </c>
      <c r="K542" s="595">
        <f t="shared" si="131"/>
        <v>285</v>
      </c>
      <c r="L542" s="591">
        <f t="shared" si="132"/>
        <v>280</v>
      </c>
      <c r="M542" s="591">
        <f t="shared" si="133"/>
        <v>179</v>
      </c>
      <c r="N542" s="591">
        <f t="shared" si="134"/>
        <v>390</v>
      </c>
      <c r="O542" s="591">
        <f t="shared" si="135"/>
        <v>272</v>
      </c>
      <c r="P542" s="315">
        <f t="shared" si="124"/>
        <v>176</v>
      </c>
      <c r="Q542" s="315">
        <f t="shared" si="125"/>
        <v>70</v>
      </c>
      <c r="R542" s="315">
        <f t="shared" si="126"/>
        <v>170</v>
      </c>
      <c r="S542" s="315">
        <f t="shared" si="127"/>
        <v>287</v>
      </c>
      <c r="T542" s="315">
        <f t="shared" si="128"/>
        <v>256</v>
      </c>
      <c r="U542" s="315">
        <f t="shared" si="129"/>
        <v>959</v>
      </c>
      <c r="V542" s="591">
        <f t="shared" si="136"/>
        <v>217</v>
      </c>
      <c r="W542" s="598">
        <f t="shared" si="130"/>
        <v>217</v>
      </c>
    </row>
    <row r="543" spans="2:23" ht="15">
      <c r="B543" s="1043" t="s">
        <v>1664</v>
      </c>
      <c r="C543" s="1043" t="s">
        <v>1665</v>
      </c>
      <c r="D543" s="1046"/>
      <c r="E543" s="1043" t="s">
        <v>1048</v>
      </c>
      <c r="F543" s="1032">
        <f>VALUE(Data.Sard!G541)</f>
        <v>0.23279702454152612</v>
      </c>
      <c r="G543" s="844"/>
      <c r="H543" s="1043">
        <v>30122544</v>
      </c>
      <c r="I543" s="264">
        <f>VALUE(Data.Sard!L541)</f>
        <v>0.24199999999999999</v>
      </c>
      <c r="J543" s="904">
        <f>Data.Sard!N541</f>
        <v>0.10342546298849579</v>
      </c>
      <c r="K543" s="595">
        <f t="shared" si="131"/>
        <v>84</v>
      </c>
      <c r="L543" s="591">
        <f t="shared" si="132"/>
        <v>397</v>
      </c>
      <c r="M543" s="591">
        <f t="shared" si="133"/>
        <v>341</v>
      </c>
      <c r="N543" s="591">
        <f t="shared" si="134"/>
        <v>224</v>
      </c>
      <c r="O543" s="591">
        <f t="shared" si="135"/>
        <v>149</v>
      </c>
      <c r="P543" s="315">
        <f t="shared" si="124"/>
        <v>25</v>
      </c>
      <c r="Q543" s="315">
        <f t="shared" si="125"/>
        <v>187</v>
      </c>
      <c r="R543" s="315">
        <f t="shared" si="126"/>
        <v>332</v>
      </c>
      <c r="S543" s="315">
        <f t="shared" si="127"/>
        <v>121</v>
      </c>
      <c r="T543" s="315">
        <f t="shared" si="128"/>
        <v>133</v>
      </c>
      <c r="U543" s="315">
        <f t="shared" si="129"/>
        <v>798</v>
      </c>
      <c r="V543" s="591">
        <f t="shared" si="136"/>
        <v>143</v>
      </c>
      <c r="W543" s="598">
        <f t="shared" si="130"/>
        <v>143</v>
      </c>
    </row>
    <row r="544" spans="2:23" ht="15">
      <c r="B544" s="1043" t="s">
        <v>1666</v>
      </c>
      <c r="C544" s="1043" t="s">
        <v>1667</v>
      </c>
      <c r="D544" s="1046"/>
      <c r="E544" s="1043" t="s">
        <v>1286</v>
      </c>
      <c r="F544" s="1032"/>
      <c r="G544" s="844">
        <f>Data.Sard!J542</f>
        <v>-1.7950556369029149</v>
      </c>
      <c r="H544" s="1043">
        <v>22221567</v>
      </c>
      <c r="I544" s="264">
        <f>VALUE(Data.Sard!L542)</f>
        <v>-0.38200000000000001</v>
      </c>
      <c r="J544" s="904"/>
      <c r="K544" s="595">
        <f t="shared" si="131"/>
        <v>442</v>
      </c>
      <c r="L544" s="591">
        <f t="shared" si="132"/>
        <v>500</v>
      </c>
      <c r="M544" s="591">
        <f t="shared" si="133"/>
        <v>381</v>
      </c>
      <c r="N544" s="591">
        <f t="shared" si="134"/>
        <v>369</v>
      </c>
      <c r="O544" s="591">
        <f t="shared" si="135"/>
        <v>419</v>
      </c>
      <c r="P544" s="315">
        <f t="shared" si="124"/>
        <v>333</v>
      </c>
      <c r="Q544" s="315">
        <f t="shared" si="125"/>
        <v>290</v>
      </c>
      <c r="R544" s="315">
        <f t="shared" si="126"/>
        <v>372</v>
      </c>
      <c r="S544" s="315">
        <f t="shared" si="127"/>
        <v>266</v>
      </c>
      <c r="T544" s="315">
        <f t="shared" si="128"/>
        <v>403</v>
      </c>
      <c r="U544" s="315">
        <f t="shared" si="129"/>
        <v>1664</v>
      </c>
      <c r="V544" s="591">
        <f t="shared" si="136"/>
        <v>565</v>
      </c>
      <c r="W544" s="598">
        <f t="shared" si="130"/>
        <v>565</v>
      </c>
    </row>
    <row r="545" spans="2:23" ht="15">
      <c r="B545" s="996" t="s">
        <v>1668</v>
      </c>
      <c r="C545" s="1043" t="s">
        <v>1669</v>
      </c>
      <c r="D545" s="1046"/>
      <c r="E545" s="1043" t="s">
        <v>546</v>
      </c>
      <c r="F545" s="1032">
        <f>VALUE(Data.Sard!G543)</f>
        <v>-0.32722368900532273</v>
      </c>
      <c r="G545" s="844">
        <f>Data.Sard!J543</f>
        <v>2.0864069528377924</v>
      </c>
      <c r="H545" s="1043">
        <v>11478314</v>
      </c>
      <c r="I545" s="264"/>
      <c r="J545" s="904">
        <f>Data.Sard!N543</f>
        <v>-0.14071033373125766</v>
      </c>
      <c r="K545" s="595">
        <f t="shared" si="131"/>
        <v>560</v>
      </c>
      <c r="L545" s="591">
        <f t="shared" si="132"/>
        <v>236</v>
      </c>
      <c r="M545" s="591">
        <f t="shared" si="133"/>
        <v>458</v>
      </c>
      <c r="N545" s="591">
        <f t="shared" si="134"/>
        <v>285</v>
      </c>
      <c r="O545" s="591">
        <f t="shared" si="135"/>
        <v>520</v>
      </c>
      <c r="P545" s="315">
        <f t="shared" si="124"/>
        <v>451</v>
      </c>
      <c r="Q545" s="315">
        <f t="shared" si="125"/>
        <v>26</v>
      </c>
      <c r="R545" s="315">
        <f t="shared" si="126"/>
        <v>449</v>
      </c>
      <c r="S545" s="315">
        <f t="shared" si="127"/>
        <v>182</v>
      </c>
      <c r="T545" s="315">
        <f t="shared" si="128"/>
        <v>504</v>
      </c>
      <c r="U545" s="315">
        <f t="shared" si="129"/>
        <v>1612</v>
      </c>
      <c r="V545" s="591">
        <f t="shared" si="136"/>
        <v>539</v>
      </c>
      <c r="W545" s="598">
        <f t="shared" si="130"/>
        <v>539</v>
      </c>
    </row>
    <row r="546" spans="2:23" ht="15">
      <c r="B546" s="996" t="s">
        <v>1670</v>
      </c>
      <c r="C546" s="1043" t="s">
        <v>1671</v>
      </c>
      <c r="D546" s="1046"/>
      <c r="E546" s="1043" t="s">
        <v>1672</v>
      </c>
      <c r="F546" s="1032">
        <f>VALUE(Data.Sard!G544)</f>
        <v>0.19357415167124484</v>
      </c>
      <c r="G546" s="844">
        <f>Data.Sard!J544</f>
        <v>0.29367736865697519</v>
      </c>
      <c r="H546" s="1043">
        <v>249254495</v>
      </c>
      <c r="I546" s="264">
        <f>VALUE(Data.Sard!L544)</f>
        <v>0.35799999999999998</v>
      </c>
      <c r="J546" s="904">
        <f>Data.Sard!N544</f>
        <v>8.5473790770874747E-2</v>
      </c>
      <c r="K546" s="595">
        <f t="shared" si="131"/>
        <v>114</v>
      </c>
      <c r="L546" s="591">
        <f t="shared" si="132"/>
        <v>355</v>
      </c>
      <c r="M546" s="591">
        <f t="shared" si="133"/>
        <v>155</v>
      </c>
      <c r="N546" s="591">
        <f t="shared" si="134"/>
        <v>197</v>
      </c>
      <c r="O546" s="591">
        <f t="shared" si="135"/>
        <v>186</v>
      </c>
      <c r="P546" s="315">
        <f t="shared" si="124"/>
        <v>5</v>
      </c>
      <c r="Q546" s="315">
        <f t="shared" si="125"/>
        <v>145</v>
      </c>
      <c r="R546" s="315">
        <f t="shared" si="126"/>
        <v>146</v>
      </c>
      <c r="S546" s="315">
        <f t="shared" si="127"/>
        <v>94</v>
      </c>
      <c r="T546" s="315">
        <f t="shared" si="128"/>
        <v>170</v>
      </c>
      <c r="U546" s="315">
        <f t="shared" si="129"/>
        <v>560</v>
      </c>
      <c r="V546" s="591">
        <f t="shared" si="136"/>
        <v>53</v>
      </c>
      <c r="W546" s="598">
        <f t="shared" si="130"/>
        <v>53</v>
      </c>
    </row>
    <row r="547" spans="2:23" ht="15">
      <c r="B547" s="1043" t="s">
        <v>1673</v>
      </c>
      <c r="C547" s="1043" t="s">
        <v>1674</v>
      </c>
      <c r="D547" s="1046"/>
      <c r="E547" s="1043" t="s">
        <v>584</v>
      </c>
      <c r="F547" s="1032">
        <f>VALUE(Data.Sard!G545)</f>
        <v>0.21837779074189245</v>
      </c>
      <c r="G547" s="844">
        <f>Data.Sard!J545</f>
        <v>0.62202149903467852</v>
      </c>
      <c r="H547" s="1043">
        <v>334915361</v>
      </c>
      <c r="I547" s="264">
        <f>VALUE(Data.Sard!L545)</f>
        <v>-0.35499999999999998</v>
      </c>
      <c r="J547" s="904">
        <f>Data.Sard!N545</f>
        <v>0.16572394676955052</v>
      </c>
      <c r="K547" s="595">
        <f t="shared" si="131"/>
        <v>93</v>
      </c>
      <c r="L547" s="591">
        <f t="shared" si="132"/>
        <v>320</v>
      </c>
      <c r="M547" s="591">
        <f t="shared" si="133"/>
        <v>125</v>
      </c>
      <c r="N547" s="591">
        <f t="shared" si="134"/>
        <v>364</v>
      </c>
      <c r="O547" s="591">
        <f t="shared" si="135"/>
        <v>78</v>
      </c>
      <c r="P547" s="315">
        <f t="shared" si="124"/>
        <v>16</v>
      </c>
      <c r="Q547" s="315">
        <f t="shared" si="125"/>
        <v>110</v>
      </c>
      <c r="R547" s="315">
        <f t="shared" si="126"/>
        <v>116</v>
      </c>
      <c r="S547" s="315">
        <f t="shared" si="127"/>
        <v>261</v>
      </c>
      <c r="T547" s="315">
        <f t="shared" si="128"/>
        <v>62</v>
      </c>
      <c r="U547" s="315">
        <f t="shared" si="129"/>
        <v>565</v>
      </c>
      <c r="V547" s="591">
        <f t="shared" si="136"/>
        <v>55</v>
      </c>
      <c r="W547" s="598">
        <f t="shared" si="130"/>
        <v>55</v>
      </c>
    </row>
    <row r="548" spans="2:23" ht="15">
      <c r="B548" s="996" t="s">
        <v>1675</v>
      </c>
      <c r="C548" s="1043" t="s">
        <v>1676</v>
      </c>
      <c r="D548" s="1046"/>
      <c r="E548" s="1043" t="s">
        <v>736</v>
      </c>
      <c r="F548" s="1032">
        <f>VALUE(Data.Sard!G546)</f>
        <v>0.31353163460061939</v>
      </c>
      <c r="G548" s="844">
        <f>Data.Sard!J546</f>
        <v>-11.474123005146339</v>
      </c>
      <c r="H548" s="1043">
        <v>936259493</v>
      </c>
      <c r="I548" s="264">
        <f>VALUE(Data.Sard!L546)</f>
        <v>0.442</v>
      </c>
      <c r="J548" s="904">
        <f>Data.Sard!N546</f>
        <v>0.19213307402579446</v>
      </c>
      <c r="K548" s="595">
        <f t="shared" si="131"/>
        <v>50</v>
      </c>
      <c r="L548" s="591">
        <f t="shared" si="132"/>
        <v>568</v>
      </c>
      <c r="M548" s="591">
        <f t="shared" si="133"/>
        <v>65</v>
      </c>
      <c r="N548" s="591">
        <f t="shared" si="134"/>
        <v>182</v>
      </c>
      <c r="O548" s="591">
        <f t="shared" si="135"/>
        <v>54</v>
      </c>
      <c r="P548" s="315">
        <f t="shared" si="124"/>
        <v>59</v>
      </c>
      <c r="Q548" s="315">
        <f t="shared" si="125"/>
        <v>358</v>
      </c>
      <c r="R548" s="315">
        <f t="shared" si="126"/>
        <v>56</v>
      </c>
      <c r="S548" s="315">
        <f t="shared" si="127"/>
        <v>79</v>
      </c>
      <c r="T548" s="315">
        <f t="shared" si="128"/>
        <v>38</v>
      </c>
      <c r="U548" s="315">
        <f t="shared" si="129"/>
        <v>590</v>
      </c>
      <c r="V548" s="591">
        <f t="shared" si="136"/>
        <v>64</v>
      </c>
      <c r="W548" s="598">
        <f t="shared" si="130"/>
        <v>64</v>
      </c>
    </row>
    <row r="549" spans="2:23" ht="15">
      <c r="B549" s="996" t="s">
        <v>1677</v>
      </c>
      <c r="C549" s="1043" t="s">
        <v>1678</v>
      </c>
      <c r="D549" s="1046"/>
      <c r="E549" s="1043" t="s">
        <v>541</v>
      </c>
      <c r="F549" s="1032">
        <f>VALUE(Data.Sard!G547)</f>
        <v>-6.6925996053563645E-3</v>
      </c>
      <c r="G549" s="844">
        <f>Data.Sard!J547</f>
        <v>-6.3848369582088796E-2</v>
      </c>
      <c r="H549" s="1043">
        <v>40911561</v>
      </c>
      <c r="I549" s="264">
        <f>VALUE(Data.Sard!L547)</f>
        <v>0.51100000000000001</v>
      </c>
      <c r="J549" s="904">
        <f>Data.Sard!N547</f>
        <v>-0.1158690958959826</v>
      </c>
      <c r="K549" s="595">
        <f t="shared" si="131"/>
        <v>453</v>
      </c>
      <c r="L549" s="591">
        <f t="shared" si="132"/>
        <v>445</v>
      </c>
      <c r="M549" s="591">
        <f t="shared" si="133"/>
        <v>314</v>
      </c>
      <c r="N549" s="591">
        <f t="shared" si="134"/>
        <v>172</v>
      </c>
      <c r="O549" s="591">
        <f t="shared" si="135"/>
        <v>514</v>
      </c>
      <c r="P549" s="315">
        <f t="shared" ref="P549:P612" si="137">IFERROR(ABS(K$3-K549),"N/A")</f>
        <v>344</v>
      </c>
      <c r="Q549" s="315">
        <f t="shared" ref="Q549:Q612" si="138">IFERROR(ABS(L$3-L549),"N/A")</f>
        <v>235</v>
      </c>
      <c r="R549" s="315">
        <f t="shared" ref="R549:R612" si="139">IFERROR(ABS(M$3-M549),"N/A")</f>
        <v>305</v>
      </c>
      <c r="S549" s="315">
        <f t="shared" ref="S549:S612" si="140">IFERROR(ABS(N$3-N549),"N/A")</f>
        <v>69</v>
      </c>
      <c r="T549" s="315">
        <f t="shared" ref="T549:T612" si="141">IFERROR(ABS(O$3-O549),"N/A")</f>
        <v>498</v>
      </c>
      <c r="U549" s="315">
        <f t="shared" ref="U549:U612" si="142">SUM(P549:T549)</f>
        <v>1451</v>
      </c>
      <c r="V549" s="591">
        <f t="shared" si="136"/>
        <v>439</v>
      </c>
      <c r="W549" s="598">
        <f t="shared" ref="W549:W612" si="143">IF(Y549="Not suitable","-",V549)</f>
        <v>439</v>
      </c>
    </row>
    <row r="550" spans="2:23" ht="15">
      <c r="B550" s="996" t="s">
        <v>1679</v>
      </c>
      <c r="C550" s="1043" t="s">
        <v>1680</v>
      </c>
      <c r="D550" s="1046"/>
      <c r="E550" s="1043" t="s">
        <v>546</v>
      </c>
      <c r="F550" s="1032">
        <f>VALUE(Data.Sard!G548)</f>
        <v>-0.57378564395263421</v>
      </c>
      <c r="G550" s="844">
        <f>Data.Sard!J548</f>
        <v>-0.57513699497857551</v>
      </c>
      <c r="H550" s="1043">
        <v>55320347</v>
      </c>
      <c r="I550" s="264"/>
      <c r="J550" s="904">
        <f>Data.Sard!N548</f>
        <v>-9.3542589394306652E-2</v>
      </c>
      <c r="K550" s="595">
        <f t="shared" si="131"/>
        <v>579</v>
      </c>
      <c r="L550" s="591">
        <f t="shared" si="132"/>
        <v>469</v>
      </c>
      <c r="M550" s="591">
        <f t="shared" si="133"/>
        <v>284</v>
      </c>
      <c r="N550" s="591">
        <f t="shared" si="134"/>
        <v>285</v>
      </c>
      <c r="O550" s="591">
        <f t="shared" si="135"/>
        <v>503</v>
      </c>
      <c r="P550" s="315">
        <f t="shared" si="137"/>
        <v>470</v>
      </c>
      <c r="Q550" s="315">
        <f t="shared" si="138"/>
        <v>259</v>
      </c>
      <c r="R550" s="315">
        <f t="shared" si="139"/>
        <v>275</v>
      </c>
      <c r="S550" s="315">
        <f t="shared" si="140"/>
        <v>182</v>
      </c>
      <c r="T550" s="315">
        <f t="shared" si="141"/>
        <v>487</v>
      </c>
      <c r="U550" s="315">
        <f t="shared" si="142"/>
        <v>1673</v>
      </c>
      <c r="V550" s="591">
        <f t="shared" si="136"/>
        <v>573</v>
      </c>
      <c r="W550" s="598">
        <f t="shared" si="143"/>
        <v>573</v>
      </c>
    </row>
    <row r="551" spans="2:23" ht="15">
      <c r="B551" s="996" t="s">
        <v>1681</v>
      </c>
      <c r="C551" s="1043" t="s">
        <v>1682</v>
      </c>
      <c r="D551" s="1046"/>
      <c r="E551" s="1043" t="s">
        <v>546</v>
      </c>
      <c r="F551" s="1032">
        <f>VALUE(Data.Sard!G549)</f>
        <v>-2.6279140221663297</v>
      </c>
      <c r="G551" s="844">
        <f>Data.Sard!J549</f>
        <v>-0.39502813806200171</v>
      </c>
      <c r="H551" s="1043">
        <v>16534471</v>
      </c>
      <c r="I551" s="264">
        <f>VALUE(Data.Sard!L549)</f>
        <v>0.72299999999999998</v>
      </c>
      <c r="J551" s="904">
        <f>Data.Sard!N549</f>
        <v>-0.6370247714984274</v>
      </c>
      <c r="K551" s="595">
        <f t="shared" si="131"/>
        <v>600</v>
      </c>
      <c r="L551" s="591">
        <f t="shared" si="132"/>
        <v>466</v>
      </c>
      <c r="M551" s="591">
        <f t="shared" si="133"/>
        <v>422</v>
      </c>
      <c r="N551" s="591">
        <f t="shared" si="134"/>
        <v>137</v>
      </c>
      <c r="O551" s="591">
        <f t="shared" si="135"/>
        <v>566</v>
      </c>
      <c r="P551" s="315">
        <f t="shared" si="137"/>
        <v>491</v>
      </c>
      <c r="Q551" s="315">
        <f t="shared" si="138"/>
        <v>256</v>
      </c>
      <c r="R551" s="315">
        <f t="shared" si="139"/>
        <v>413</v>
      </c>
      <c r="S551" s="315">
        <f t="shared" si="140"/>
        <v>34</v>
      </c>
      <c r="T551" s="315">
        <f t="shared" si="141"/>
        <v>550</v>
      </c>
      <c r="U551" s="315">
        <f t="shared" si="142"/>
        <v>1744</v>
      </c>
      <c r="V551" s="591">
        <f t="shared" si="136"/>
        <v>615</v>
      </c>
      <c r="W551" s="598">
        <f t="shared" si="143"/>
        <v>615</v>
      </c>
    </row>
    <row r="552" spans="2:23" ht="15">
      <c r="B552" s="996" t="s">
        <v>1683</v>
      </c>
      <c r="C552" s="1043" t="s">
        <v>1684</v>
      </c>
      <c r="D552" s="1046"/>
      <c r="E552" s="1043" t="s">
        <v>546</v>
      </c>
      <c r="F552" s="1032">
        <f>VALUE(Data.Sard!G550)</f>
        <v>-0.153559242718631</v>
      </c>
      <c r="G552" s="844">
        <f>Data.Sard!J550</f>
        <v>5.1866072033906265</v>
      </c>
      <c r="H552" s="1043">
        <v>40844981</v>
      </c>
      <c r="I552" s="264">
        <f>VALUE(Data.Sard!L550)</f>
        <v>0.253</v>
      </c>
      <c r="J552" s="904">
        <f>Data.Sard!N550</f>
        <v>-0.1082671630640253</v>
      </c>
      <c r="K552" s="595">
        <f t="shared" si="131"/>
        <v>537</v>
      </c>
      <c r="L552" s="591">
        <f t="shared" si="132"/>
        <v>120</v>
      </c>
      <c r="M552" s="591">
        <f t="shared" si="133"/>
        <v>315</v>
      </c>
      <c r="N552" s="591">
        <f t="shared" si="134"/>
        <v>222</v>
      </c>
      <c r="O552" s="591">
        <f t="shared" si="135"/>
        <v>508</v>
      </c>
      <c r="P552" s="315">
        <f t="shared" si="137"/>
        <v>428</v>
      </c>
      <c r="Q552" s="315">
        <f t="shared" si="138"/>
        <v>90</v>
      </c>
      <c r="R552" s="315">
        <f t="shared" si="139"/>
        <v>306</v>
      </c>
      <c r="S552" s="315">
        <f t="shared" si="140"/>
        <v>119</v>
      </c>
      <c r="T552" s="315">
        <f t="shared" si="141"/>
        <v>492</v>
      </c>
      <c r="U552" s="315">
        <f t="shared" si="142"/>
        <v>1435</v>
      </c>
      <c r="V552" s="591">
        <f t="shared" si="136"/>
        <v>425</v>
      </c>
      <c r="W552" s="598">
        <f t="shared" si="143"/>
        <v>425</v>
      </c>
    </row>
    <row r="553" spans="2:23" ht="15">
      <c r="B553" s="1043" t="s">
        <v>1685</v>
      </c>
      <c r="C553" s="1043" t="s">
        <v>1686</v>
      </c>
      <c r="D553" s="1046"/>
      <c r="E553" s="1043" t="s">
        <v>603</v>
      </c>
      <c r="F553" s="1032">
        <f>VALUE(Data.Sard!G551)</f>
        <v>5.54708471001156E-2</v>
      </c>
      <c r="G553" s="844">
        <f>Data.Sard!J551</f>
        <v>5.3180171486373782</v>
      </c>
      <c r="H553" s="1043">
        <v>5781278</v>
      </c>
      <c r="I553" s="264">
        <f>VALUE(Data.Sard!L551)</f>
        <v>-1.401</v>
      </c>
      <c r="J553" s="904">
        <f>Data.Sard!N551</f>
        <v>6.414294089812124E-2</v>
      </c>
      <c r="K553" s="595">
        <f t="shared" si="131"/>
        <v>320</v>
      </c>
      <c r="L553" s="591">
        <f t="shared" si="132"/>
        <v>116</v>
      </c>
      <c r="M553" s="591">
        <f t="shared" si="133"/>
        <v>517</v>
      </c>
      <c r="N553" s="591">
        <f t="shared" si="134"/>
        <v>464</v>
      </c>
      <c r="O553" s="591">
        <f t="shared" si="135"/>
        <v>232</v>
      </c>
      <c r="P553" s="315">
        <f t="shared" si="137"/>
        <v>211</v>
      </c>
      <c r="Q553" s="315">
        <f t="shared" si="138"/>
        <v>94</v>
      </c>
      <c r="R553" s="315">
        <f t="shared" si="139"/>
        <v>508</v>
      </c>
      <c r="S553" s="315">
        <f t="shared" si="140"/>
        <v>361</v>
      </c>
      <c r="T553" s="315">
        <f t="shared" si="141"/>
        <v>216</v>
      </c>
      <c r="U553" s="315">
        <f t="shared" si="142"/>
        <v>1390</v>
      </c>
      <c r="V553" s="591">
        <f t="shared" si="136"/>
        <v>402</v>
      </c>
      <c r="W553" s="598">
        <f t="shared" si="143"/>
        <v>402</v>
      </c>
    </row>
    <row r="554" spans="2:23" ht="15">
      <c r="B554" s="1043" t="s">
        <v>1687</v>
      </c>
      <c r="C554" s="1043" t="s">
        <v>1688</v>
      </c>
      <c r="D554" s="1046"/>
      <c r="E554" s="1043" t="s">
        <v>603</v>
      </c>
      <c r="F554" s="1032">
        <f>VALUE(Data.Sard!G552)</f>
        <v>3.7866776819314965E-3</v>
      </c>
      <c r="G554" s="844">
        <f>Data.Sard!J552</f>
        <v>8.2152319318826041</v>
      </c>
      <c r="H554" s="1043">
        <v>6888166</v>
      </c>
      <c r="I554" s="264">
        <f>VALUE(Data.Sard!L552)</f>
        <v>-9.9000000000000005E-2</v>
      </c>
      <c r="J554" s="904">
        <f>Data.Sard!N552</f>
        <v>5.5341547644710415E-2</v>
      </c>
      <c r="K554" s="595">
        <f t="shared" si="131"/>
        <v>437</v>
      </c>
      <c r="L554" s="591">
        <f t="shared" si="132"/>
        <v>76</v>
      </c>
      <c r="M554" s="591">
        <f t="shared" si="133"/>
        <v>503</v>
      </c>
      <c r="N554" s="591">
        <f t="shared" si="134"/>
        <v>313</v>
      </c>
      <c r="O554" s="591">
        <f t="shared" si="135"/>
        <v>264</v>
      </c>
      <c r="P554" s="315">
        <f t="shared" si="137"/>
        <v>328</v>
      </c>
      <c r="Q554" s="315">
        <f t="shared" si="138"/>
        <v>134</v>
      </c>
      <c r="R554" s="315">
        <f t="shared" si="139"/>
        <v>494</v>
      </c>
      <c r="S554" s="315">
        <f t="shared" si="140"/>
        <v>210</v>
      </c>
      <c r="T554" s="315">
        <f t="shared" si="141"/>
        <v>248</v>
      </c>
      <c r="U554" s="315">
        <f t="shared" si="142"/>
        <v>1414</v>
      </c>
      <c r="V554" s="591">
        <f t="shared" si="136"/>
        <v>419</v>
      </c>
      <c r="W554" s="598">
        <f t="shared" si="143"/>
        <v>419</v>
      </c>
    </row>
    <row r="555" spans="2:23" ht="15">
      <c r="B555" s="996" t="s">
        <v>1689</v>
      </c>
      <c r="C555" s="1043" t="s">
        <v>1690</v>
      </c>
      <c r="D555" s="1046"/>
      <c r="E555" s="1043" t="s">
        <v>603</v>
      </c>
      <c r="F555" s="1032">
        <f>VALUE(Data.Sard!G553)</f>
        <v>2.2541611381096871E-3</v>
      </c>
      <c r="G555" s="844">
        <f>Data.Sard!J553</f>
        <v>4.8123865010791915</v>
      </c>
      <c r="H555" s="1043">
        <v>1981761</v>
      </c>
      <c r="I555" s="264">
        <f>VALUE(Data.Sard!L553)</f>
        <v>1.252</v>
      </c>
      <c r="J555" s="904">
        <f>Data.Sard!N553</f>
        <v>5.2834959468579253E-2</v>
      </c>
      <c r="K555" s="595">
        <f t="shared" si="131"/>
        <v>439</v>
      </c>
      <c r="L555" s="591">
        <f t="shared" si="132"/>
        <v>124</v>
      </c>
      <c r="M555" s="591">
        <f t="shared" si="133"/>
        <v>588</v>
      </c>
      <c r="N555" s="591">
        <f t="shared" si="134"/>
        <v>75</v>
      </c>
      <c r="O555" s="591">
        <f t="shared" si="135"/>
        <v>269</v>
      </c>
      <c r="P555" s="315">
        <f t="shared" si="137"/>
        <v>330</v>
      </c>
      <c r="Q555" s="315">
        <f t="shared" si="138"/>
        <v>86</v>
      </c>
      <c r="R555" s="315">
        <f t="shared" si="139"/>
        <v>579</v>
      </c>
      <c r="S555" s="315">
        <f t="shared" si="140"/>
        <v>28</v>
      </c>
      <c r="T555" s="315">
        <f t="shared" si="141"/>
        <v>253</v>
      </c>
      <c r="U555" s="315">
        <f t="shared" si="142"/>
        <v>1276</v>
      </c>
      <c r="V555" s="591">
        <f t="shared" si="136"/>
        <v>349</v>
      </c>
      <c r="W555" s="598">
        <f t="shared" si="143"/>
        <v>349</v>
      </c>
    </row>
    <row r="556" spans="2:23" ht="15">
      <c r="B556" s="1043" t="s">
        <v>1691</v>
      </c>
      <c r="C556" s="1043" t="s">
        <v>1692</v>
      </c>
      <c r="D556" s="1046"/>
      <c r="E556" s="1043" t="s">
        <v>611</v>
      </c>
      <c r="F556" s="1032">
        <f>VALUE(Data.Sard!G554)</f>
        <v>2.0313084249645272E-2</v>
      </c>
      <c r="G556" s="844"/>
      <c r="H556" s="1043">
        <v>19674648</v>
      </c>
      <c r="I556" s="264">
        <f>VALUE(Data.Sard!L554)</f>
        <v>-0.86499999999999999</v>
      </c>
      <c r="J556" s="904">
        <f>Data.Sard!N554</f>
        <v>3.5685892560733692E-2</v>
      </c>
      <c r="K556" s="595">
        <f t="shared" si="131"/>
        <v>398</v>
      </c>
      <c r="L556" s="591">
        <f t="shared" si="132"/>
        <v>397</v>
      </c>
      <c r="M556" s="591">
        <f t="shared" si="133"/>
        <v>397</v>
      </c>
      <c r="N556" s="591">
        <f t="shared" si="134"/>
        <v>424</v>
      </c>
      <c r="O556" s="591">
        <f t="shared" si="135"/>
        <v>322</v>
      </c>
      <c r="P556" s="315">
        <f t="shared" si="137"/>
        <v>289</v>
      </c>
      <c r="Q556" s="315">
        <f t="shared" si="138"/>
        <v>187</v>
      </c>
      <c r="R556" s="315">
        <f t="shared" si="139"/>
        <v>388</v>
      </c>
      <c r="S556" s="315">
        <f t="shared" si="140"/>
        <v>321</v>
      </c>
      <c r="T556" s="315">
        <f t="shared" si="141"/>
        <v>306</v>
      </c>
      <c r="U556" s="315">
        <f t="shared" si="142"/>
        <v>1491</v>
      </c>
      <c r="V556" s="591">
        <f t="shared" si="136"/>
        <v>460</v>
      </c>
      <c r="W556" s="598">
        <f t="shared" si="143"/>
        <v>460</v>
      </c>
    </row>
    <row r="557" spans="2:23" ht="15">
      <c r="B557" s="1043" t="s">
        <v>1693</v>
      </c>
      <c r="C557" s="1043" t="s">
        <v>1694</v>
      </c>
      <c r="D557" s="1046"/>
      <c r="E557" s="1043" t="s">
        <v>603</v>
      </c>
      <c r="F557" s="1032"/>
      <c r="G557" s="844">
        <f>Data.Sard!J555</f>
        <v>-1.1448677103116971</v>
      </c>
      <c r="H557" s="1043">
        <v>1377639</v>
      </c>
      <c r="I557" s="264">
        <f>VALUE(Data.Sard!L555)</f>
        <v>1.075</v>
      </c>
      <c r="J557" s="904"/>
      <c r="K557" s="595">
        <f t="shared" si="131"/>
        <v>442</v>
      </c>
      <c r="L557" s="591">
        <f t="shared" si="132"/>
        <v>487</v>
      </c>
      <c r="M557" s="591">
        <f t="shared" si="133"/>
        <v>604</v>
      </c>
      <c r="N557" s="591">
        <f t="shared" si="134"/>
        <v>91</v>
      </c>
      <c r="O557" s="591">
        <f t="shared" si="135"/>
        <v>419</v>
      </c>
      <c r="P557" s="315">
        <f t="shared" si="137"/>
        <v>333</v>
      </c>
      <c r="Q557" s="315">
        <f t="shared" si="138"/>
        <v>277</v>
      </c>
      <c r="R557" s="315">
        <f t="shared" si="139"/>
        <v>595</v>
      </c>
      <c r="S557" s="315">
        <f t="shared" si="140"/>
        <v>12</v>
      </c>
      <c r="T557" s="315">
        <f t="shared" si="141"/>
        <v>403</v>
      </c>
      <c r="U557" s="315">
        <f t="shared" si="142"/>
        <v>1620</v>
      </c>
      <c r="V557" s="591">
        <f t="shared" si="136"/>
        <v>544</v>
      </c>
      <c r="W557" s="598">
        <f t="shared" si="143"/>
        <v>544</v>
      </c>
    </row>
    <row r="558" spans="2:23" ht="15">
      <c r="B558" s="996" t="s">
        <v>1695</v>
      </c>
      <c r="C558" s="1043" t="s">
        <v>1696</v>
      </c>
      <c r="D558" s="1046"/>
      <c r="E558" s="1043" t="s">
        <v>706</v>
      </c>
      <c r="F558" s="1032">
        <f>VALUE(Data.Sard!G556)</f>
        <v>-0.21226393592651957</v>
      </c>
      <c r="G558" s="844">
        <f>Data.Sard!J556</f>
        <v>0.72032765198014048</v>
      </c>
      <c r="H558" s="1043">
        <v>21354725</v>
      </c>
      <c r="I558" s="264">
        <f>VALUE(Data.Sard!L556)</f>
        <v>0</v>
      </c>
      <c r="J558" s="904">
        <f>Data.Sard!N556</f>
        <v>-0.19422057391698502</v>
      </c>
      <c r="K558" s="595">
        <f t="shared" si="131"/>
        <v>548</v>
      </c>
      <c r="L558" s="591">
        <f t="shared" si="132"/>
        <v>314</v>
      </c>
      <c r="M558" s="591">
        <f t="shared" si="133"/>
        <v>385</v>
      </c>
      <c r="N558" s="591">
        <f t="shared" si="134"/>
        <v>285</v>
      </c>
      <c r="O558" s="591">
        <f t="shared" si="135"/>
        <v>533</v>
      </c>
      <c r="P558" s="315">
        <f t="shared" si="137"/>
        <v>439</v>
      </c>
      <c r="Q558" s="315">
        <f t="shared" si="138"/>
        <v>104</v>
      </c>
      <c r="R558" s="315">
        <f t="shared" si="139"/>
        <v>376</v>
      </c>
      <c r="S558" s="315">
        <f t="shared" si="140"/>
        <v>182</v>
      </c>
      <c r="T558" s="315">
        <f t="shared" si="141"/>
        <v>517</v>
      </c>
      <c r="U558" s="315">
        <f t="shared" si="142"/>
        <v>1618</v>
      </c>
      <c r="V558" s="591">
        <f t="shared" si="136"/>
        <v>542</v>
      </c>
      <c r="W558" s="598">
        <f t="shared" si="143"/>
        <v>542</v>
      </c>
    </row>
    <row r="559" spans="2:23" ht="15">
      <c r="B559" s="1043" t="s">
        <v>1697</v>
      </c>
      <c r="C559" s="1043" t="s">
        <v>1698</v>
      </c>
      <c r="D559" s="1046"/>
      <c r="E559" s="1043" t="s">
        <v>532</v>
      </c>
      <c r="F559" s="1032">
        <f>VALUE(Data.Sard!G557)</f>
        <v>0.32358567791582371</v>
      </c>
      <c r="G559" s="844"/>
      <c r="H559" s="1043">
        <v>161077576</v>
      </c>
      <c r="I559" s="264">
        <f>VALUE(Data.Sard!L557)</f>
        <v>1.071</v>
      </c>
      <c r="J559" s="904">
        <f>Data.Sard!N557</f>
        <v>0.22379000480307609</v>
      </c>
      <c r="K559" s="595">
        <f t="shared" si="131"/>
        <v>47</v>
      </c>
      <c r="L559" s="591">
        <f t="shared" si="132"/>
        <v>397</v>
      </c>
      <c r="M559" s="591">
        <f t="shared" si="133"/>
        <v>184</v>
      </c>
      <c r="N559" s="591">
        <f t="shared" si="134"/>
        <v>92</v>
      </c>
      <c r="O559" s="591">
        <f t="shared" si="135"/>
        <v>36</v>
      </c>
      <c r="P559" s="315">
        <f t="shared" si="137"/>
        <v>62</v>
      </c>
      <c r="Q559" s="315">
        <f t="shared" si="138"/>
        <v>187</v>
      </c>
      <c r="R559" s="315">
        <f t="shared" si="139"/>
        <v>175</v>
      </c>
      <c r="S559" s="315">
        <f t="shared" si="140"/>
        <v>11</v>
      </c>
      <c r="T559" s="315">
        <f t="shared" si="141"/>
        <v>20</v>
      </c>
      <c r="U559" s="315">
        <f t="shared" si="142"/>
        <v>455</v>
      </c>
      <c r="V559" s="591">
        <f t="shared" si="136"/>
        <v>26</v>
      </c>
      <c r="W559" s="598">
        <f t="shared" si="143"/>
        <v>26</v>
      </c>
    </row>
    <row r="560" spans="2:23" ht="15">
      <c r="B560" s="996" t="s">
        <v>1699</v>
      </c>
      <c r="C560" s="1043" t="s">
        <v>1700</v>
      </c>
      <c r="D560" s="1046"/>
      <c r="E560" s="1043" t="s">
        <v>603</v>
      </c>
      <c r="F560" s="1032"/>
      <c r="G560" s="844">
        <f>Data.Sard!J558</f>
        <v>2.9255600742075787</v>
      </c>
      <c r="H560" s="1043">
        <v>2146623</v>
      </c>
      <c r="I560" s="264">
        <f>VALUE(Data.Sard!L558)</f>
        <v>0.19400000000000001</v>
      </c>
      <c r="J560" s="904"/>
      <c r="K560" s="595">
        <f t="shared" si="131"/>
        <v>442</v>
      </c>
      <c r="L560" s="591">
        <f t="shared" si="132"/>
        <v>186</v>
      </c>
      <c r="M560" s="591">
        <f t="shared" si="133"/>
        <v>583</v>
      </c>
      <c r="N560" s="591">
        <f t="shared" si="134"/>
        <v>237</v>
      </c>
      <c r="O560" s="591">
        <f t="shared" si="135"/>
        <v>419</v>
      </c>
      <c r="P560" s="315">
        <f t="shared" si="137"/>
        <v>333</v>
      </c>
      <c r="Q560" s="315">
        <f t="shared" si="138"/>
        <v>24</v>
      </c>
      <c r="R560" s="315">
        <f t="shared" si="139"/>
        <v>574</v>
      </c>
      <c r="S560" s="315">
        <f t="shared" si="140"/>
        <v>134</v>
      </c>
      <c r="T560" s="315">
        <f t="shared" si="141"/>
        <v>403</v>
      </c>
      <c r="U560" s="315">
        <f t="shared" si="142"/>
        <v>1468</v>
      </c>
      <c r="V560" s="591">
        <f t="shared" si="136"/>
        <v>445</v>
      </c>
      <c r="W560" s="598">
        <f t="shared" si="143"/>
        <v>445</v>
      </c>
    </row>
    <row r="561" spans="2:23" ht="15">
      <c r="B561" s="996" t="s">
        <v>1701</v>
      </c>
      <c r="C561" s="1043" t="s">
        <v>1702</v>
      </c>
      <c r="D561" s="1046"/>
      <c r="E561" s="1043" t="s">
        <v>736</v>
      </c>
      <c r="F561" s="1032">
        <f>VALUE(Data.Sard!G559)</f>
        <v>0.12454099101673763</v>
      </c>
      <c r="G561" s="844"/>
      <c r="H561" s="1043">
        <v>15154254</v>
      </c>
      <c r="I561" s="264"/>
      <c r="J561" s="904">
        <f>Data.Sard!N559</f>
        <v>4.7052365122668097E-2</v>
      </c>
      <c r="K561" s="595">
        <f t="shared" si="131"/>
        <v>190</v>
      </c>
      <c r="L561" s="591">
        <f t="shared" si="132"/>
        <v>397</v>
      </c>
      <c r="M561" s="591">
        <f t="shared" si="133"/>
        <v>429</v>
      </c>
      <c r="N561" s="591">
        <f t="shared" si="134"/>
        <v>285</v>
      </c>
      <c r="O561" s="591">
        <f t="shared" si="135"/>
        <v>290</v>
      </c>
      <c r="P561" s="315">
        <f t="shared" si="137"/>
        <v>81</v>
      </c>
      <c r="Q561" s="315">
        <f t="shared" si="138"/>
        <v>187</v>
      </c>
      <c r="R561" s="315">
        <f t="shared" si="139"/>
        <v>420</v>
      </c>
      <c r="S561" s="315">
        <f t="shared" si="140"/>
        <v>182</v>
      </c>
      <c r="T561" s="315">
        <f t="shared" si="141"/>
        <v>274</v>
      </c>
      <c r="U561" s="315">
        <f t="shared" si="142"/>
        <v>1144</v>
      </c>
      <c r="V561" s="591">
        <f t="shared" si="136"/>
        <v>293</v>
      </c>
      <c r="W561" s="598">
        <f t="shared" si="143"/>
        <v>293</v>
      </c>
    </row>
    <row r="562" spans="2:23" ht="15">
      <c r="B562" s="996" t="s">
        <v>1703</v>
      </c>
      <c r="C562" s="1043" t="s">
        <v>1704</v>
      </c>
      <c r="D562" s="1046"/>
      <c r="E562" s="1043" t="s">
        <v>603</v>
      </c>
      <c r="F562" s="1032"/>
      <c r="G562" s="844">
        <f>Data.Sard!J560</f>
        <v>5.5645756459246565</v>
      </c>
      <c r="H562" s="1043">
        <v>590158</v>
      </c>
      <c r="I562" s="264">
        <f>VALUE(Data.Sard!L560)</f>
        <v>0.28699999999999998</v>
      </c>
      <c r="J562" s="904"/>
      <c r="K562" s="595">
        <f t="shared" si="131"/>
        <v>442</v>
      </c>
      <c r="L562" s="591">
        <f t="shared" si="132"/>
        <v>112</v>
      </c>
      <c r="M562" s="591">
        <f t="shared" si="133"/>
        <v>624</v>
      </c>
      <c r="N562" s="591">
        <f t="shared" si="134"/>
        <v>214</v>
      </c>
      <c r="O562" s="591">
        <f t="shared" si="135"/>
        <v>419</v>
      </c>
      <c r="P562" s="315">
        <f t="shared" si="137"/>
        <v>333</v>
      </c>
      <c r="Q562" s="315">
        <f t="shared" si="138"/>
        <v>98</v>
      </c>
      <c r="R562" s="315">
        <f t="shared" si="139"/>
        <v>615</v>
      </c>
      <c r="S562" s="315">
        <f t="shared" si="140"/>
        <v>111</v>
      </c>
      <c r="T562" s="315">
        <f t="shared" si="141"/>
        <v>403</v>
      </c>
      <c r="U562" s="315">
        <f t="shared" si="142"/>
        <v>1560</v>
      </c>
      <c r="V562" s="591">
        <f t="shared" si="136"/>
        <v>501</v>
      </c>
      <c r="W562" s="598">
        <f t="shared" si="143"/>
        <v>501</v>
      </c>
    </row>
    <row r="563" spans="2:23" ht="15">
      <c r="B563" s="996" t="s">
        <v>1705</v>
      </c>
      <c r="C563" s="1043" t="s">
        <v>1706</v>
      </c>
      <c r="D563" s="1046"/>
      <c r="E563" s="1043" t="s">
        <v>587</v>
      </c>
      <c r="F563" s="1032">
        <f>VALUE(Data.Sard!G561)</f>
        <v>0.14675186369525536</v>
      </c>
      <c r="G563" s="844">
        <f>Data.Sard!J561</f>
        <v>0.43315214248539874</v>
      </c>
      <c r="H563" s="1043">
        <v>1100417239</v>
      </c>
      <c r="I563" s="264">
        <f>VALUE(Data.Sard!L561)</f>
        <v>0</v>
      </c>
      <c r="J563" s="904">
        <f>Data.Sard!N561</f>
        <v>0.11133935907570743</v>
      </c>
      <c r="K563" s="595">
        <f t="shared" si="131"/>
        <v>158</v>
      </c>
      <c r="L563" s="591">
        <f t="shared" si="132"/>
        <v>338</v>
      </c>
      <c r="M563" s="591">
        <f t="shared" si="133"/>
        <v>58</v>
      </c>
      <c r="N563" s="591">
        <f t="shared" si="134"/>
        <v>285</v>
      </c>
      <c r="O563" s="591">
        <f t="shared" si="135"/>
        <v>128</v>
      </c>
      <c r="P563" s="315">
        <f t="shared" si="137"/>
        <v>49</v>
      </c>
      <c r="Q563" s="315">
        <f t="shared" si="138"/>
        <v>128</v>
      </c>
      <c r="R563" s="315">
        <f t="shared" si="139"/>
        <v>49</v>
      </c>
      <c r="S563" s="315">
        <f t="shared" si="140"/>
        <v>182</v>
      </c>
      <c r="T563" s="315">
        <f t="shared" si="141"/>
        <v>112</v>
      </c>
      <c r="U563" s="315">
        <f t="shared" si="142"/>
        <v>520</v>
      </c>
      <c r="V563" s="591">
        <f t="shared" si="136"/>
        <v>43</v>
      </c>
      <c r="W563" s="598">
        <f t="shared" si="143"/>
        <v>43</v>
      </c>
    </row>
    <row r="564" spans="2:23" ht="15">
      <c r="B564" s="996" t="s">
        <v>1707</v>
      </c>
      <c r="C564" s="1043" t="s">
        <v>1708</v>
      </c>
      <c r="D564" s="1046"/>
      <c r="E564" s="1043" t="s">
        <v>546</v>
      </c>
      <c r="F564" s="1032">
        <f>VALUE(Data.Sard!G562)</f>
        <v>0.11441522208635832</v>
      </c>
      <c r="G564" s="844">
        <f>Data.Sard!J562</f>
        <v>-3.3961736160991664E-2</v>
      </c>
      <c r="H564" s="1043">
        <v>1438336448</v>
      </c>
      <c r="I564" s="264">
        <f>VALUE(Data.Sard!L562)</f>
        <v>0.01</v>
      </c>
      <c r="J564" s="904">
        <f>Data.Sard!N562</f>
        <v>9.5307599356826644E-2</v>
      </c>
      <c r="K564" s="595">
        <f t="shared" si="131"/>
        <v>204</v>
      </c>
      <c r="L564" s="591">
        <f t="shared" si="132"/>
        <v>442</v>
      </c>
      <c r="M564" s="591">
        <f t="shared" si="133"/>
        <v>49</v>
      </c>
      <c r="N564" s="591">
        <f t="shared" si="134"/>
        <v>283</v>
      </c>
      <c r="O564" s="591">
        <f t="shared" si="135"/>
        <v>165</v>
      </c>
      <c r="P564" s="315">
        <f t="shared" si="137"/>
        <v>95</v>
      </c>
      <c r="Q564" s="315">
        <f t="shared" si="138"/>
        <v>232</v>
      </c>
      <c r="R564" s="315">
        <f t="shared" si="139"/>
        <v>40</v>
      </c>
      <c r="S564" s="315">
        <f t="shared" si="140"/>
        <v>180</v>
      </c>
      <c r="T564" s="315">
        <f t="shared" si="141"/>
        <v>149</v>
      </c>
      <c r="U564" s="315">
        <f t="shared" si="142"/>
        <v>696</v>
      </c>
      <c r="V564" s="591">
        <f t="shared" si="136"/>
        <v>111</v>
      </c>
      <c r="W564" s="598">
        <f t="shared" si="143"/>
        <v>111</v>
      </c>
    </row>
    <row r="565" spans="2:23" ht="15">
      <c r="B565" s="996" t="s">
        <v>1709</v>
      </c>
      <c r="C565" s="1043" t="s">
        <v>1710</v>
      </c>
      <c r="D565" s="1046"/>
      <c r="E565" s="1043" t="s">
        <v>736</v>
      </c>
      <c r="F565" s="1032">
        <f>VALUE(Data.Sard!G563)</f>
        <v>-0.76251233540450236</v>
      </c>
      <c r="G565" s="844">
        <f>Data.Sard!J563</f>
        <v>0</v>
      </c>
      <c r="H565" s="1043">
        <v>7760546</v>
      </c>
      <c r="I565" s="264">
        <f>VALUE(Data.Sard!L563)</f>
        <v>-7.6999999999999999E-2</v>
      </c>
      <c r="J565" s="904">
        <f>Data.Sard!N563</f>
        <v>-0.32231654204301985</v>
      </c>
      <c r="K565" s="595">
        <f t="shared" si="131"/>
        <v>593</v>
      </c>
      <c r="L565" s="591">
        <f t="shared" si="132"/>
        <v>397</v>
      </c>
      <c r="M565" s="591">
        <f t="shared" si="133"/>
        <v>491</v>
      </c>
      <c r="N565" s="591">
        <f t="shared" si="134"/>
        <v>309</v>
      </c>
      <c r="O565" s="591">
        <f t="shared" si="135"/>
        <v>549</v>
      </c>
      <c r="P565" s="315">
        <f t="shared" si="137"/>
        <v>484</v>
      </c>
      <c r="Q565" s="315">
        <f t="shared" si="138"/>
        <v>187</v>
      </c>
      <c r="R565" s="315">
        <f t="shared" si="139"/>
        <v>482</v>
      </c>
      <c r="S565" s="315">
        <f t="shared" si="140"/>
        <v>206</v>
      </c>
      <c r="T565" s="315">
        <f t="shared" si="141"/>
        <v>533</v>
      </c>
      <c r="U565" s="315">
        <f t="shared" si="142"/>
        <v>1892</v>
      </c>
      <c r="V565" s="591">
        <f t="shared" si="136"/>
        <v>681</v>
      </c>
      <c r="W565" s="598">
        <f t="shared" si="143"/>
        <v>681</v>
      </c>
    </row>
    <row r="566" spans="2:23" ht="15">
      <c r="B566" s="996" t="s">
        <v>1711</v>
      </c>
      <c r="C566" s="1043" t="s">
        <v>1712</v>
      </c>
      <c r="D566" s="1046"/>
      <c r="E566" s="1043" t="s">
        <v>603</v>
      </c>
      <c r="F566" s="1032">
        <f>VALUE(Data.Sard!G564)</f>
        <v>2.5008332608889947E-2</v>
      </c>
      <c r="G566" s="844">
        <f>Data.Sard!J564</f>
        <v>4.6301748759055155</v>
      </c>
      <c r="H566" s="1043">
        <v>60296930</v>
      </c>
      <c r="I566" s="264">
        <f>VALUE(Data.Sard!L564)</f>
        <v>-6.8620000000000001</v>
      </c>
      <c r="J566" s="904">
        <f>Data.Sard!N564</f>
        <v>1.7942161381302429E-2</v>
      </c>
      <c r="K566" s="595">
        <f t="shared" si="131"/>
        <v>385</v>
      </c>
      <c r="L566" s="591">
        <f t="shared" si="132"/>
        <v>129</v>
      </c>
      <c r="M566" s="591">
        <f t="shared" si="133"/>
        <v>279</v>
      </c>
      <c r="N566" s="591">
        <f t="shared" si="134"/>
        <v>527</v>
      </c>
      <c r="O566" s="591">
        <f t="shared" si="135"/>
        <v>370</v>
      </c>
      <c r="P566" s="315">
        <f t="shared" si="137"/>
        <v>276</v>
      </c>
      <c r="Q566" s="315">
        <f t="shared" si="138"/>
        <v>81</v>
      </c>
      <c r="R566" s="315">
        <f t="shared" si="139"/>
        <v>270</v>
      </c>
      <c r="S566" s="315">
        <f t="shared" si="140"/>
        <v>424</v>
      </c>
      <c r="T566" s="315">
        <f t="shared" si="141"/>
        <v>354</v>
      </c>
      <c r="U566" s="315">
        <f t="shared" si="142"/>
        <v>1405</v>
      </c>
      <c r="V566" s="591">
        <f t="shared" si="136"/>
        <v>414</v>
      </c>
      <c r="W566" s="598">
        <f t="shared" si="143"/>
        <v>414</v>
      </c>
    </row>
    <row r="567" spans="2:23" ht="15">
      <c r="B567" s="996" t="s">
        <v>1713</v>
      </c>
      <c r="C567" s="1043" t="s">
        <v>1714</v>
      </c>
      <c r="D567" s="1046"/>
      <c r="E567" s="1043" t="s">
        <v>603</v>
      </c>
      <c r="F567" s="1032">
        <f>VALUE(Data.Sard!G565)</f>
        <v>4.7625466042828163E-2</v>
      </c>
      <c r="G567" s="844">
        <f>Data.Sard!J565</f>
        <v>2.1685680467179544</v>
      </c>
      <c r="H567" s="1043">
        <v>3546988</v>
      </c>
      <c r="I567" s="264">
        <f>VALUE(Data.Sard!L565)</f>
        <v>1.2</v>
      </c>
      <c r="J567" s="904">
        <f>Data.Sard!N565</f>
        <v>1.8499262441238912E-2</v>
      </c>
      <c r="K567" s="595">
        <f t="shared" si="131"/>
        <v>338</v>
      </c>
      <c r="L567" s="591">
        <f t="shared" si="132"/>
        <v>232</v>
      </c>
      <c r="M567" s="591">
        <f t="shared" si="133"/>
        <v>553</v>
      </c>
      <c r="N567" s="591">
        <f t="shared" si="134"/>
        <v>79</v>
      </c>
      <c r="O567" s="591">
        <f t="shared" si="135"/>
        <v>368</v>
      </c>
      <c r="P567" s="315">
        <f t="shared" si="137"/>
        <v>229</v>
      </c>
      <c r="Q567" s="315">
        <f t="shared" si="138"/>
        <v>22</v>
      </c>
      <c r="R567" s="315">
        <f t="shared" si="139"/>
        <v>544</v>
      </c>
      <c r="S567" s="315">
        <f t="shared" si="140"/>
        <v>24</v>
      </c>
      <c r="T567" s="315">
        <f t="shared" si="141"/>
        <v>352</v>
      </c>
      <c r="U567" s="315">
        <f t="shared" si="142"/>
        <v>1171</v>
      </c>
      <c r="V567" s="591">
        <f t="shared" si="136"/>
        <v>299</v>
      </c>
      <c r="W567" s="598">
        <f t="shared" si="143"/>
        <v>299</v>
      </c>
    </row>
    <row r="568" spans="2:23" ht="15">
      <c r="B568" s="1043" t="s">
        <v>1715</v>
      </c>
      <c r="C568" s="1043" t="s">
        <v>1716</v>
      </c>
      <c r="D568" s="1046"/>
      <c r="E568" s="1043" t="s">
        <v>603</v>
      </c>
      <c r="F568" s="1032">
        <f>VALUE(Data.Sard!G566)</f>
        <v>7.4158263928410267E-2</v>
      </c>
      <c r="G568" s="844"/>
      <c r="H568" s="1043">
        <v>381418629</v>
      </c>
      <c r="I568" s="264">
        <f>VALUE(Data.Sard!L566)</f>
        <v>-0.435</v>
      </c>
      <c r="J568" s="904">
        <f>Data.Sard!N566</f>
        <v>5.7989382184059697E-2</v>
      </c>
      <c r="K568" s="595">
        <f t="shared" si="131"/>
        <v>279</v>
      </c>
      <c r="L568" s="591">
        <f t="shared" si="132"/>
        <v>397</v>
      </c>
      <c r="M568" s="591">
        <f t="shared" si="133"/>
        <v>119</v>
      </c>
      <c r="N568" s="591">
        <f t="shared" si="134"/>
        <v>377</v>
      </c>
      <c r="O568" s="591">
        <f t="shared" si="135"/>
        <v>250</v>
      </c>
      <c r="P568" s="315">
        <f t="shared" si="137"/>
        <v>170</v>
      </c>
      <c r="Q568" s="315">
        <f t="shared" si="138"/>
        <v>187</v>
      </c>
      <c r="R568" s="315">
        <f t="shared" si="139"/>
        <v>110</v>
      </c>
      <c r="S568" s="315">
        <f t="shared" si="140"/>
        <v>274</v>
      </c>
      <c r="T568" s="315">
        <f t="shared" si="141"/>
        <v>234</v>
      </c>
      <c r="U568" s="315">
        <f t="shared" si="142"/>
        <v>975</v>
      </c>
      <c r="V568" s="591">
        <f t="shared" si="136"/>
        <v>230</v>
      </c>
      <c r="W568" s="598">
        <f t="shared" si="143"/>
        <v>230</v>
      </c>
    </row>
    <row r="569" spans="2:23" ht="15">
      <c r="B569" s="996" t="s">
        <v>1717</v>
      </c>
      <c r="C569" s="1043" t="s">
        <v>1718</v>
      </c>
      <c r="D569" s="1046"/>
      <c r="E569" s="1043" t="s">
        <v>603</v>
      </c>
      <c r="F569" s="1032"/>
      <c r="G569" s="844">
        <f>Data.Sard!J567</f>
        <v>4.0032681547969311</v>
      </c>
      <c r="H569" s="1003">
        <v>0</v>
      </c>
      <c r="I569" s="264">
        <f>VALUE(Data.Sard!L567)</f>
        <v>1.294</v>
      </c>
      <c r="J569" s="904"/>
      <c r="K569" s="595">
        <f t="shared" si="131"/>
        <v>442</v>
      </c>
      <c r="L569" s="591">
        <f t="shared" si="132"/>
        <v>145</v>
      </c>
      <c r="M569" s="591">
        <f t="shared" si="133"/>
        <v>677</v>
      </c>
      <c r="N569" s="591">
        <f t="shared" si="134"/>
        <v>72</v>
      </c>
      <c r="O569" s="591">
        <f t="shared" si="135"/>
        <v>419</v>
      </c>
      <c r="P569" s="315">
        <f t="shared" si="137"/>
        <v>333</v>
      </c>
      <c r="Q569" s="315">
        <f t="shared" si="138"/>
        <v>65</v>
      </c>
      <c r="R569" s="315">
        <f t="shared" si="139"/>
        <v>668</v>
      </c>
      <c r="S569" s="315">
        <f t="shared" si="140"/>
        <v>31</v>
      </c>
      <c r="T569" s="315">
        <f t="shared" si="141"/>
        <v>403</v>
      </c>
      <c r="U569" s="315">
        <f t="shared" si="142"/>
        <v>1500</v>
      </c>
      <c r="V569" s="591">
        <f t="shared" si="136"/>
        <v>465</v>
      </c>
      <c r="W569" s="598">
        <f t="shared" si="143"/>
        <v>465</v>
      </c>
    </row>
    <row r="570" spans="2:23" ht="15">
      <c r="B570" s="1043" t="s">
        <v>1719</v>
      </c>
      <c r="C570" s="1043" t="s">
        <v>1720</v>
      </c>
      <c r="D570" s="1046"/>
      <c r="E570" s="1043" t="s">
        <v>703</v>
      </c>
      <c r="F570" s="1032">
        <f>VALUE(Data.Sard!G568)</f>
        <v>0.15569729588748102</v>
      </c>
      <c r="G570" s="844">
        <f>Data.Sard!J568</f>
        <v>7.1117577635971996</v>
      </c>
      <c r="H570" s="1043">
        <v>108959998</v>
      </c>
      <c r="I570" s="264"/>
      <c r="J570" s="904">
        <f>Data.Sard!N568</f>
        <v>5.4340509140453949E-2</v>
      </c>
      <c r="K570" s="595">
        <f t="shared" si="131"/>
        <v>151</v>
      </c>
      <c r="L570" s="591">
        <f t="shared" si="132"/>
        <v>89</v>
      </c>
      <c r="M570" s="591">
        <f t="shared" si="133"/>
        <v>220</v>
      </c>
      <c r="N570" s="591">
        <f t="shared" si="134"/>
        <v>285</v>
      </c>
      <c r="O570" s="591">
        <f t="shared" si="135"/>
        <v>266</v>
      </c>
      <c r="P570" s="315">
        <f t="shared" si="137"/>
        <v>42</v>
      </c>
      <c r="Q570" s="315">
        <f t="shared" si="138"/>
        <v>121</v>
      </c>
      <c r="R570" s="315">
        <f t="shared" si="139"/>
        <v>211</v>
      </c>
      <c r="S570" s="315">
        <f t="shared" si="140"/>
        <v>182</v>
      </c>
      <c r="T570" s="315">
        <f t="shared" si="141"/>
        <v>250</v>
      </c>
      <c r="U570" s="315">
        <f t="shared" si="142"/>
        <v>806</v>
      </c>
      <c r="V570" s="591">
        <f t="shared" si="136"/>
        <v>147</v>
      </c>
      <c r="W570" s="598">
        <f t="shared" si="143"/>
        <v>147</v>
      </c>
    </row>
    <row r="571" spans="2:23" ht="15">
      <c r="B571" s="1043" t="s">
        <v>1721</v>
      </c>
      <c r="C571" s="1043" t="s">
        <v>1722</v>
      </c>
      <c r="D571" s="994"/>
      <c r="E571" s="1043" t="s">
        <v>603</v>
      </c>
      <c r="F571" s="1032">
        <f>VALUE(Data.Sard!G569)</f>
        <v>8.2802640756771309E-2</v>
      </c>
      <c r="G571" s="844">
        <f>Data.Sard!J569</f>
        <v>4.3036191127830756</v>
      </c>
      <c r="H571" s="1043">
        <v>13328131</v>
      </c>
      <c r="I571" s="264">
        <f>VALUE(Data.Sard!L569)</f>
        <v>-2.5999999999999999E-2</v>
      </c>
      <c r="J571" s="904">
        <f>Data.Sard!N569</f>
        <v>3.7082436064963836E-2</v>
      </c>
      <c r="K571" s="595">
        <f t="shared" si="131"/>
        <v>263</v>
      </c>
      <c r="L571" s="591">
        <f t="shared" si="132"/>
        <v>135</v>
      </c>
      <c r="M571" s="591">
        <f t="shared" si="133"/>
        <v>442</v>
      </c>
      <c r="N571" s="591">
        <f t="shared" si="134"/>
        <v>296</v>
      </c>
      <c r="O571" s="591">
        <f t="shared" si="135"/>
        <v>312</v>
      </c>
      <c r="P571" s="315">
        <f t="shared" si="137"/>
        <v>154</v>
      </c>
      <c r="Q571" s="315">
        <f t="shared" si="138"/>
        <v>75</v>
      </c>
      <c r="R571" s="315">
        <f t="shared" si="139"/>
        <v>433</v>
      </c>
      <c r="S571" s="315">
        <f t="shared" si="140"/>
        <v>193</v>
      </c>
      <c r="T571" s="315">
        <f t="shared" si="141"/>
        <v>296</v>
      </c>
      <c r="U571" s="315">
        <f t="shared" si="142"/>
        <v>1151</v>
      </c>
      <c r="V571" s="591">
        <f t="shared" si="136"/>
        <v>294</v>
      </c>
      <c r="W571" s="598">
        <f t="shared" si="143"/>
        <v>294</v>
      </c>
    </row>
    <row r="572" spans="2:23" ht="15">
      <c r="B572" s="996" t="s">
        <v>1723</v>
      </c>
      <c r="C572" s="1043" t="s">
        <v>1724</v>
      </c>
      <c r="D572" s="1046"/>
      <c r="E572" s="1043" t="s">
        <v>1048</v>
      </c>
      <c r="F572" s="1032">
        <f>VALUE(Data.Sard!G570)</f>
        <v>0.21292629716372266</v>
      </c>
      <c r="G572" s="844">
        <f>Data.Sard!J570</f>
        <v>0</v>
      </c>
      <c r="H572" s="1043">
        <v>45852505</v>
      </c>
      <c r="I572" s="264"/>
      <c r="J572" s="904">
        <f>Data.Sard!N570</f>
        <v>4.2969023280585633E-2</v>
      </c>
      <c r="K572" s="595">
        <f t="shared" si="131"/>
        <v>98</v>
      </c>
      <c r="L572" s="591">
        <f t="shared" si="132"/>
        <v>397</v>
      </c>
      <c r="M572" s="591">
        <f t="shared" si="133"/>
        <v>303</v>
      </c>
      <c r="N572" s="591">
        <f t="shared" si="134"/>
        <v>285</v>
      </c>
      <c r="O572" s="591">
        <f t="shared" si="135"/>
        <v>299</v>
      </c>
      <c r="P572" s="315">
        <f t="shared" si="137"/>
        <v>11</v>
      </c>
      <c r="Q572" s="315">
        <f t="shared" si="138"/>
        <v>187</v>
      </c>
      <c r="R572" s="315">
        <f t="shared" si="139"/>
        <v>294</v>
      </c>
      <c r="S572" s="315">
        <f t="shared" si="140"/>
        <v>182</v>
      </c>
      <c r="T572" s="315">
        <f t="shared" si="141"/>
        <v>283</v>
      </c>
      <c r="U572" s="315">
        <f t="shared" si="142"/>
        <v>957</v>
      </c>
      <c r="V572" s="591">
        <f t="shared" si="136"/>
        <v>216</v>
      </c>
      <c r="W572" s="598">
        <f t="shared" si="143"/>
        <v>216</v>
      </c>
    </row>
    <row r="573" spans="2:23" ht="15">
      <c r="B573" s="1043" t="s">
        <v>1725</v>
      </c>
      <c r="C573" s="1043" t="s">
        <v>1726</v>
      </c>
      <c r="D573" s="1046"/>
      <c r="E573" s="1043" t="s">
        <v>611</v>
      </c>
      <c r="F573" s="1032">
        <f>VALUE(Data.Sard!G571)</f>
        <v>0.1160695009844003</v>
      </c>
      <c r="G573" s="844">
        <f>Data.Sard!J571</f>
        <v>-15.060253403225266</v>
      </c>
      <c r="H573" s="1043">
        <v>39820244</v>
      </c>
      <c r="I573" s="264">
        <f>VALUE(Data.Sard!L571)</f>
        <v>-0.65200000000000002</v>
      </c>
      <c r="J573" s="904">
        <f>Data.Sard!N571</f>
        <v>6.7086310219101414E-2</v>
      </c>
      <c r="K573" s="595">
        <f t="shared" si="131"/>
        <v>198</v>
      </c>
      <c r="L573" s="591">
        <f t="shared" si="132"/>
        <v>575</v>
      </c>
      <c r="M573" s="591">
        <f t="shared" si="133"/>
        <v>318</v>
      </c>
      <c r="N573" s="591">
        <f t="shared" si="134"/>
        <v>406</v>
      </c>
      <c r="O573" s="591">
        <f t="shared" si="135"/>
        <v>222</v>
      </c>
      <c r="P573" s="315">
        <f t="shared" si="137"/>
        <v>89</v>
      </c>
      <c r="Q573" s="315">
        <f t="shared" si="138"/>
        <v>365</v>
      </c>
      <c r="R573" s="315">
        <f t="shared" si="139"/>
        <v>309</v>
      </c>
      <c r="S573" s="315">
        <f t="shared" si="140"/>
        <v>303</v>
      </c>
      <c r="T573" s="315">
        <f t="shared" si="141"/>
        <v>206</v>
      </c>
      <c r="U573" s="315">
        <f t="shared" si="142"/>
        <v>1272</v>
      </c>
      <c r="V573" s="591">
        <f t="shared" si="136"/>
        <v>347</v>
      </c>
      <c r="W573" s="598">
        <f t="shared" si="143"/>
        <v>347</v>
      </c>
    </row>
    <row r="574" spans="2:23" ht="15">
      <c r="B574" s="1043" t="s">
        <v>1727</v>
      </c>
      <c r="C574" s="1043" t="s">
        <v>1728</v>
      </c>
      <c r="D574" s="1046"/>
      <c r="E574" s="1043" t="s">
        <v>611</v>
      </c>
      <c r="F574" s="1032">
        <f>VALUE(Data.Sard!G572)</f>
        <v>-0.15068950090955757</v>
      </c>
      <c r="G574" s="844">
        <f>Data.Sard!J572</f>
        <v>0</v>
      </c>
      <c r="H574" s="1043">
        <v>24757267</v>
      </c>
      <c r="I574" s="264">
        <f>VALUE(Data.Sard!L572)</f>
        <v>0.123</v>
      </c>
      <c r="J574" s="904">
        <f>Data.Sard!N572</f>
        <v>-7.254498399780053E-2</v>
      </c>
      <c r="K574" s="595">
        <f t="shared" si="131"/>
        <v>535</v>
      </c>
      <c r="L574" s="591">
        <f t="shared" si="132"/>
        <v>397</v>
      </c>
      <c r="M574" s="591">
        <f t="shared" si="133"/>
        <v>367</v>
      </c>
      <c r="N574" s="591">
        <f t="shared" si="134"/>
        <v>256</v>
      </c>
      <c r="O574" s="591">
        <f t="shared" si="135"/>
        <v>492</v>
      </c>
      <c r="P574" s="315">
        <f t="shared" si="137"/>
        <v>426</v>
      </c>
      <c r="Q574" s="315">
        <f t="shared" si="138"/>
        <v>187</v>
      </c>
      <c r="R574" s="315">
        <f t="shared" si="139"/>
        <v>358</v>
      </c>
      <c r="S574" s="315">
        <f t="shared" si="140"/>
        <v>153</v>
      </c>
      <c r="T574" s="315">
        <f t="shared" si="141"/>
        <v>476</v>
      </c>
      <c r="U574" s="315">
        <f t="shared" si="142"/>
        <v>1600</v>
      </c>
      <c r="V574" s="591">
        <f t="shared" si="136"/>
        <v>527</v>
      </c>
      <c r="W574" s="598">
        <f t="shared" si="143"/>
        <v>527</v>
      </c>
    </row>
    <row r="575" spans="2:23" ht="15">
      <c r="B575" s="996" t="s">
        <v>1729</v>
      </c>
      <c r="C575" s="1043" t="s">
        <v>1730</v>
      </c>
      <c r="D575" s="1046"/>
      <c r="E575" s="1043" t="s">
        <v>546</v>
      </c>
      <c r="F575" s="1032">
        <f>VALUE(Data.Sard!G573)</f>
        <v>0.40915231340763258</v>
      </c>
      <c r="G575" s="844">
        <f>Data.Sard!J573</f>
        <v>11.872927857319464</v>
      </c>
      <c r="H575" s="1043">
        <v>15007362</v>
      </c>
      <c r="I575" s="264">
        <f>VALUE(Data.Sard!L573)</f>
        <v>0.498</v>
      </c>
      <c r="J575" s="904">
        <f>Data.Sard!N573</f>
        <v>-0.63763157894736844</v>
      </c>
      <c r="K575" s="595">
        <f t="shared" si="131"/>
        <v>38</v>
      </c>
      <c r="L575" s="591">
        <f t="shared" si="132"/>
        <v>55</v>
      </c>
      <c r="M575" s="591">
        <f t="shared" si="133"/>
        <v>431</v>
      </c>
      <c r="N575" s="591">
        <f t="shared" si="134"/>
        <v>173</v>
      </c>
      <c r="O575" s="591">
        <f t="shared" si="135"/>
        <v>567</v>
      </c>
      <c r="P575" s="315">
        <f t="shared" si="137"/>
        <v>71</v>
      </c>
      <c r="Q575" s="315">
        <f t="shared" si="138"/>
        <v>155</v>
      </c>
      <c r="R575" s="315">
        <f t="shared" si="139"/>
        <v>422</v>
      </c>
      <c r="S575" s="315">
        <f t="shared" si="140"/>
        <v>70</v>
      </c>
      <c r="T575" s="315">
        <f t="shared" si="141"/>
        <v>551</v>
      </c>
      <c r="U575" s="315">
        <f t="shared" si="142"/>
        <v>1269</v>
      </c>
      <c r="V575" s="591">
        <f t="shared" si="136"/>
        <v>345</v>
      </c>
      <c r="W575" s="598">
        <f t="shared" si="143"/>
        <v>345</v>
      </c>
    </row>
    <row r="576" spans="2:23" ht="15">
      <c r="B576" s="1043" t="s">
        <v>1731</v>
      </c>
      <c r="C576" s="1043" t="s">
        <v>1732</v>
      </c>
      <c r="D576" s="1046"/>
      <c r="E576" s="1043" t="s">
        <v>603</v>
      </c>
      <c r="F576" s="1032">
        <f>VALUE(Data.Sard!G574)</f>
        <v>0.10697804392571653</v>
      </c>
      <c r="G576" s="844">
        <f>Data.Sard!J574</f>
        <v>2.0026054758581564</v>
      </c>
      <c r="H576" s="1043">
        <v>664033</v>
      </c>
      <c r="I576" s="264">
        <f>VALUE(Data.Sard!L574)</f>
        <v>1.234</v>
      </c>
      <c r="J576" s="904">
        <f>Data.Sard!N574</f>
        <v>1.7338941341999606E-2</v>
      </c>
      <c r="K576" s="595">
        <f t="shared" si="131"/>
        <v>219</v>
      </c>
      <c r="L576" s="591">
        <f t="shared" si="132"/>
        <v>243</v>
      </c>
      <c r="M576" s="591">
        <f t="shared" si="133"/>
        <v>623</v>
      </c>
      <c r="N576" s="591">
        <f t="shared" si="134"/>
        <v>76</v>
      </c>
      <c r="O576" s="591">
        <f t="shared" si="135"/>
        <v>372</v>
      </c>
      <c r="P576" s="315">
        <f t="shared" si="137"/>
        <v>110</v>
      </c>
      <c r="Q576" s="315">
        <f t="shared" si="138"/>
        <v>33</v>
      </c>
      <c r="R576" s="315">
        <f t="shared" si="139"/>
        <v>614</v>
      </c>
      <c r="S576" s="315">
        <f t="shared" si="140"/>
        <v>27</v>
      </c>
      <c r="T576" s="315">
        <f t="shared" si="141"/>
        <v>356</v>
      </c>
      <c r="U576" s="315">
        <f t="shared" si="142"/>
        <v>1140</v>
      </c>
      <c r="V576" s="591">
        <f t="shared" si="136"/>
        <v>290</v>
      </c>
      <c r="W576" s="598">
        <f t="shared" si="143"/>
        <v>290</v>
      </c>
    </row>
    <row r="577" spans="2:23" ht="15">
      <c r="B577" s="996" t="s">
        <v>1733</v>
      </c>
      <c r="C577" s="1043" t="s">
        <v>1734</v>
      </c>
      <c r="D577" s="1046"/>
      <c r="E577" s="1043" t="s">
        <v>546</v>
      </c>
      <c r="F577" s="1032">
        <f>VALUE(Data.Sard!G575)</f>
        <v>2.4299571909107528E-2</v>
      </c>
      <c r="G577" s="844">
        <f>Data.Sard!J575</f>
        <v>-6.837327496700107</v>
      </c>
      <c r="H577" s="1043">
        <v>20862901</v>
      </c>
      <c r="I577" s="264"/>
      <c r="J577" s="904">
        <f>Data.Sard!N575</f>
        <v>2.6646182316828249E-2</v>
      </c>
      <c r="K577" s="595">
        <f t="shared" si="131"/>
        <v>386</v>
      </c>
      <c r="L577" s="591">
        <f t="shared" si="132"/>
        <v>551</v>
      </c>
      <c r="M577" s="591">
        <f t="shared" si="133"/>
        <v>387</v>
      </c>
      <c r="N577" s="591">
        <f t="shared" si="134"/>
        <v>285</v>
      </c>
      <c r="O577" s="591">
        <f t="shared" si="135"/>
        <v>347</v>
      </c>
      <c r="P577" s="315">
        <f t="shared" si="137"/>
        <v>277</v>
      </c>
      <c r="Q577" s="315">
        <f t="shared" si="138"/>
        <v>341</v>
      </c>
      <c r="R577" s="315">
        <f t="shared" si="139"/>
        <v>378</v>
      </c>
      <c r="S577" s="315">
        <f t="shared" si="140"/>
        <v>182</v>
      </c>
      <c r="T577" s="315">
        <f t="shared" si="141"/>
        <v>331</v>
      </c>
      <c r="U577" s="315">
        <f t="shared" si="142"/>
        <v>1509</v>
      </c>
      <c r="V577" s="591">
        <f t="shared" si="136"/>
        <v>470</v>
      </c>
      <c r="W577" s="598">
        <f t="shared" si="143"/>
        <v>470</v>
      </c>
    </row>
    <row r="578" spans="2:23" ht="15">
      <c r="B578" s="996" t="s">
        <v>1735</v>
      </c>
      <c r="C578" s="1043" t="s">
        <v>1736</v>
      </c>
      <c r="D578" s="1046"/>
      <c r="E578" s="1043" t="s">
        <v>546</v>
      </c>
      <c r="F578" s="1032">
        <f>VALUE(Data.Sard!G576)</f>
        <v>2.6814486615151747</v>
      </c>
      <c r="G578" s="844">
        <f>Data.Sard!J576</f>
        <v>-2.2783278256584323</v>
      </c>
      <c r="H578" s="1043">
        <v>2072883</v>
      </c>
      <c r="I578" s="264">
        <f>VALUE(Data.Sard!L576)</f>
        <v>1.8580000000000001</v>
      </c>
      <c r="J578" s="904">
        <f>Data.Sard!N576</f>
        <v>-3.2245978175257567E-2</v>
      </c>
      <c r="K578" s="595">
        <f t="shared" si="131"/>
        <v>8</v>
      </c>
      <c r="L578" s="591">
        <f t="shared" si="132"/>
        <v>512</v>
      </c>
      <c r="M578" s="591">
        <f t="shared" si="133"/>
        <v>585</v>
      </c>
      <c r="N578" s="591">
        <f t="shared" si="134"/>
        <v>51</v>
      </c>
      <c r="O578" s="591">
        <f t="shared" si="135"/>
        <v>464</v>
      </c>
      <c r="P578" s="315">
        <f t="shared" si="137"/>
        <v>101</v>
      </c>
      <c r="Q578" s="315">
        <f t="shared" si="138"/>
        <v>302</v>
      </c>
      <c r="R578" s="315">
        <f t="shared" si="139"/>
        <v>576</v>
      </c>
      <c r="S578" s="315">
        <f t="shared" si="140"/>
        <v>52</v>
      </c>
      <c r="T578" s="315">
        <f t="shared" si="141"/>
        <v>448</v>
      </c>
      <c r="U578" s="315">
        <f t="shared" si="142"/>
        <v>1479</v>
      </c>
      <c r="V578" s="591">
        <f t="shared" si="136"/>
        <v>450</v>
      </c>
      <c r="W578" s="598">
        <f t="shared" si="143"/>
        <v>450</v>
      </c>
    </row>
    <row r="579" spans="2:23" ht="15">
      <c r="B579" s="996" t="s">
        <v>1737</v>
      </c>
      <c r="C579" s="1043" t="s">
        <v>1738</v>
      </c>
      <c r="D579" s="1046"/>
      <c r="E579" s="1043" t="s">
        <v>546</v>
      </c>
      <c r="F579" s="1032">
        <f>VALUE(Data.Sard!G577)</f>
        <v>-0.57498325210877455</v>
      </c>
      <c r="G579" s="844">
        <f>Data.Sard!J577</f>
        <v>3.3737785032578693</v>
      </c>
      <c r="H579" s="1043">
        <v>4400859</v>
      </c>
      <c r="I579" s="264">
        <f>VALUE(Data.Sard!L577)</f>
        <v>7.1999999999999995E-2</v>
      </c>
      <c r="J579" s="904">
        <f>Data.Sard!N577</f>
        <v>-6.9533511381092997E-2</v>
      </c>
      <c r="K579" s="595">
        <f t="shared" si="131"/>
        <v>580</v>
      </c>
      <c r="L579" s="591">
        <f t="shared" si="132"/>
        <v>166</v>
      </c>
      <c r="M579" s="591">
        <f t="shared" si="133"/>
        <v>537</v>
      </c>
      <c r="N579" s="591">
        <f t="shared" si="134"/>
        <v>269</v>
      </c>
      <c r="O579" s="591">
        <f t="shared" si="135"/>
        <v>487</v>
      </c>
      <c r="P579" s="315">
        <f t="shared" si="137"/>
        <v>471</v>
      </c>
      <c r="Q579" s="315">
        <f t="shared" si="138"/>
        <v>44</v>
      </c>
      <c r="R579" s="315">
        <f t="shared" si="139"/>
        <v>528</v>
      </c>
      <c r="S579" s="315">
        <f t="shared" si="140"/>
        <v>166</v>
      </c>
      <c r="T579" s="315">
        <f t="shared" si="141"/>
        <v>471</v>
      </c>
      <c r="U579" s="315">
        <f t="shared" si="142"/>
        <v>1680</v>
      </c>
      <c r="V579" s="591">
        <f t="shared" si="136"/>
        <v>577</v>
      </c>
      <c r="W579" s="598">
        <f t="shared" si="143"/>
        <v>577</v>
      </c>
    </row>
    <row r="580" spans="2:23" ht="15">
      <c r="B580" s="1043" t="s">
        <v>1739</v>
      </c>
      <c r="C580" s="1043" t="s">
        <v>1740</v>
      </c>
      <c r="D580" s="1046"/>
      <c r="E580" s="1043" t="s">
        <v>596</v>
      </c>
      <c r="F580" s="1032">
        <f>VALUE(Data.Sard!G578)</f>
        <v>9.731046658660189E-2</v>
      </c>
      <c r="G580" s="844">
        <f>Data.Sard!J578</f>
        <v>4.2150492654219507</v>
      </c>
      <c r="H580" s="1043">
        <v>7670658</v>
      </c>
      <c r="I580" s="264">
        <f>VALUE(Data.Sard!L578)</f>
        <v>0.77100000000000002</v>
      </c>
      <c r="J580" s="904">
        <f>Data.Sard!N578</f>
        <v>2.6788830710585437E-2</v>
      </c>
      <c r="K580" s="595">
        <f t="shared" si="131"/>
        <v>237</v>
      </c>
      <c r="L580" s="591">
        <f t="shared" si="132"/>
        <v>137</v>
      </c>
      <c r="M580" s="591">
        <f t="shared" si="133"/>
        <v>493</v>
      </c>
      <c r="N580" s="591">
        <f t="shared" si="134"/>
        <v>131</v>
      </c>
      <c r="O580" s="591">
        <f t="shared" si="135"/>
        <v>346</v>
      </c>
      <c r="P580" s="315">
        <f t="shared" si="137"/>
        <v>128</v>
      </c>
      <c r="Q580" s="315">
        <f t="shared" si="138"/>
        <v>73</v>
      </c>
      <c r="R580" s="315">
        <f t="shared" si="139"/>
        <v>484</v>
      </c>
      <c r="S580" s="315">
        <f t="shared" si="140"/>
        <v>28</v>
      </c>
      <c r="T580" s="315">
        <f t="shared" si="141"/>
        <v>330</v>
      </c>
      <c r="U580" s="315">
        <f t="shared" si="142"/>
        <v>1043</v>
      </c>
      <c r="V580" s="591">
        <f t="shared" si="136"/>
        <v>257</v>
      </c>
      <c r="W580" s="598">
        <f t="shared" si="143"/>
        <v>257</v>
      </c>
    </row>
    <row r="581" spans="2:23" ht="15">
      <c r="B581" s="996" t="s">
        <v>1741</v>
      </c>
      <c r="C581" s="1043" t="s">
        <v>1742</v>
      </c>
      <c r="D581" s="1046"/>
      <c r="E581" s="1043" t="s">
        <v>546</v>
      </c>
      <c r="F581" s="1032">
        <f>VALUE(Data.Sard!G579)</f>
        <v>0.42395166235043807</v>
      </c>
      <c r="G581" s="844">
        <f>Data.Sard!J579</f>
        <v>-1.0878465750667123</v>
      </c>
      <c r="H581" s="1043">
        <v>4595060</v>
      </c>
      <c r="I581" s="264">
        <f>VALUE(Data.Sard!L579)</f>
        <v>-1.8069999999999999</v>
      </c>
      <c r="J581" s="904">
        <f>Data.Sard!N579</f>
        <v>5.7470489963249667E-2</v>
      </c>
      <c r="K581" s="595">
        <f t="shared" ref="K581:K644" si="144">IFERROR(_xlfn.RANK.EQ(F581,F$3:F$706),"N/A")</f>
        <v>35</v>
      </c>
      <c r="L581" s="591">
        <f t="shared" ref="L581:L644" si="145">IFERROR(_xlfn.RANK.EQ(G581,G$3:G$706),"N/A")</f>
        <v>486</v>
      </c>
      <c r="M581" s="591">
        <f t="shared" ref="M581:M644" si="146">IFERROR(_xlfn.RANK.EQ(H581,H$3:H$706),"N/A")</f>
        <v>533</v>
      </c>
      <c r="N581" s="591">
        <f t="shared" ref="N581:N644" si="147">IFERROR(_xlfn.RANK.EQ(I581,I$3:I$706),"N/A")</f>
        <v>479</v>
      </c>
      <c r="O581" s="591">
        <f t="shared" ref="O581:O644" si="148">IFERROR(_xlfn.RANK.EQ(J581,J$3:J$706),"N/A")</f>
        <v>255</v>
      </c>
      <c r="P581" s="315">
        <f t="shared" si="137"/>
        <v>74</v>
      </c>
      <c r="Q581" s="315">
        <f t="shared" si="138"/>
        <v>276</v>
      </c>
      <c r="R581" s="315">
        <f t="shared" si="139"/>
        <v>524</v>
      </c>
      <c r="S581" s="315">
        <f t="shared" si="140"/>
        <v>376</v>
      </c>
      <c r="T581" s="315">
        <f t="shared" si="141"/>
        <v>239</v>
      </c>
      <c r="U581" s="315">
        <f t="shared" si="142"/>
        <v>1489</v>
      </c>
      <c r="V581" s="591">
        <f t="shared" ref="V581:V644" si="149">_xlfn.RANK.EQ(U581,$U$4:$U$706,1)</f>
        <v>458</v>
      </c>
      <c r="W581" s="598">
        <f t="shared" si="143"/>
        <v>458</v>
      </c>
    </row>
    <row r="582" spans="2:23" ht="15">
      <c r="B582" s="996" t="s">
        <v>1743</v>
      </c>
      <c r="C582" s="1043" t="s">
        <v>1744</v>
      </c>
      <c r="D582" s="1046"/>
      <c r="E582" s="1043" t="s">
        <v>546</v>
      </c>
      <c r="F582" s="1032">
        <f>VALUE(Data.Sard!G580)</f>
        <v>-0.54773168315551957</v>
      </c>
      <c r="G582" s="844">
        <f>Data.Sard!J580</f>
        <v>-7.8644072073730011E-3</v>
      </c>
      <c r="H582" s="1043">
        <v>133124641</v>
      </c>
      <c r="I582" s="264">
        <f>VALUE(Data.Sard!L580)</f>
        <v>-1.5860000000000001</v>
      </c>
      <c r="J582" s="904">
        <f>Data.Sard!N580</f>
        <v>-0.3634456432329034</v>
      </c>
      <c r="K582" s="595">
        <f t="shared" si="144"/>
        <v>578</v>
      </c>
      <c r="L582" s="591">
        <f t="shared" si="145"/>
        <v>440</v>
      </c>
      <c r="M582" s="591">
        <f t="shared" si="146"/>
        <v>203</v>
      </c>
      <c r="N582" s="591">
        <f t="shared" si="147"/>
        <v>471</v>
      </c>
      <c r="O582" s="591">
        <f t="shared" si="148"/>
        <v>552</v>
      </c>
      <c r="P582" s="315">
        <f t="shared" si="137"/>
        <v>469</v>
      </c>
      <c r="Q582" s="315">
        <f t="shared" si="138"/>
        <v>230</v>
      </c>
      <c r="R582" s="315">
        <f t="shared" si="139"/>
        <v>194</v>
      </c>
      <c r="S582" s="315">
        <f t="shared" si="140"/>
        <v>368</v>
      </c>
      <c r="T582" s="315">
        <f t="shared" si="141"/>
        <v>536</v>
      </c>
      <c r="U582" s="315">
        <f t="shared" si="142"/>
        <v>1797</v>
      </c>
      <c r="V582" s="591">
        <f t="shared" si="149"/>
        <v>643</v>
      </c>
      <c r="W582" s="598">
        <f t="shared" si="143"/>
        <v>643</v>
      </c>
    </row>
    <row r="583" spans="2:23" ht="15">
      <c r="B583" s="996" t="s">
        <v>1745</v>
      </c>
      <c r="C583" s="1043" t="s">
        <v>1746</v>
      </c>
      <c r="D583" s="1046"/>
      <c r="E583" s="1043" t="s">
        <v>603</v>
      </c>
      <c r="F583" s="1032">
        <f>VALUE(Data.Sard!G581)</f>
        <v>0.18228536429580805</v>
      </c>
      <c r="G583" s="844">
        <f>Data.Sard!J581</f>
        <v>-4.6043909082785586</v>
      </c>
      <c r="H583" s="1043">
        <v>4701982</v>
      </c>
      <c r="I583" s="264">
        <f>VALUE(Data.Sard!L581)</f>
        <v>-0.47099999999999997</v>
      </c>
      <c r="J583" s="904">
        <f>Data.Sard!N581</f>
        <v>-1.7302428095547426E-2</v>
      </c>
      <c r="K583" s="595">
        <f t="shared" si="144"/>
        <v>122</v>
      </c>
      <c r="L583" s="591">
        <f t="shared" si="145"/>
        <v>535</v>
      </c>
      <c r="M583" s="591">
        <f t="shared" si="146"/>
        <v>530</v>
      </c>
      <c r="N583" s="591">
        <f t="shared" si="147"/>
        <v>382</v>
      </c>
      <c r="O583" s="591">
        <f t="shared" si="148"/>
        <v>446</v>
      </c>
      <c r="P583" s="315">
        <f t="shared" si="137"/>
        <v>13</v>
      </c>
      <c r="Q583" s="315">
        <f t="shared" si="138"/>
        <v>325</v>
      </c>
      <c r="R583" s="315">
        <f t="shared" si="139"/>
        <v>521</v>
      </c>
      <c r="S583" s="315">
        <f t="shared" si="140"/>
        <v>279</v>
      </c>
      <c r="T583" s="315">
        <f t="shared" si="141"/>
        <v>430</v>
      </c>
      <c r="U583" s="315">
        <f t="shared" si="142"/>
        <v>1568</v>
      </c>
      <c r="V583" s="591">
        <f t="shared" si="149"/>
        <v>507</v>
      </c>
      <c r="W583" s="598">
        <f t="shared" si="143"/>
        <v>507</v>
      </c>
    </row>
    <row r="584" spans="2:23" ht="15">
      <c r="B584" s="996" t="s">
        <v>1747</v>
      </c>
      <c r="C584" s="1043" t="s">
        <v>1748</v>
      </c>
      <c r="D584" s="1046"/>
      <c r="E584" s="1043" t="s">
        <v>546</v>
      </c>
      <c r="F584" s="1032">
        <f>VALUE(Data.Sard!G582)</f>
        <v>-0.14692800412024731</v>
      </c>
      <c r="G584" s="844">
        <f>Data.Sard!J582</f>
        <v>3.2101113650071209</v>
      </c>
      <c r="H584" s="1043">
        <v>4544004</v>
      </c>
      <c r="I584" s="264">
        <f>VALUE(Data.Sard!L582)</f>
        <v>-11.308999999999999</v>
      </c>
      <c r="J584" s="904">
        <f>Data.Sard!N582</f>
        <v>-3.102607749311247E-2</v>
      </c>
      <c r="K584" s="595">
        <f t="shared" si="144"/>
        <v>534</v>
      </c>
      <c r="L584" s="591">
        <f t="shared" si="145"/>
        <v>176</v>
      </c>
      <c r="M584" s="591">
        <f t="shared" si="146"/>
        <v>535</v>
      </c>
      <c r="N584" s="591">
        <f t="shared" si="147"/>
        <v>532</v>
      </c>
      <c r="O584" s="591">
        <f t="shared" si="148"/>
        <v>462</v>
      </c>
      <c r="P584" s="315">
        <f t="shared" si="137"/>
        <v>425</v>
      </c>
      <c r="Q584" s="315">
        <f t="shared" si="138"/>
        <v>34</v>
      </c>
      <c r="R584" s="315">
        <f t="shared" si="139"/>
        <v>526</v>
      </c>
      <c r="S584" s="315">
        <f t="shared" si="140"/>
        <v>429</v>
      </c>
      <c r="T584" s="315">
        <f t="shared" si="141"/>
        <v>446</v>
      </c>
      <c r="U584" s="315">
        <f t="shared" si="142"/>
        <v>1860</v>
      </c>
      <c r="V584" s="591">
        <f t="shared" si="149"/>
        <v>670</v>
      </c>
      <c r="W584" s="598">
        <f t="shared" si="143"/>
        <v>670</v>
      </c>
    </row>
    <row r="585" spans="2:23" ht="15">
      <c r="B585" s="1043" t="s">
        <v>1749</v>
      </c>
      <c r="C585" s="1043" t="s">
        <v>1750</v>
      </c>
      <c r="D585" s="1046"/>
      <c r="E585" s="1043" t="s">
        <v>603</v>
      </c>
      <c r="F585" s="1032">
        <f>VALUE(Data.Sard!G583)</f>
        <v>0.16351421796508345</v>
      </c>
      <c r="G585" s="844">
        <f>Data.Sard!J583</f>
        <v>5.2407843424145506</v>
      </c>
      <c r="H585" s="1043">
        <v>49529213</v>
      </c>
      <c r="I585" s="264">
        <f>VALUE(Data.Sard!L583)</f>
        <v>-1.8520000000000001</v>
      </c>
      <c r="J585" s="904">
        <f>Data.Sard!N583</f>
        <v>0.11305494527498201</v>
      </c>
      <c r="K585" s="595">
        <f t="shared" si="144"/>
        <v>145</v>
      </c>
      <c r="L585" s="591">
        <f t="shared" si="145"/>
        <v>118</v>
      </c>
      <c r="M585" s="591">
        <f t="shared" si="146"/>
        <v>299</v>
      </c>
      <c r="N585" s="591">
        <f t="shared" si="147"/>
        <v>480</v>
      </c>
      <c r="O585" s="591">
        <f t="shared" si="148"/>
        <v>126</v>
      </c>
      <c r="P585" s="315">
        <f t="shared" si="137"/>
        <v>36</v>
      </c>
      <c r="Q585" s="315">
        <f t="shared" si="138"/>
        <v>92</v>
      </c>
      <c r="R585" s="315">
        <f t="shared" si="139"/>
        <v>290</v>
      </c>
      <c r="S585" s="315">
        <f t="shared" si="140"/>
        <v>377</v>
      </c>
      <c r="T585" s="315">
        <f t="shared" si="141"/>
        <v>110</v>
      </c>
      <c r="U585" s="315">
        <f t="shared" si="142"/>
        <v>905</v>
      </c>
      <c r="V585" s="591">
        <f t="shared" si="149"/>
        <v>185</v>
      </c>
      <c r="W585" s="598">
        <f t="shared" si="143"/>
        <v>185</v>
      </c>
    </row>
    <row r="586" spans="2:23" ht="15">
      <c r="B586" s="1043" t="s">
        <v>1751</v>
      </c>
      <c r="C586" s="1043" t="s">
        <v>1752</v>
      </c>
      <c r="D586" s="1046"/>
      <c r="E586" s="1043" t="s">
        <v>1048</v>
      </c>
      <c r="F586" s="1032">
        <f>VALUE(Data.Sard!G584)</f>
        <v>9.9592544365384394E-2</v>
      </c>
      <c r="G586" s="844">
        <f>Data.Sard!J584</f>
        <v>2.7107453313284378</v>
      </c>
      <c r="H586" s="1043">
        <v>10648138</v>
      </c>
      <c r="I586" s="264"/>
      <c r="J586" s="904">
        <f>Data.Sard!N584</f>
        <v>1.5221991320505366E-2</v>
      </c>
      <c r="K586" s="595">
        <f t="shared" si="144"/>
        <v>235</v>
      </c>
      <c r="L586" s="591">
        <f t="shared" si="145"/>
        <v>198</v>
      </c>
      <c r="M586" s="591">
        <f t="shared" si="146"/>
        <v>464</v>
      </c>
      <c r="N586" s="591">
        <f t="shared" si="147"/>
        <v>285</v>
      </c>
      <c r="O586" s="591">
        <f t="shared" si="148"/>
        <v>381</v>
      </c>
      <c r="P586" s="315">
        <f t="shared" si="137"/>
        <v>126</v>
      </c>
      <c r="Q586" s="315">
        <f t="shared" si="138"/>
        <v>12</v>
      </c>
      <c r="R586" s="315">
        <f t="shared" si="139"/>
        <v>455</v>
      </c>
      <c r="S586" s="315">
        <f t="shared" si="140"/>
        <v>182</v>
      </c>
      <c r="T586" s="315">
        <f t="shared" si="141"/>
        <v>365</v>
      </c>
      <c r="U586" s="315">
        <f t="shared" si="142"/>
        <v>1140</v>
      </c>
      <c r="V586" s="591">
        <f t="shared" si="149"/>
        <v>290</v>
      </c>
      <c r="W586" s="598">
        <f t="shared" si="143"/>
        <v>290</v>
      </c>
    </row>
    <row r="587" spans="2:23" ht="15">
      <c r="B587" s="1043" t="s">
        <v>1753</v>
      </c>
      <c r="C587" s="1043" t="s">
        <v>1754</v>
      </c>
      <c r="D587" s="1046"/>
      <c r="E587" s="1043" t="s">
        <v>603</v>
      </c>
      <c r="F587" s="1032">
        <f>VALUE(Data.Sard!G585)</f>
        <v>0.12028942868624529</v>
      </c>
      <c r="G587" s="844">
        <f>Data.Sard!J585</f>
        <v>-66.55605396995297</v>
      </c>
      <c r="H587" s="1043">
        <v>11104078</v>
      </c>
      <c r="I587" s="264"/>
      <c r="J587" s="904">
        <f>Data.Sard!N585</f>
        <v>2.2922488591577934E-2</v>
      </c>
      <c r="K587" s="595">
        <f t="shared" si="144"/>
        <v>194</v>
      </c>
      <c r="L587" s="591">
        <f t="shared" si="145"/>
        <v>594</v>
      </c>
      <c r="M587" s="591">
        <f t="shared" si="146"/>
        <v>461</v>
      </c>
      <c r="N587" s="591">
        <f t="shared" si="147"/>
        <v>285</v>
      </c>
      <c r="O587" s="591">
        <f t="shared" si="148"/>
        <v>356</v>
      </c>
      <c r="P587" s="315">
        <f t="shared" si="137"/>
        <v>85</v>
      </c>
      <c r="Q587" s="315">
        <f t="shared" si="138"/>
        <v>384</v>
      </c>
      <c r="R587" s="315">
        <f t="shared" si="139"/>
        <v>452</v>
      </c>
      <c r="S587" s="315">
        <f t="shared" si="140"/>
        <v>182</v>
      </c>
      <c r="T587" s="315">
        <f t="shared" si="141"/>
        <v>340</v>
      </c>
      <c r="U587" s="315">
        <f t="shared" si="142"/>
        <v>1443</v>
      </c>
      <c r="V587" s="591">
        <f t="shared" si="149"/>
        <v>433</v>
      </c>
      <c r="W587" s="598">
        <f t="shared" si="143"/>
        <v>433</v>
      </c>
    </row>
    <row r="588" spans="2:23" ht="15">
      <c r="B588" s="1043" t="s">
        <v>1755</v>
      </c>
      <c r="C588" s="1043" t="s">
        <v>1756</v>
      </c>
      <c r="D588" s="1046"/>
      <c r="E588" s="1043" t="s">
        <v>611</v>
      </c>
      <c r="F588" s="1032">
        <f>VALUE(Data.Sard!G586)</f>
        <v>5.3747752017956021E-2</v>
      </c>
      <c r="G588" s="844"/>
      <c r="H588" s="1043">
        <v>95791725</v>
      </c>
      <c r="I588" s="264"/>
      <c r="J588" s="904">
        <f>Data.Sard!N586</f>
        <v>-3.5521998066289548E-3</v>
      </c>
      <c r="K588" s="595">
        <f t="shared" si="144"/>
        <v>323</v>
      </c>
      <c r="L588" s="591">
        <f t="shared" si="145"/>
        <v>397</v>
      </c>
      <c r="M588" s="591">
        <f t="shared" si="146"/>
        <v>229</v>
      </c>
      <c r="N588" s="591">
        <f t="shared" si="147"/>
        <v>285</v>
      </c>
      <c r="O588" s="591">
        <f t="shared" si="148"/>
        <v>433</v>
      </c>
      <c r="P588" s="315">
        <f t="shared" si="137"/>
        <v>214</v>
      </c>
      <c r="Q588" s="315">
        <f t="shared" si="138"/>
        <v>187</v>
      </c>
      <c r="R588" s="315">
        <f t="shared" si="139"/>
        <v>220</v>
      </c>
      <c r="S588" s="315">
        <f t="shared" si="140"/>
        <v>182</v>
      </c>
      <c r="T588" s="315">
        <f t="shared" si="141"/>
        <v>417</v>
      </c>
      <c r="U588" s="315">
        <f t="shared" si="142"/>
        <v>1220</v>
      </c>
      <c r="V588" s="591">
        <f t="shared" si="149"/>
        <v>321</v>
      </c>
      <c r="W588" s="598">
        <f t="shared" si="143"/>
        <v>321</v>
      </c>
    </row>
    <row r="589" spans="2:23" ht="15">
      <c r="B589" s="996" t="s">
        <v>1757</v>
      </c>
      <c r="C589" s="1043" t="s">
        <v>1758</v>
      </c>
      <c r="D589" s="1046"/>
      <c r="E589" s="1043" t="s">
        <v>603</v>
      </c>
      <c r="F589" s="1032"/>
      <c r="G589" s="844">
        <f>Data.Sard!J587</f>
        <v>0</v>
      </c>
      <c r="H589" s="1003">
        <v>0</v>
      </c>
      <c r="I589" s="264">
        <f>VALUE(Data.Sard!L587)</f>
        <v>-0.316</v>
      </c>
      <c r="J589" s="904"/>
      <c r="K589" s="595">
        <f t="shared" si="144"/>
        <v>442</v>
      </c>
      <c r="L589" s="591">
        <f t="shared" si="145"/>
        <v>397</v>
      </c>
      <c r="M589" s="591">
        <f t="shared" si="146"/>
        <v>677</v>
      </c>
      <c r="N589" s="591">
        <f t="shared" si="147"/>
        <v>359</v>
      </c>
      <c r="O589" s="591">
        <f t="shared" si="148"/>
        <v>419</v>
      </c>
      <c r="P589" s="315">
        <f t="shared" si="137"/>
        <v>333</v>
      </c>
      <c r="Q589" s="315">
        <f t="shared" si="138"/>
        <v>187</v>
      </c>
      <c r="R589" s="315">
        <f t="shared" si="139"/>
        <v>668</v>
      </c>
      <c r="S589" s="315">
        <f t="shared" si="140"/>
        <v>256</v>
      </c>
      <c r="T589" s="315">
        <f t="shared" si="141"/>
        <v>403</v>
      </c>
      <c r="U589" s="315">
        <f t="shared" si="142"/>
        <v>1847</v>
      </c>
      <c r="V589" s="591">
        <f t="shared" si="149"/>
        <v>661</v>
      </c>
      <c r="W589" s="598">
        <f t="shared" si="143"/>
        <v>661</v>
      </c>
    </row>
    <row r="590" spans="2:23" ht="15">
      <c r="B590" s="1043" t="s">
        <v>1759</v>
      </c>
      <c r="C590" s="1043" t="s">
        <v>1760</v>
      </c>
      <c r="D590" s="1046"/>
      <c r="E590" s="1043" t="s">
        <v>1048</v>
      </c>
      <c r="F590" s="1032">
        <f>VALUE(Data.Sard!G588)</f>
        <v>0.17493896629989311</v>
      </c>
      <c r="G590" s="844">
        <f>Data.Sard!J588</f>
        <v>2.3333428601981376</v>
      </c>
      <c r="H590" s="1043">
        <v>20656029</v>
      </c>
      <c r="I590" s="264"/>
      <c r="J590" s="904">
        <f>Data.Sard!N588</f>
        <v>0.10354982455148855</v>
      </c>
      <c r="K590" s="595">
        <f t="shared" si="144"/>
        <v>127</v>
      </c>
      <c r="L590" s="591">
        <f t="shared" si="145"/>
        <v>222</v>
      </c>
      <c r="M590" s="591">
        <f t="shared" si="146"/>
        <v>389</v>
      </c>
      <c r="N590" s="591">
        <f t="shared" si="147"/>
        <v>285</v>
      </c>
      <c r="O590" s="591">
        <f t="shared" si="148"/>
        <v>148</v>
      </c>
      <c r="P590" s="315">
        <f t="shared" si="137"/>
        <v>18</v>
      </c>
      <c r="Q590" s="315">
        <f t="shared" si="138"/>
        <v>12</v>
      </c>
      <c r="R590" s="315">
        <f t="shared" si="139"/>
        <v>380</v>
      </c>
      <c r="S590" s="315">
        <f t="shared" si="140"/>
        <v>182</v>
      </c>
      <c r="T590" s="315">
        <f t="shared" si="141"/>
        <v>132</v>
      </c>
      <c r="U590" s="315">
        <f t="shared" si="142"/>
        <v>724</v>
      </c>
      <c r="V590" s="591">
        <f t="shared" si="149"/>
        <v>123</v>
      </c>
      <c r="W590" s="598">
        <f t="shared" si="143"/>
        <v>123</v>
      </c>
    </row>
    <row r="591" spans="2:23" ht="15">
      <c r="B591" s="1043" t="s">
        <v>1761</v>
      </c>
      <c r="C591" s="1043" t="s">
        <v>1762</v>
      </c>
      <c r="D591" s="994"/>
      <c r="E591" s="1043" t="s">
        <v>584</v>
      </c>
      <c r="F591" s="1032">
        <f>VALUE(Data.Sard!G589)</f>
        <v>0.17213714684039949</v>
      </c>
      <c r="G591" s="844"/>
      <c r="H591" s="1043">
        <v>36597171</v>
      </c>
      <c r="I591" s="264">
        <f>VALUE(Data.Sard!L589)</f>
        <v>9.4E-2</v>
      </c>
      <c r="J591" s="904">
        <f>Data.Sard!N589</f>
        <v>0.14619383767942548</v>
      </c>
      <c r="K591" s="595">
        <f t="shared" si="144"/>
        <v>134</v>
      </c>
      <c r="L591" s="591">
        <f t="shared" si="145"/>
        <v>397</v>
      </c>
      <c r="M591" s="591">
        <f t="shared" si="146"/>
        <v>330</v>
      </c>
      <c r="N591" s="591">
        <f t="shared" si="147"/>
        <v>264</v>
      </c>
      <c r="O591" s="591">
        <f t="shared" si="148"/>
        <v>97</v>
      </c>
      <c r="P591" s="315">
        <f t="shared" si="137"/>
        <v>25</v>
      </c>
      <c r="Q591" s="315">
        <f t="shared" si="138"/>
        <v>187</v>
      </c>
      <c r="R591" s="315">
        <f t="shared" si="139"/>
        <v>321</v>
      </c>
      <c r="S591" s="315">
        <f t="shared" si="140"/>
        <v>161</v>
      </c>
      <c r="T591" s="315">
        <f t="shared" si="141"/>
        <v>81</v>
      </c>
      <c r="U591" s="315">
        <f t="shared" si="142"/>
        <v>775</v>
      </c>
      <c r="V591" s="591">
        <f t="shared" si="149"/>
        <v>136</v>
      </c>
      <c r="W591" s="598">
        <f t="shared" si="143"/>
        <v>136</v>
      </c>
    </row>
    <row r="592" spans="2:23" ht="15">
      <c r="B592" s="1043" t="s">
        <v>1763</v>
      </c>
      <c r="C592" s="1043" t="s">
        <v>1764</v>
      </c>
      <c r="D592" s="1046"/>
      <c r="E592" s="1043" t="s">
        <v>736</v>
      </c>
      <c r="F592" s="1032">
        <f>VALUE(Data.Sard!G590)</f>
        <v>0</v>
      </c>
      <c r="G592" s="844">
        <f>Data.Sard!J590</f>
        <v>0</v>
      </c>
      <c r="H592" s="1043">
        <v>68180562</v>
      </c>
      <c r="I592" s="264">
        <f>VALUE(Data.Sard!L590)</f>
        <v>0.79100000000000004</v>
      </c>
      <c r="J592" s="904">
        <f>Data.Sard!N590</f>
        <v>0</v>
      </c>
      <c r="K592" s="595">
        <f t="shared" si="144"/>
        <v>442</v>
      </c>
      <c r="L592" s="591">
        <f t="shared" si="145"/>
        <v>397</v>
      </c>
      <c r="M592" s="591">
        <f t="shared" si="146"/>
        <v>264</v>
      </c>
      <c r="N592" s="591">
        <f t="shared" si="147"/>
        <v>129</v>
      </c>
      <c r="O592" s="591">
        <f t="shared" si="148"/>
        <v>419</v>
      </c>
      <c r="P592" s="315">
        <f t="shared" si="137"/>
        <v>333</v>
      </c>
      <c r="Q592" s="315">
        <f t="shared" si="138"/>
        <v>187</v>
      </c>
      <c r="R592" s="315">
        <f t="shared" si="139"/>
        <v>255</v>
      </c>
      <c r="S592" s="315">
        <f t="shared" si="140"/>
        <v>26</v>
      </c>
      <c r="T592" s="315">
        <f t="shared" si="141"/>
        <v>403</v>
      </c>
      <c r="U592" s="315">
        <f t="shared" si="142"/>
        <v>1204</v>
      </c>
      <c r="V592" s="591">
        <f t="shared" si="149"/>
        <v>310</v>
      </c>
      <c r="W592" s="598">
        <f t="shared" si="143"/>
        <v>310</v>
      </c>
    </row>
    <row r="593" spans="2:23" ht="15">
      <c r="B593" s="1043" t="s">
        <v>1765</v>
      </c>
      <c r="C593" s="1043" t="s">
        <v>1766</v>
      </c>
      <c r="D593" s="1046"/>
      <c r="E593" s="1043" t="s">
        <v>1048</v>
      </c>
      <c r="F593" s="1032">
        <f>VALUE(Data.Sard!G591)</f>
        <v>0.28328562517608197</v>
      </c>
      <c r="G593" s="844">
        <f>Data.Sard!J591</f>
        <v>1.9378567573703587</v>
      </c>
      <c r="H593" s="1043">
        <v>27917239</v>
      </c>
      <c r="I593" s="264">
        <f>VALUE(Data.Sard!L591)</f>
        <v>0.8</v>
      </c>
      <c r="J593" s="904">
        <f>Data.Sard!N591</f>
        <v>0.12192355346441629</v>
      </c>
      <c r="K593" s="595">
        <f t="shared" si="144"/>
        <v>62</v>
      </c>
      <c r="L593" s="591">
        <f t="shared" si="145"/>
        <v>246</v>
      </c>
      <c r="M593" s="591">
        <f t="shared" si="146"/>
        <v>350</v>
      </c>
      <c r="N593" s="591">
        <f t="shared" si="147"/>
        <v>128</v>
      </c>
      <c r="O593" s="591">
        <f t="shared" si="148"/>
        <v>121</v>
      </c>
      <c r="P593" s="315">
        <f t="shared" si="137"/>
        <v>47</v>
      </c>
      <c r="Q593" s="315">
        <f t="shared" si="138"/>
        <v>36</v>
      </c>
      <c r="R593" s="315">
        <f t="shared" si="139"/>
        <v>341</v>
      </c>
      <c r="S593" s="315">
        <f t="shared" si="140"/>
        <v>25</v>
      </c>
      <c r="T593" s="315">
        <f t="shared" si="141"/>
        <v>105</v>
      </c>
      <c r="U593" s="315">
        <f t="shared" si="142"/>
        <v>554</v>
      </c>
      <c r="V593" s="591">
        <f t="shared" si="149"/>
        <v>50</v>
      </c>
      <c r="W593" s="598">
        <f t="shared" si="143"/>
        <v>50</v>
      </c>
    </row>
    <row r="594" spans="2:23" ht="15">
      <c r="B594" s="1043" t="s">
        <v>1767</v>
      </c>
      <c r="C594" s="1043" t="s">
        <v>1768</v>
      </c>
      <c r="D594" s="1046"/>
      <c r="E594" s="1043" t="s">
        <v>603</v>
      </c>
      <c r="F594" s="1032">
        <f>VALUE(Data.Sard!G592)</f>
        <v>0.35384314792386101</v>
      </c>
      <c r="G594" s="844">
        <f>Data.Sard!J592</f>
        <v>9.5027879198255629</v>
      </c>
      <c r="H594" s="1043">
        <v>102553708</v>
      </c>
      <c r="I594" s="264"/>
      <c r="J594" s="904">
        <f>Data.Sard!N592</f>
        <v>0.11109368344232226</v>
      </c>
      <c r="K594" s="595">
        <f t="shared" si="144"/>
        <v>44</v>
      </c>
      <c r="L594" s="591">
        <f t="shared" si="145"/>
        <v>64</v>
      </c>
      <c r="M594" s="591">
        <f t="shared" si="146"/>
        <v>225</v>
      </c>
      <c r="N594" s="591">
        <f t="shared" si="147"/>
        <v>285</v>
      </c>
      <c r="O594" s="591">
        <f t="shared" si="148"/>
        <v>129</v>
      </c>
      <c r="P594" s="315">
        <f t="shared" si="137"/>
        <v>65</v>
      </c>
      <c r="Q594" s="315">
        <f t="shared" si="138"/>
        <v>146</v>
      </c>
      <c r="R594" s="315">
        <f t="shared" si="139"/>
        <v>216</v>
      </c>
      <c r="S594" s="315">
        <f t="shared" si="140"/>
        <v>182</v>
      </c>
      <c r="T594" s="315">
        <f t="shared" si="141"/>
        <v>113</v>
      </c>
      <c r="U594" s="315">
        <f t="shared" si="142"/>
        <v>722</v>
      </c>
      <c r="V594" s="591">
        <f t="shared" si="149"/>
        <v>122</v>
      </c>
      <c r="W594" s="598">
        <f t="shared" si="143"/>
        <v>122</v>
      </c>
    </row>
    <row r="595" spans="2:23" ht="15">
      <c r="B595" s="996" t="s">
        <v>1769</v>
      </c>
      <c r="C595" s="1043" t="s">
        <v>1770</v>
      </c>
      <c r="D595" s="1046"/>
      <c r="E595" s="1043" t="s">
        <v>603</v>
      </c>
      <c r="F595" s="1032">
        <f>VALUE(Data.Sard!G593)</f>
        <v>1.4438711253884353E-2</v>
      </c>
      <c r="G595" s="844">
        <f>Data.Sard!J593</f>
        <v>1.3963227435729983</v>
      </c>
      <c r="H595" s="1043">
        <v>6183857</v>
      </c>
      <c r="I595" s="264">
        <f>VALUE(Data.Sard!L593)</f>
        <v>-1.7999999999999999E-2</v>
      </c>
      <c r="J595" s="904">
        <f>Data.Sard!N593</f>
        <v>7.1565522779122792E-3</v>
      </c>
      <c r="K595" s="595">
        <f t="shared" si="144"/>
        <v>411</v>
      </c>
      <c r="L595" s="591">
        <f t="shared" si="145"/>
        <v>277</v>
      </c>
      <c r="M595" s="591">
        <f t="shared" si="146"/>
        <v>514</v>
      </c>
      <c r="N595" s="591">
        <f t="shared" si="147"/>
        <v>291</v>
      </c>
      <c r="O595" s="591">
        <f t="shared" si="148"/>
        <v>402</v>
      </c>
      <c r="P595" s="315">
        <f t="shared" si="137"/>
        <v>302</v>
      </c>
      <c r="Q595" s="315">
        <f t="shared" si="138"/>
        <v>67</v>
      </c>
      <c r="R595" s="315">
        <f t="shared" si="139"/>
        <v>505</v>
      </c>
      <c r="S595" s="315">
        <f t="shared" si="140"/>
        <v>188</v>
      </c>
      <c r="T595" s="315">
        <f t="shared" si="141"/>
        <v>386</v>
      </c>
      <c r="U595" s="315">
        <f t="shared" si="142"/>
        <v>1448</v>
      </c>
      <c r="V595" s="591">
        <f t="shared" si="149"/>
        <v>436</v>
      </c>
      <c r="W595" s="598">
        <f t="shared" si="143"/>
        <v>436</v>
      </c>
    </row>
    <row r="596" spans="2:23" ht="15">
      <c r="B596" s="996" t="s">
        <v>1771</v>
      </c>
      <c r="C596" s="1043" t="s">
        <v>1772</v>
      </c>
      <c r="D596" s="1046"/>
      <c r="E596" s="1043" t="s">
        <v>603</v>
      </c>
      <c r="F596" s="1032">
        <f>VALUE(Data.Sard!G594)</f>
        <v>2.9824276074873663E-2</v>
      </c>
      <c r="G596" s="844">
        <f>Data.Sard!J594</f>
        <v>5.7616150309732062</v>
      </c>
      <c r="H596" s="1043">
        <v>9141944</v>
      </c>
      <c r="I596" s="264">
        <f>VALUE(Data.Sard!L594)</f>
        <v>-0.69199999999999995</v>
      </c>
      <c r="J596" s="904">
        <f>Data.Sard!N594</f>
        <v>1.0976089175125967E-2</v>
      </c>
      <c r="K596" s="595">
        <f t="shared" si="144"/>
        <v>373</v>
      </c>
      <c r="L596" s="591">
        <f t="shared" si="145"/>
        <v>108</v>
      </c>
      <c r="M596" s="591">
        <f t="shared" si="146"/>
        <v>478</v>
      </c>
      <c r="N596" s="591">
        <f t="shared" si="147"/>
        <v>408</v>
      </c>
      <c r="O596" s="591">
        <f t="shared" si="148"/>
        <v>388</v>
      </c>
      <c r="P596" s="315">
        <f t="shared" si="137"/>
        <v>264</v>
      </c>
      <c r="Q596" s="315">
        <f t="shared" si="138"/>
        <v>102</v>
      </c>
      <c r="R596" s="315">
        <f t="shared" si="139"/>
        <v>469</v>
      </c>
      <c r="S596" s="315">
        <f t="shared" si="140"/>
        <v>305</v>
      </c>
      <c r="T596" s="315">
        <f t="shared" si="141"/>
        <v>372</v>
      </c>
      <c r="U596" s="315">
        <f t="shared" si="142"/>
        <v>1512</v>
      </c>
      <c r="V596" s="591">
        <f t="shared" si="149"/>
        <v>472</v>
      </c>
      <c r="W596" s="598">
        <f t="shared" si="143"/>
        <v>472</v>
      </c>
    </row>
    <row r="597" spans="2:23" ht="15">
      <c r="B597" s="1043" t="s">
        <v>1773</v>
      </c>
      <c r="C597" s="1043" t="s">
        <v>1774</v>
      </c>
      <c r="D597" s="1046"/>
      <c r="E597" s="1043" t="s">
        <v>1048</v>
      </c>
      <c r="F597" s="1032">
        <f>VALUE(Data.Sard!G595)</f>
        <v>0.19336768726401665</v>
      </c>
      <c r="G597" s="844"/>
      <c r="H597" s="1043">
        <v>25710125</v>
      </c>
      <c r="I597" s="264">
        <f>VALUE(Data.Sard!L595)</f>
        <v>2.117</v>
      </c>
      <c r="J597" s="904">
        <f>Data.Sard!N595</f>
        <v>2.9183112861212397E-2</v>
      </c>
      <c r="K597" s="595">
        <f t="shared" si="144"/>
        <v>115</v>
      </c>
      <c r="L597" s="591">
        <f t="shared" si="145"/>
        <v>397</v>
      </c>
      <c r="M597" s="591">
        <f t="shared" si="146"/>
        <v>362</v>
      </c>
      <c r="N597" s="591">
        <f t="shared" si="147"/>
        <v>46</v>
      </c>
      <c r="O597" s="591">
        <f t="shared" si="148"/>
        <v>339</v>
      </c>
      <c r="P597" s="315">
        <f t="shared" si="137"/>
        <v>6</v>
      </c>
      <c r="Q597" s="315">
        <f t="shared" si="138"/>
        <v>187</v>
      </c>
      <c r="R597" s="315">
        <f t="shared" si="139"/>
        <v>353</v>
      </c>
      <c r="S597" s="315">
        <f t="shared" si="140"/>
        <v>57</v>
      </c>
      <c r="T597" s="315">
        <f t="shared" si="141"/>
        <v>323</v>
      </c>
      <c r="U597" s="315">
        <f t="shared" si="142"/>
        <v>926</v>
      </c>
      <c r="V597" s="591">
        <f t="shared" si="149"/>
        <v>196</v>
      </c>
      <c r="W597" s="598">
        <f t="shared" si="143"/>
        <v>196</v>
      </c>
    </row>
    <row r="598" spans="2:23" ht="15">
      <c r="B598" s="1043" t="s">
        <v>1775</v>
      </c>
      <c r="C598" s="1043" t="s">
        <v>1776</v>
      </c>
      <c r="D598" s="1046"/>
      <c r="E598" s="1043" t="s">
        <v>1048</v>
      </c>
      <c r="F598" s="1032"/>
      <c r="G598" s="844">
        <f>Data.Sard!J596</f>
        <v>7.9953943811801347</v>
      </c>
      <c r="H598" s="1043">
        <v>1720538</v>
      </c>
      <c r="I598" s="264">
        <f>VALUE(Data.Sard!L596)</f>
        <v>-0.69399999999999995</v>
      </c>
      <c r="J598" s="904"/>
      <c r="K598" s="595">
        <f t="shared" si="144"/>
        <v>442</v>
      </c>
      <c r="L598" s="591">
        <f t="shared" si="145"/>
        <v>79</v>
      </c>
      <c r="M598" s="591">
        <f t="shared" si="146"/>
        <v>595</v>
      </c>
      <c r="N598" s="591">
        <f t="shared" si="147"/>
        <v>409</v>
      </c>
      <c r="O598" s="591">
        <f t="shared" si="148"/>
        <v>419</v>
      </c>
      <c r="P598" s="315">
        <f t="shared" si="137"/>
        <v>333</v>
      </c>
      <c r="Q598" s="315">
        <f t="shared" si="138"/>
        <v>131</v>
      </c>
      <c r="R598" s="315">
        <f t="shared" si="139"/>
        <v>586</v>
      </c>
      <c r="S598" s="315">
        <f t="shared" si="140"/>
        <v>306</v>
      </c>
      <c r="T598" s="315">
        <f t="shared" si="141"/>
        <v>403</v>
      </c>
      <c r="U598" s="315">
        <f t="shared" si="142"/>
        <v>1759</v>
      </c>
      <c r="V598" s="591">
        <f t="shared" si="149"/>
        <v>622</v>
      </c>
      <c r="W598" s="598">
        <f t="shared" si="143"/>
        <v>622</v>
      </c>
    </row>
    <row r="599" spans="2:23" ht="15">
      <c r="B599" s="996" t="s">
        <v>1777</v>
      </c>
      <c r="C599" s="1043" t="s">
        <v>1778</v>
      </c>
      <c r="D599" s="1046"/>
      <c r="E599" s="1043" t="s">
        <v>603</v>
      </c>
      <c r="F599" s="1032">
        <f>VALUE(Data.Sard!G597)</f>
        <v>3.5121337553333694E-2</v>
      </c>
      <c r="G599" s="844"/>
      <c r="H599" s="1043">
        <v>18618008</v>
      </c>
      <c r="I599" s="264"/>
      <c r="J599" s="904">
        <f>Data.Sard!N597</f>
        <v>4.927626608007598E-2</v>
      </c>
      <c r="K599" s="595">
        <f t="shared" si="144"/>
        <v>361</v>
      </c>
      <c r="L599" s="591">
        <f t="shared" si="145"/>
        <v>397</v>
      </c>
      <c r="M599" s="591">
        <f t="shared" si="146"/>
        <v>406</v>
      </c>
      <c r="N599" s="591">
        <f t="shared" si="147"/>
        <v>285</v>
      </c>
      <c r="O599" s="591">
        <f t="shared" si="148"/>
        <v>282</v>
      </c>
      <c r="P599" s="315">
        <f t="shared" si="137"/>
        <v>252</v>
      </c>
      <c r="Q599" s="315">
        <f t="shared" si="138"/>
        <v>187</v>
      </c>
      <c r="R599" s="315">
        <f t="shared" si="139"/>
        <v>397</v>
      </c>
      <c r="S599" s="315">
        <f t="shared" si="140"/>
        <v>182</v>
      </c>
      <c r="T599" s="315">
        <f t="shared" si="141"/>
        <v>266</v>
      </c>
      <c r="U599" s="315">
        <f t="shared" si="142"/>
        <v>1284</v>
      </c>
      <c r="V599" s="591">
        <f t="shared" si="149"/>
        <v>357</v>
      </c>
      <c r="W599" s="598">
        <f t="shared" si="143"/>
        <v>357</v>
      </c>
    </row>
    <row r="600" spans="2:23" ht="15">
      <c r="B600" s="996" t="s">
        <v>1779</v>
      </c>
      <c r="C600" s="1043" t="s">
        <v>1780</v>
      </c>
      <c r="D600" s="1046"/>
      <c r="E600" s="1043" t="s">
        <v>603</v>
      </c>
      <c r="F600" s="1032"/>
      <c r="G600" s="844">
        <f>Data.Sard!J598</f>
        <v>0</v>
      </c>
      <c r="H600" s="1043">
        <v>255191</v>
      </c>
      <c r="I600" s="264">
        <f>VALUE(Data.Sard!L598)</f>
        <v>0.28599999999999998</v>
      </c>
      <c r="J600" s="904"/>
      <c r="K600" s="595">
        <f t="shared" si="144"/>
        <v>442</v>
      </c>
      <c r="L600" s="591">
        <f t="shared" si="145"/>
        <v>397</v>
      </c>
      <c r="M600" s="591">
        <f t="shared" si="146"/>
        <v>640</v>
      </c>
      <c r="N600" s="591">
        <f t="shared" si="147"/>
        <v>215</v>
      </c>
      <c r="O600" s="591">
        <f t="shared" si="148"/>
        <v>419</v>
      </c>
      <c r="P600" s="315">
        <f t="shared" si="137"/>
        <v>333</v>
      </c>
      <c r="Q600" s="315">
        <f t="shared" si="138"/>
        <v>187</v>
      </c>
      <c r="R600" s="315">
        <f t="shared" si="139"/>
        <v>631</v>
      </c>
      <c r="S600" s="315">
        <f t="shared" si="140"/>
        <v>112</v>
      </c>
      <c r="T600" s="315">
        <f t="shared" si="141"/>
        <v>403</v>
      </c>
      <c r="U600" s="315">
        <f t="shared" si="142"/>
        <v>1666</v>
      </c>
      <c r="V600" s="591">
        <f t="shared" si="149"/>
        <v>569</v>
      </c>
      <c r="W600" s="598">
        <f t="shared" si="143"/>
        <v>569</v>
      </c>
    </row>
    <row r="601" spans="2:23" ht="15">
      <c r="B601" s="996" t="s">
        <v>1781</v>
      </c>
      <c r="C601" s="1043" t="s">
        <v>1782</v>
      </c>
      <c r="D601" s="1046"/>
      <c r="E601" s="1043" t="s">
        <v>603</v>
      </c>
      <c r="F601" s="1032">
        <f>VALUE(Data.Sard!G599)</f>
        <v>5.7497597656502218E-2</v>
      </c>
      <c r="G601" s="844">
        <f>Data.Sard!J599</f>
        <v>-12.773559372187259</v>
      </c>
      <c r="H601" s="1043">
        <v>3283456</v>
      </c>
      <c r="I601" s="264"/>
      <c r="J601" s="904">
        <f>Data.Sard!N599</f>
        <v>1.5519928743878779E-2</v>
      </c>
      <c r="K601" s="595">
        <f t="shared" si="144"/>
        <v>315</v>
      </c>
      <c r="L601" s="591">
        <f t="shared" si="145"/>
        <v>573</v>
      </c>
      <c r="M601" s="591">
        <f t="shared" si="146"/>
        <v>559</v>
      </c>
      <c r="N601" s="591">
        <f t="shared" si="147"/>
        <v>285</v>
      </c>
      <c r="O601" s="591">
        <f t="shared" si="148"/>
        <v>379</v>
      </c>
      <c r="P601" s="315">
        <f t="shared" si="137"/>
        <v>206</v>
      </c>
      <c r="Q601" s="315">
        <f t="shared" si="138"/>
        <v>363</v>
      </c>
      <c r="R601" s="315">
        <f t="shared" si="139"/>
        <v>550</v>
      </c>
      <c r="S601" s="315">
        <f t="shared" si="140"/>
        <v>182</v>
      </c>
      <c r="T601" s="315">
        <f t="shared" si="141"/>
        <v>363</v>
      </c>
      <c r="U601" s="315">
        <f t="shared" si="142"/>
        <v>1664</v>
      </c>
      <c r="V601" s="591">
        <f t="shared" si="149"/>
        <v>565</v>
      </c>
      <c r="W601" s="598">
        <f t="shared" si="143"/>
        <v>565</v>
      </c>
    </row>
    <row r="602" spans="2:23" ht="15">
      <c r="B602" s="996" t="s">
        <v>1783</v>
      </c>
      <c r="C602" s="1043" t="s">
        <v>1784</v>
      </c>
      <c r="D602" s="1046"/>
      <c r="E602" s="1043" t="s">
        <v>546</v>
      </c>
      <c r="F602" s="1032">
        <f>VALUE(Data.Sard!G600)</f>
        <v>-1.0669664339757374</v>
      </c>
      <c r="G602" s="844">
        <f>Data.Sard!J600</f>
        <v>-0.63955641026108045</v>
      </c>
      <c r="H602" s="1043">
        <v>6002298</v>
      </c>
      <c r="I602" s="264">
        <f>VALUE(Data.Sard!L600)</f>
        <v>9.7000000000000003E-2</v>
      </c>
      <c r="J602" s="904">
        <f>Data.Sard!N600</f>
        <v>-5.1780876587320106E-2</v>
      </c>
      <c r="K602" s="595">
        <f t="shared" si="144"/>
        <v>595</v>
      </c>
      <c r="L602" s="591">
        <f t="shared" si="145"/>
        <v>472</v>
      </c>
      <c r="M602" s="591">
        <f t="shared" si="146"/>
        <v>516</v>
      </c>
      <c r="N602" s="591">
        <f t="shared" si="147"/>
        <v>261</v>
      </c>
      <c r="O602" s="591">
        <f t="shared" si="148"/>
        <v>475</v>
      </c>
      <c r="P602" s="315">
        <f t="shared" si="137"/>
        <v>486</v>
      </c>
      <c r="Q602" s="315">
        <f t="shared" si="138"/>
        <v>262</v>
      </c>
      <c r="R602" s="315">
        <f t="shared" si="139"/>
        <v>507</v>
      </c>
      <c r="S602" s="315">
        <f t="shared" si="140"/>
        <v>158</v>
      </c>
      <c r="T602" s="315">
        <f t="shared" si="141"/>
        <v>459</v>
      </c>
      <c r="U602" s="315">
        <f t="shared" si="142"/>
        <v>1872</v>
      </c>
      <c r="V602" s="591">
        <f t="shared" si="149"/>
        <v>675</v>
      </c>
      <c r="W602" s="598">
        <f t="shared" si="143"/>
        <v>675</v>
      </c>
    </row>
    <row r="603" spans="2:23" ht="15">
      <c r="B603" s="1043" t="s">
        <v>1785</v>
      </c>
      <c r="C603" s="1043" t="s">
        <v>1786</v>
      </c>
      <c r="D603" s="1046"/>
      <c r="E603" s="1043" t="s">
        <v>603</v>
      </c>
      <c r="F603" s="1032">
        <f>VALUE(Data.Sard!G601)</f>
        <v>-0.51322037614200977</v>
      </c>
      <c r="G603" s="844">
        <f>Data.Sard!J601</f>
        <v>40.486450416266692</v>
      </c>
      <c r="H603" s="1043">
        <v>7230394</v>
      </c>
      <c r="I603" s="264">
        <f>VALUE(Data.Sard!L601)</f>
        <v>0.36399999999999999</v>
      </c>
      <c r="J603" s="904">
        <f>Data.Sard!N601</f>
        <v>-0.83856333280443562</v>
      </c>
      <c r="K603" s="595">
        <f t="shared" si="144"/>
        <v>577</v>
      </c>
      <c r="L603" s="591">
        <f t="shared" si="145"/>
        <v>13</v>
      </c>
      <c r="M603" s="591">
        <f t="shared" si="146"/>
        <v>498</v>
      </c>
      <c r="N603" s="591">
        <f t="shared" si="147"/>
        <v>193</v>
      </c>
      <c r="O603" s="591">
        <f t="shared" si="148"/>
        <v>575</v>
      </c>
      <c r="P603" s="315">
        <f t="shared" si="137"/>
        <v>468</v>
      </c>
      <c r="Q603" s="315">
        <f t="shared" si="138"/>
        <v>197</v>
      </c>
      <c r="R603" s="315">
        <f t="shared" si="139"/>
        <v>489</v>
      </c>
      <c r="S603" s="315">
        <f t="shared" si="140"/>
        <v>90</v>
      </c>
      <c r="T603" s="315">
        <f t="shared" si="141"/>
        <v>559</v>
      </c>
      <c r="U603" s="315">
        <f t="shared" si="142"/>
        <v>1803</v>
      </c>
      <c r="V603" s="591">
        <f t="shared" si="149"/>
        <v>646</v>
      </c>
      <c r="W603" s="598">
        <f t="shared" si="143"/>
        <v>646</v>
      </c>
    </row>
    <row r="604" spans="2:23" ht="15">
      <c r="B604" s="1043" t="s">
        <v>1787</v>
      </c>
      <c r="C604" s="1043" t="s">
        <v>1788</v>
      </c>
      <c r="D604" s="1046"/>
      <c r="E604" s="1043" t="s">
        <v>603</v>
      </c>
      <c r="F604" s="1032">
        <f>VALUE(Data.Sard!G602)</f>
        <v>-2.8685489550966354E-2</v>
      </c>
      <c r="G604" s="844">
        <f>Data.Sard!J602</f>
        <v>3.4999863959468271</v>
      </c>
      <c r="H604" s="1043">
        <v>339821368</v>
      </c>
      <c r="I604" s="264">
        <f>VALUE(Data.Sard!L602)</f>
        <v>-128.63200000000001</v>
      </c>
      <c r="J604" s="904">
        <f>Data.Sard!N602</f>
        <v>1.1240116225877237E-2</v>
      </c>
      <c r="K604" s="595">
        <f t="shared" si="144"/>
        <v>471</v>
      </c>
      <c r="L604" s="591">
        <f t="shared" si="145"/>
        <v>162</v>
      </c>
      <c r="M604" s="591">
        <f t="shared" si="146"/>
        <v>124</v>
      </c>
      <c r="N604" s="591">
        <f t="shared" si="147"/>
        <v>542</v>
      </c>
      <c r="O604" s="591">
        <f t="shared" si="148"/>
        <v>387</v>
      </c>
      <c r="P604" s="315">
        <f t="shared" si="137"/>
        <v>362</v>
      </c>
      <c r="Q604" s="315">
        <f t="shared" si="138"/>
        <v>48</v>
      </c>
      <c r="R604" s="315">
        <f t="shared" si="139"/>
        <v>115</v>
      </c>
      <c r="S604" s="315">
        <f t="shared" si="140"/>
        <v>439</v>
      </c>
      <c r="T604" s="315">
        <f t="shared" si="141"/>
        <v>371</v>
      </c>
      <c r="U604" s="315">
        <f t="shared" si="142"/>
        <v>1335</v>
      </c>
      <c r="V604" s="591">
        <f t="shared" si="149"/>
        <v>380</v>
      </c>
      <c r="W604" s="598">
        <f t="shared" si="143"/>
        <v>380</v>
      </c>
    </row>
    <row r="605" spans="2:23" ht="15">
      <c r="B605" s="1043" t="s">
        <v>1789</v>
      </c>
      <c r="C605" s="1043" t="s">
        <v>1790</v>
      </c>
      <c r="D605" s="1046"/>
      <c r="E605" s="1043" t="s">
        <v>603</v>
      </c>
      <c r="F605" s="1032">
        <f>VALUE(Data.Sard!G603)</f>
        <v>7.6587119989597677E-2</v>
      </c>
      <c r="G605" s="844">
        <f>Data.Sard!J603</f>
        <v>19.364291850117127</v>
      </c>
      <c r="H605" s="1043">
        <v>18945086</v>
      </c>
      <c r="I605" s="264">
        <f>VALUE(Data.Sard!L603)</f>
        <v>-101.375</v>
      </c>
      <c r="J605" s="904">
        <f>Data.Sard!N603</f>
        <v>8.9120453525292645E-2</v>
      </c>
      <c r="K605" s="595">
        <f t="shared" si="144"/>
        <v>273</v>
      </c>
      <c r="L605" s="591">
        <f t="shared" si="145"/>
        <v>30</v>
      </c>
      <c r="M605" s="591">
        <f t="shared" si="146"/>
        <v>402</v>
      </c>
      <c r="N605" s="591">
        <f t="shared" si="147"/>
        <v>541</v>
      </c>
      <c r="O605" s="591">
        <f t="shared" si="148"/>
        <v>179</v>
      </c>
      <c r="P605" s="315">
        <f t="shared" si="137"/>
        <v>164</v>
      </c>
      <c r="Q605" s="315">
        <f t="shared" si="138"/>
        <v>180</v>
      </c>
      <c r="R605" s="315">
        <f t="shared" si="139"/>
        <v>393</v>
      </c>
      <c r="S605" s="315">
        <f t="shared" si="140"/>
        <v>438</v>
      </c>
      <c r="T605" s="315">
        <f t="shared" si="141"/>
        <v>163</v>
      </c>
      <c r="U605" s="315">
        <f t="shared" si="142"/>
        <v>1338</v>
      </c>
      <c r="V605" s="591">
        <f t="shared" si="149"/>
        <v>381</v>
      </c>
      <c r="W605" s="598">
        <f t="shared" si="143"/>
        <v>381</v>
      </c>
    </row>
    <row r="606" spans="2:23" ht="15">
      <c r="B606" s="996" t="s">
        <v>1791</v>
      </c>
      <c r="C606" s="1043" t="s">
        <v>1792</v>
      </c>
      <c r="D606" s="1046"/>
      <c r="E606" s="1043" t="s">
        <v>546</v>
      </c>
      <c r="F606" s="1032">
        <f>VALUE(Data.Sard!G604)</f>
        <v>7.9720979284538755E-3</v>
      </c>
      <c r="G606" s="844">
        <f>Data.Sard!J604</f>
        <v>4.7014482462543157</v>
      </c>
      <c r="H606" s="1043">
        <v>12713000</v>
      </c>
      <c r="I606" s="264">
        <f>VALUE(Data.Sard!L604)</f>
        <v>0.44600000000000001</v>
      </c>
      <c r="J606" s="904">
        <f>Data.Sard!N604</f>
        <v>7.6073536624363678E-3</v>
      </c>
      <c r="K606" s="595">
        <f t="shared" si="144"/>
        <v>425</v>
      </c>
      <c r="L606" s="591">
        <f t="shared" si="145"/>
        <v>127</v>
      </c>
      <c r="M606" s="591">
        <f t="shared" si="146"/>
        <v>445</v>
      </c>
      <c r="N606" s="591">
        <f t="shared" si="147"/>
        <v>180</v>
      </c>
      <c r="O606" s="591">
        <f t="shared" si="148"/>
        <v>400</v>
      </c>
      <c r="P606" s="315">
        <f t="shared" si="137"/>
        <v>316</v>
      </c>
      <c r="Q606" s="315">
        <f t="shared" si="138"/>
        <v>83</v>
      </c>
      <c r="R606" s="315">
        <f t="shared" si="139"/>
        <v>436</v>
      </c>
      <c r="S606" s="315">
        <f t="shared" si="140"/>
        <v>77</v>
      </c>
      <c r="T606" s="315">
        <f t="shared" si="141"/>
        <v>384</v>
      </c>
      <c r="U606" s="315">
        <f t="shared" si="142"/>
        <v>1296</v>
      </c>
      <c r="V606" s="591">
        <f t="shared" si="149"/>
        <v>363</v>
      </c>
      <c r="W606" s="598">
        <f t="shared" si="143"/>
        <v>363</v>
      </c>
    </row>
    <row r="607" spans="2:23" ht="15">
      <c r="B607" s="996" t="s">
        <v>1793</v>
      </c>
      <c r="C607" s="1043" t="s">
        <v>1794</v>
      </c>
      <c r="D607" s="1046"/>
      <c r="E607" s="1043" t="s">
        <v>603</v>
      </c>
      <c r="F607" s="1032">
        <f>VALUE(Data.Sard!G605)</f>
        <v>2.0744287221992373E-2</v>
      </c>
      <c r="G607" s="844">
        <f>Data.Sard!J605</f>
        <v>4.023675941379504</v>
      </c>
      <c r="H607" s="1043">
        <v>2287402</v>
      </c>
      <c r="I607" s="264">
        <f>VALUE(Data.Sard!L605)</f>
        <v>-0.27</v>
      </c>
      <c r="J607" s="904">
        <f>Data.Sard!N605</f>
        <v>3.7397016688476225E-3</v>
      </c>
      <c r="K607" s="595">
        <f t="shared" si="144"/>
        <v>395</v>
      </c>
      <c r="L607" s="591">
        <f t="shared" si="145"/>
        <v>144</v>
      </c>
      <c r="M607" s="591">
        <f t="shared" si="146"/>
        <v>581</v>
      </c>
      <c r="N607" s="591">
        <f t="shared" si="147"/>
        <v>352</v>
      </c>
      <c r="O607" s="591">
        <f t="shared" si="148"/>
        <v>414</v>
      </c>
      <c r="P607" s="315">
        <f t="shared" si="137"/>
        <v>286</v>
      </c>
      <c r="Q607" s="315">
        <f t="shared" si="138"/>
        <v>66</v>
      </c>
      <c r="R607" s="315">
        <f t="shared" si="139"/>
        <v>572</v>
      </c>
      <c r="S607" s="315">
        <f t="shared" si="140"/>
        <v>249</v>
      </c>
      <c r="T607" s="315">
        <f t="shared" si="141"/>
        <v>398</v>
      </c>
      <c r="U607" s="315">
        <f t="shared" si="142"/>
        <v>1571</v>
      </c>
      <c r="V607" s="591">
        <f t="shared" si="149"/>
        <v>511</v>
      </c>
      <c r="W607" s="598">
        <f t="shared" si="143"/>
        <v>511</v>
      </c>
    </row>
    <row r="608" spans="2:23" ht="15">
      <c r="B608" s="1043" t="s">
        <v>1795</v>
      </c>
      <c r="C608" s="1043" t="s">
        <v>1796</v>
      </c>
      <c r="D608" s="1046"/>
      <c r="E608" s="1043" t="s">
        <v>603</v>
      </c>
      <c r="F608" s="1032">
        <f>VALUE(Data.Sard!G606)</f>
        <v>4.0035585868324463E-3</v>
      </c>
      <c r="G608" s="844">
        <f>Data.Sard!J606</f>
        <v>-7.9802540518635001E-2</v>
      </c>
      <c r="H608" s="1043">
        <v>66514158</v>
      </c>
      <c r="I608" s="264">
        <f>VALUE(Data.Sard!L606)</f>
        <v>2.6669999999999998</v>
      </c>
      <c r="J608" s="904">
        <f>Data.Sard!N606</f>
        <v>0.14188310720761138</v>
      </c>
      <c r="K608" s="595">
        <f t="shared" si="144"/>
        <v>436</v>
      </c>
      <c r="L608" s="591">
        <f t="shared" si="145"/>
        <v>446</v>
      </c>
      <c r="M608" s="591">
        <f t="shared" si="146"/>
        <v>265</v>
      </c>
      <c r="N608" s="591">
        <f t="shared" si="147"/>
        <v>37</v>
      </c>
      <c r="O608" s="591">
        <f t="shared" si="148"/>
        <v>100</v>
      </c>
      <c r="P608" s="315">
        <f t="shared" si="137"/>
        <v>327</v>
      </c>
      <c r="Q608" s="315">
        <f t="shared" si="138"/>
        <v>236</v>
      </c>
      <c r="R608" s="315">
        <f t="shared" si="139"/>
        <v>256</v>
      </c>
      <c r="S608" s="315">
        <f t="shared" si="140"/>
        <v>66</v>
      </c>
      <c r="T608" s="315">
        <f t="shared" si="141"/>
        <v>84</v>
      </c>
      <c r="U608" s="315">
        <f t="shared" si="142"/>
        <v>969</v>
      </c>
      <c r="V608" s="591">
        <f t="shared" si="149"/>
        <v>225</v>
      </c>
      <c r="W608" s="598">
        <f t="shared" si="143"/>
        <v>225</v>
      </c>
    </row>
    <row r="609" spans="2:23" ht="15">
      <c r="B609" s="996" t="s">
        <v>1797</v>
      </c>
      <c r="C609" s="1043" t="s">
        <v>1798</v>
      </c>
      <c r="D609" s="1046"/>
      <c r="E609" s="1043" t="s">
        <v>584</v>
      </c>
      <c r="F609" s="1032">
        <f>VALUE(Data.Sard!G607)</f>
        <v>-0.32273228741396215</v>
      </c>
      <c r="G609" s="844">
        <f>Data.Sard!J607</f>
        <v>0.19933184855233854</v>
      </c>
      <c r="H609" s="1043">
        <v>12026874</v>
      </c>
      <c r="I609" s="264"/>
      <c r="J609" s="904">
        <f>Data.Sard!N607</f>
        <v>-1.8554458332476182</v>
      </c>
      <c r="K609" s="595">
        <f t="shared" si="144"/>
        <v>559</v>
      </c>
      <c r="L609" s="591">
        <f t="shared" si="145"/>
        <v>363</v>
      </c>
      <c r="M609" s="591">
        <f t="shared" si="146"/>
        <v>450</v>
      </c>
      <c r="N609" s="591">
        <f t="shared" si="147"/>
        <v>285</v>
      </c>
      <c r="O609" s="591">
        <f t="shared" si="148"/>
        <v>584</v>
      </c>
      <c r="P609" s="315">
        <f t="shared" si="137"/>
        <v>450</v>
      </c>
      <c r="Q609" s="315">
        <f t="shared" si="138"/>
        <v>153</v>
      </c>
      <c r="R609" s="315">
        <f t="shared" si="139"/>
        <v>441</v>
      </c>
      <c r="S609" s="315">
        <f t="shared" si="140"/>
        <v>182</v>
      </c>
      <c r="T609" s="315">
        <f t="shared" si="141"/>
        <v>568</v>
      </c>
      <c r="U609" s="315">
        <f t="shared" si="142"/>
        <v>1794</v>
      </c>
      <c r="V609" s="591">
        <f t="shared" si="149"/>
        <v>642</v>
      </c>
      <c r="W609" s="598">
        <f t="shared" si="143"/>
        <v>642</v>
      </c>
    </row>
    <row r="610" spans="2:23" ht="15">
      <c r="B610" s="996" t="s">
        <v>1799</v>
      </c>
      <c r="C610" s="1043" t="s">
        <v>1800</v>
      </c>
      <c r="D610" s="1046"/>
      <c r="E610" s="1043" t="s">
        <v>546</v>
      </c>
      <c r="F610" s="1032">
        <f>VALUE(Data.Sard!G608)</f>
        <v>9.9891910762599775E-2</v>
      </c>
      <c r="G610" s="844">
        <f>Data.Sard!J608</f>
        <v>0.66306756281933399</v>
      </c>
      <c r="H610" s="1043">
        <v>98640628</v>
      </c>
      <c r="I610" s="264"/>
      <c r="J610" s="904">
        <f>Data.Sard!N608</f>
        <v>7.7660014029153734E-2</v>
      </c>
      <c r="K610" s="595">
        <f t="shared" si="144"/>
        <v>233</v>
      </c>
      <c r="L610" s="591">
        <f t="shared" si="145"/>
        <v>317</v>
      </c>
      <c r="M610" s="591">
        <f t="shared" si="146"/>
        <v>227</v>
      </c>
      <c r="N610" s="591">
        <f t="shared" si="147"/>
        <v>285</v>
      </c>
      <c r="O610" s="591">
        <f t="shared" si="148"/>
        <v>200</v>
      </c>
      <c r="P610" s="315">
        <f t="shared" si="137"/>
        <v>124</v>
      </c>
      <c r="Q610" s="315">
        <f t="shared" si="138"/>
        <v>107</v>
      </c>
      <c r="R610" s="315">
        <f t="shared" si="139"/>
        <v>218</v>
      </c>
      <c r="S610" s="315">
        <f t="shared" si="140"/>
        <v>182</v>
      </c>
      <c r="T610" s="315">
        <f t="shared" si="141"/>
        <v>184</v>
      </c>
      <c r="U610" s="315">
        <f t="shared" si="142"/>
        <v>815</v>
      </c>
      <c r="V610" s="591">
        <f t="shared" si="149"/>
        <v>153</v>
      </c>
      <c r="W610" s="598">
        <f t="shared" si="143"/>
        <v>153</v>
      </c>
    </row>
    <row r="611" spans="2:23" ht="15">
      <c r="B611" s="1043" t="s">
        <v>1801</v>
      </c>
      <c r="C611" s="1043" t="s">
        <v>1802</v>
      </c>
      <c r="D611" s="1046"/>
      <c r="E611" s="1043" t="s">
        <v>584</v>
      </c>
      <c r="F611" s="1032">
        <f>VALUE(Data.Sard!G609)</f>
        <v>0.1103608311190393</v>
      </c>
      <c r="G611" s="844">
        <f>Data.Sard!J609</f>
        <v>16.066766392581343</v>
      </c>
      <c r="H611" s="1043">
        <v>42259640</v>
      </c>
      <c r="I611" s="264">
        <f>VALUE(Data.Sard!L609)</f>
        <v>0.71</v>
      </c>
      <c r="J611" s="904">
        <f>Data.Sard!N609</f>
        <v>6.3162599790098695E-2</v>
      </c>
      <c r="K611" s="595">
        <f t="shared" si="144"/>
        <v>215</v>
      </c>
      <c r="L611" s="591">
        <f t="shared" si="145"/>
        <v>37</v>
      </c>
      <c r="M611" s="591">
        <f t="shared" si="146"/>
        <v>310</v>
      </c>
      <c r="N611" s="591">
        <f t="shared" si="147"/>
        <v>139</v>
      </c>
      <c r="O611" s="591">
        <f t="shared" si="148"/>
        <v>233</v>
      </c>
      <c r="P611" s="315">
        <f t="shared" si="137"/>
        <v>106</v>
      </c>
      <c r="Q611" s="315">
        <f t="shared" si="138"/>
        <v>173</v>
      </c>
      <c r="R611" s="315">
        <f t="shared" si="139"/>
        <v>301</v>
      </c>
      <c r="S611" s="315">
        <f t="shared" si="140"/>
        <v>36</v>
      </c>
      <c r="T611" s="315">
        <f t="shared" si="141"/>
        <v>217</v>
      </c>
      <c r="U611" s="315">
        <f t="shared" si="142"/>
        <v>833</v>
      </c>
      <c r="V611" s="591">
        <f t="shared" si="149"/>
        <v>159</v>
      </c>
      <c r="W611" s="598">
        <f t="shared" si="143"/>
        <v>159</v>
      </c>
    </row>
    <row r="612" spans="2:23" ht="15">
      <c r="B612" s="996" t="s">
        <v>1803</v>
      </c>
      <c r="C612" s="1043" t="s">
        <v>1804</v>
      </c>
      <c r="D612" s="1046"/>
      <c r="E612" s="1043" t="s">
        <v>1048</v>
      </c>
      <c r="F612" s="1032">
        <f>VALUE(Data.Sard!G610)</f>
        <v>4.8947535904191521E-2</v>
      </c>
      <c r="G612" s="844">
        <f>Data.Sard!J610</f>
        <v>1.5334344412060019</v>
      </c>
      <c r="H612" s="1043">
        <v>6575304</v>
      </c>
      <c r="I612" s="264">
        <f>VALUE(Data.Sard!L610)</f>
        <v>1.3360000000000001</v>
      </c>
      <c r="J612" s="904">
        <f>Data.Sard!N610</f>
        <v>3.4823006215484752E-2</v>
      </c>
      <c r="K612" s="595">
        <f t="shared" si="144"/>
        <v>336</v>
      </c>
      <c r="L612" s="591">
        <f t="shared" si="145"/>
        <v>267</v>
      </c>
      <c r="M612" s="591">
        <f t="shared" si="146"/>
        <v>510</v>
      </c>
      <c r="N612" s="591">
        <f t="shared" si="147"/>
        <v>68</v>
      </c>
      <c r="O612" s="591">
        <f t="shared" si="148"/>
        <v>324</v>
      </c>
      <c r="P612" s="315">
        <f t="shared" si="137"/>
        <v>227</v>
      </c>
      <c r="Q612" s="315">
        <f t="shared" si="138"/>
        <v>57</v>
      </c>
      <c r="R612" s="315">
        <f t="shared" si="139"/>
        <v>501</v>
      </c>
      <c r="S612" s="315">
        <f t="shared" si="140"/>
        <v>35</v>
      </c>
      <c r="T612" s="315">
        <f t="shared" si="141"/>
        <v>308</v>
      </c>
      <c r="U612" s="315">
        <f t="shared" si="142"/>
        <v>1128</v>
      </c>
      <c r="V612" s="591">
        <f t="shared" si="149"/>
        <v>284</v>
      </c>
      <c r="W612" s="598">
        <f t="shared" si="143"/>
        <v>284</v>
      </c>
    </row>
    <row r="613" spans="2:23" ht="15">
      <c r="B613" s="1043" t="s">
        <v>1805</v>
      </c>
      <c r="C613" s="1043" t="s">
        <v>1806</v>
      </c>
      <c r="D613" s="1046"/>
      <c r="E613" s="1043" t="s">
        <v>611</v>
      </c>
      <c r="F613" s="1032">
        <f>VALUE(Data.Sard!G611)</f>
        <v>0.20250917077976879</v>
      </c>
      <c r="G613" s="844">
        <f>Data.Sard!J611</f>
        <v>19.745877821738588</v>
      </c>
      <c r="H613" s="1043">
        <v>90688317</v>
      </c>
      <c r="I613" s="264">
        <f>VALUE(Data.Sard!L611)</f>
        <v>-1.208</v>
      </c>
      <c r="J613" s="904">
        <f>Data.Sard!N611</f>
        <v>5.168043191093636E-2</v>
      </c>
      <c r="K613" s="595">
        <f t="shared" si="144"/>
        <v>106</v>
      </c>
      <c r="L613" s="591">
        <f t="shared" si="145"/>
        <v>28</v>
      </c>
      <c r="M613" s="591">
        <f t="shared" si="146"/>
        <v>239</v>
      </c>
      <c r="N613" s="591">
        <f t="shared" si="147"/>
        <v>451</v>
      </c>
      <c r="O613" s="591">
        <f t="shared" si="148"/>
        <v>274</v>
      </c>
      <c r="P613" s="315">
        <f t="shared" ref="P613:P676" si="150">IFERROR(ABS(K$3-K613),"N/A")</f>
        <v>3</v>
      </c>
      <c r="Q613" s="315">
        <f t="shared" ref="Q613:Q676" si="151">IFERROR(ABS(L$3-L613),"N/A")</f>
        <v>182</v>
      </c>
      <c r="R613" s="315">
        <f t="shared" ref="R613:R676" si="152">IFERROR(ABS(M$3-M613),"N/A")</f>
        <v>230</v>
      </c>
      <c r="S613" s="315">
        <f t="shared" ref="S613:S676" si="153">IFERROR(ABS(N$3-N613),"N/A")</f>
        <v>348</v>
      </c>
      <c r="T613" s="315">
        <f t="shared" ref="T613:T676" si="154">IFERROR(ABS(O$3-O613),"N/A")</f>
        <v>258</v>
      </c>
      <c r="U613" s="315">
        <f t="shared" ref="U613:U676" si="155">SUM(P613:T613)</f>
        <v>1021</v>
      </c>
      <c r="V613" s="591">
        <f t="shared" si="149"/>
        <v>250</v>
      </c>
      <c r="W613" s="598">
        <f t="shared" ref="W613:W676" si="156">IF(Y613="Not suitable","-",V613)</f>
        <v>250</v>
      </c>
    </row>
    <row r="614" spans="2:23" ht="15">
      <c r="B614" s="996" t="s">
        <v>1807</v>
      </c>
      <c r="C614" s="1043" t="s">
        <v>1808</v>
      </c>
      <c r="D614" s="1046"/>
      <c r="E614" s="1043" t="s">
        <v>603</v>
      </c>
      <c r="F614" s="1032">
        <f>VALUE(Data.Sard!G612)</f>
        <v>6.6007157708265735E-2</v>
      </c>
      <c r="G614" s="844">
        <f>Data.Sard!J612</f>
        <v>4.1462874414115882</v>
      </c>
      <c r="H614" s="1043">
        <v>2238452</v>
      </c>
      <c r="I614" s="264">
        <f>VALUE(Data.Sard!L612)</f>
        <v>1.0289999999999999</v>
      </c>
      <c r="J614" s="904">
        <f>Data.Sard!N612</f>
        <v>1.3249608716459318E-2</v>
      </c>
      <c r="K614" s="595">
        <f t="shared" si="144"/>
        <v>294</v>
      </c>
      <c r="L614" s="591">
        <f t="shared" si="145"/>
        <v>142</v>
      </c>
      <c r="M614" s="591">
        <f t="shared" si="146"/>
        <v>582</v>
      </c>
      <c r="N614" s="591">
        <f t="shared" si="147"/>
        <v>97</v>
      </c>
      <c r="O614" s="591">
        <f t="shared" si="148"/>
        <v>384</v>
      </c>
      <c r="P614" s="315">
        <f t="shared" si="150"/>
        <v>185</v>
      </c>
      <c r="Q614" s="315">
        <f t="shared" si="151"/>
        <v>68</v>
      </c>
      <c r="R614" s="315">
        <f t="shared" si="152"/>
        <v>573</v>
      </c>
      <c r="S614" s="315">
        <f t="shared" si="153"/>
        <v>6</v>
      </c>
      <c r="T614" s="315">
        <f t="shared" si="154"/>
        <v>368</v>
      </c>
      <c r="U614" s="315">
        <f t="shared" si="155"/>
        <v>1200</v>
      </c>
      <c r="V614" s="591">
        <f t="shared" si="149"/>
        <v>309</v>
      </c>
      <c r="W614" s="598">
        <f t="shared" si="156"/>
        <v>309</v>
      </c>
    </row>
    <row r="615" spans="2:23" ht="15">
      <c r="B615" s="1043" t="s">
        <v>1809</v>
      </c>
      <c r="C615" s="1043" t="s">
        <v>1810</v>
      </c>
      <c r="D615" s="1046"/>
      <c r="E615" s="1043" t="s">
        <v>603</v>
      </c>
      <c r="F615" s="1032">
        <f>VALUE(Data.Sard!G613)</f>
        <v>7.6512403888002317E-2</v>
      </c>
      <c r="G615" s="844">
        <f>Data.Sard!J613</f>
        <v>6.2751238388976631</v>
      </c>
      <c r="H615" s="1043">
        <v>8087913</v>
      </c>
      <c r="I615" s="264">
        <f>VALUE(Data.Sard!L613)</f>
        <v>0.4</v>
      </c>
      <c r="J615" s="904">
        <f>Data.Sard!N613</f>
        <v>0.13250055771391905</v>
      </c>
      <c r="K615" s="595">
        <f t="shared" si="144"/>
        <v>274</v>
      </c>
      <c r="L615" s="591">
        <f t="shared" si="145"/>
        <v>101</v>
      </c>
      <c r="M615" s="591">
        <f t="shared" si="146"/>
        <v>487</v>
      </c>
      <c r="N615" s="591">
        <f t="shared" si="147"/>
        <v>187</v>
      </c>
      <c r="O615" s="591">
        <f t="shared" si="148"/>
        <v>108</v>
      </c>
      <c r="P615" s="315">
        <f t="shared" si="150"/>
        <v>165</v>
      </c>
      <c r="Q615" s="315">
        <f t="shared" si="151"/>
        <v>109</v>
      </c>
      <c r="R615" s="315">
        <f t="shared" si="152"/>
        <v>478</v>
      </c>
      <c r="S615" s="315">
        <f t="shared" si="153"/>
        <v>84</v>
      </c>
      <c r="T615" s="315">
        <f t="shared" si="154"/>
        <v>92</v>
      </c>
      <c r="U615" s="315">
        <f t="shared" si="155"/>
        <v>928</v>
      </c>
      <c r="V615" s="591">
        <f t="shared" si="149"/>
        <v>198</v>
      </c>
      <c r="W615" s="598">
        <f t="shared" si="156"/>
        <v>198</v>
      </c>
    </row>
    <row r="616" spans="2:23" ht="15">
      <c r="B616" s="1043" t="s">
        <v>1811</v>
      </c>
      <c r="C616" s="1043" t="s">
        <v>1812</v>
      </c>
      <c r="D616" s="1046"/>
      <c r="E616" s="1043" t="s">
        <v>584</v>
      </c>
      <c r="F616" s="1032">
        <f>VALUE(Data.Sard!G614)</f>
        <v>6.2565789215157874E-2</v>
      </c>
      <c r="G616" s="844">
        <f>Data.Sard!J614</f>
        <v>4.1973309306012805</v>
      </c>
      <c r="H616" s="1043">
        <v>139932174</v>
      </c>
      <c r="I616" s="264">
        <f>VALUE(Data.Sard!L614)</f>
        <v>0.53400000000000003</v>
      </c>
      <c r="J616" s="904">
        <f>Data.Sard!N614</f>
        <v>0.1068240233675723</v>
      </c>
      <c r="K616" s="595">
        <f t="shared" si="144"/>
        <v>299</v>
      </c>
      <c r="L616" s="591">
        <f t="shared" si="145"/>
        <v>139</v>
      </c>
      <c r="M616" s="591">
        <f t="shared" si="146"/>
        <v>199</v>
      </c>
      <c r="N616" s="591">
        <f t="shared" si="147"/>
        <v>169</v>
      </c>
      <c r="O616" s="591">
        <f t="shared" si="148"/>
        <v>141</v>
      </c>
      <c r="P616" s="315">
        <f t="shared" si="150"/>
        <v>190</v>
      </c>
      <c r="Q616" s="315">
        <f t="shared" si="151"/>
        <v>71</v>
      </c>
      <c r="R616" s="315">
        <f t="shared" si="152"/>
        <v>190</v>
      </c>
      <c r="S616" s="315">
        <f t="shared" si="153"/>
        <v>66</v>
      </c>
      <c r="T616" s="315">
        <f t="shared" si="154"/>
        <v>125</v>
      </c>
      <c r="U616" s="315">
        <f t="shared" si="155"/>
        <v>642</v>
      </c>
      <c r="V616" s="591">
        <f t="shared" si="149"/>
        <v>91</v>
      </c>
      <c r="W616" s="598">
        <f t="shared" si="156"/>
        <v>91</v>
      </c>
    </row>
    <row r="617" spans="2:23" ht="15">
      <c r="B617" s="1043" t="s">
        <v>1813</v>
      </c>
      <c r="C617" s="1043" t="s">
        <v>1814</v>
      </c>
      <c r="D617" s="1046"/>
      <c r="E617" s="1043" t="s">
        <v>603</v>
      </c>
      <c r="F617" s="1032">
        <f>VALUE(Data.Sard!G615)</f>
        <v>0.18962546333241384</v>
      </c>
      <c r="G617" s="844">
        <f>Data.Sard!J615</f>
        <v>2.4899971628105027</v>
      </c>
      <c r="H617" s="1043">
        <v>165830292</v>
      </c>
      <c r="I617" s="264">
        <f>VALUE(Data.Sard!L615)</f>
        <v>-0.874</v>
      </c>
      <c r="J617" s="904">
        <f>Data.Sard!N615</f>
        <v>3.0237977866466606E-2</v>
      </c>
      <c r="K617" s="595">
        <f t="shared" si="144"/>
        <v>118</v>
      </c>
      <c r="L617" s="591">
        <f t="shared" si="145"/>
        <v>208</v>
      </c>
      <c r="M617" s="591">
        <f t="shared" si="146"/>
        <v>182</v>
      </c>
      <c r="N617" s="591">
        <f t="shared" si="147"/>
        <v>427</v>
      </c>
      <c r="O617" s="591">
        <f t="shared" si="148"/>
        <v>334</v>
      </c>
      <c r="P617" s="315">
        <f t="shared" si="150"/>
        <v>9</v>
      </c>
      <c r="Q617" s="315">
        <f t="shared" si="151"/>
        <v>2</v>
      </c>
      <c r="R617" s="315">
        <f t="shared" si="152"/>
        <v>173</v>
      </c>
      <c r="S617" s="315">
        <f t="shared" si="153"/>
        <v>324</v>
      </c>
      <c r="T617" s="315">
        <f t="shared" si="154"/>
        <v>318</v>
      </c>
      <c r="U617" s="315">
        <f t="shared" si="155"/>
        <v>826</v>
      </c>
      <c r="V617" s="591">
        <f t="shared" si="149"/>
        <v>156</v>
      </c>
      <c r="W617" s="598">
        <f t="shared" si="156"/>
        <v>156</v>
      </c>
    </row>
    <row r="618" spans="2:23" ht="15">
      <c r="B618" s="1043" t="s">
        <v>1815</v>
      </c>
      <c r="C618" s="1043" t="s">
        <v>1816</v>
      </c>
      <c r="D618" s="1046"/>
      <c r="E618" s="1043" t="s">
        <v>603</v>
      </c>
      <c r="F618" s="1032">
        <f>VALUE(Data.Sard!G616)</f>
        <v>0.14502095723650171</v>
      </c>
      <c r="G618" s="844">
        <f>Data.Sard!J616</f>
        <v>-35.352282517635516</v>
      </c>
      <c r="H618" s="1043">
        <v>76521392</v>
      </c>
      <c r="I618" s="264">
        <f>VALUE(Data.Sard!L616)</f>
        <v>0.371</v>
      </c>
      <c r="J618" s="904">
        <f>Data.Sard!N616</f>
        <v>0.12474181748905469</v>
      </c>
      <c r="K618" s="595">
        <f t="shared" si="144"/>
        <v>162</v>
      </c>
      <c r="L618" s="591">
        <f t="shared" si="145"/>
        <v>590</v>
      </c>
      <c r="M618" s="591">
        <f t="shared" si="146"/>
        <v>253</v>
      </c>
      <c r="N618" s="591">
        <f t="shared" si="147"/>
        <v>191</v>
      </c>
      <c r="O618" s="591">
        <f t="shared" si="148"/>
        <v>116</v>
      </c>
      <c r="P618" s="315">
        <f t="shared" si="150"/>
        <v>53</v>
      </c>
      <c r="Q618" s="315">
        <f t="shared" si="151"/>
        <v>380</v>
      </c>
      <c r="R618" s="315">
        <f t="shared" si="152"/>
        <v>244</v>
      </c>
      <c r="S618" s="315">
        <f t="shared" si="153"/>
        <v>88</v>
      </c>
      <c r="T618" s="315">
        <f t="shared" si="154"/>
        <v>100</v>
      </c>
      <c r="U618" s="315">
        <f t="shared" si="155"/>
        <v>865</v>
      </c>
      <c r="V618" s="591">
        <f t="shared" si="149"/>
        <v>172</v>
      </c>
      <c r="W618" s="598">
        <f t="shared" si="156"/>
        <v>172</v>
      </c>
    </row>
    <row r="619" spans="2:23" ht="15">
      <c r="B619" s="996" t="s">
        <v>1817</v>
      </c>
      <c r="C619" s="1043" t="s">
        <v>1818</v>
      </c>
      <c r="D619" s="1046"/>
      <c r="E619" s="1043" t="s">
        <v>546</v>
      </c>
      <c r="F619" s="1032">
        <f>VALUE(Data.Sard!G617)</f>
        <v>-2.6875683519998673E-2</v>
      </c>
      <c r="G619" s="844">
        <f>Data.Sard!J617</f>
        <v>0</v>
      </c>
      <c r="H619" s="1043">
        <v>3159104</v>
      </c>
      <c r="I619" s="264">
        <f>VALUE(Data.Sard!L617)</f>
        <v>1.4490000000000001</v>
      </c>
      <c r="J619" s="904">
        <f>Data.Sard!N617</f>
        <v>-8.4854774815447849E-3</v>
      </c>
      <c r="K619" s="595">
        <f t="shared" si="144"/>
        <v>468</v>
      </c>
      <c r="L619" s="591">
        <f t="shared" si="145"/>
        <v>397</v>
      </c>
      <c r="M619" s="591">
        <f t="shared" si="146"/>
        <v>561</v>
      </c>
      <c r="N619" s="591">
        <f t="shared" si="147"/>
        <v>62</v>
      </c>
      <c r="O619" s="591">
        <f t="shared" si="148"/>
        <v>440</v>
      </c>
      <c r="P619" s="315">
        <f t="shared" si="150"/>
        <v>359</v>
      </c>
      <c r="Q619" s="315">
        <f t="shared" si="151"/>
        <v>187</v>
      </c>
      <c r="R619" s="315">
        <f t="shared" si="152"/>
        <v>552</v>
      </c>
      <c r="S619" s="315">
        <f t="shared" si="153"/>
        <v>41</v>
      </c>
      <c r="T619" s="315">
        <f t="shared" si="154"/>
        <v>424</v>
      </c>
      <c r="U619" s="315">
        <f t="shared" si="155"/>
        <v>1563</v>
      </c>
      <c r="V619" s="591">
        <f t="shared" si="149"/>
        <v>504</v>
      </c>
      <c r="W619" s="598">
        <f t="shared" si="156"/>
        <v>504</v>
      </c>
    </row>
    <row r="620" spans="2:23" ht="15">
      <c r="B620" s="1043" t="s">
        <v>1819</v>
      </c>
      <c r="C620" s="1043" t="s">
        <v>1820</v>
      </c>
      <c r="D620" s="1046"/>
      <c r="E620" s="1043" t="s">
        <v>1048</v>
      </c>
      <c r="F620" s="1032">
        <f>VALUE(Data.Sard!G618)</f>
        <v>0.13886117529955747</v>
      </c>
      <c r="G620" s="844">
        <f>Data.Sard!J618</f>
        <v>-0.59320867179118064</v>
      </c>
      <c r="H620" s="1043">
        <v>12539692</v>
      </c>
      <c r="I620" s="264">
        <f>VALUE(Data.Sard!L618)</f>
        <v>-0.83499999999999996</v>
      </c>
      <c r="J620" s="904">
        <f>Data.Sard!N618</f>
        <v>7.7494399392042376E-2</v>
      </c>
      <c r="K620" s="595">
        <f t="shared" si="144"/>
        <v>170</v>
      </c>
      <c r="L620" s="591">
        <f t="shared" si="145"/>
        <v>470</v>
      </c>
      <c r="M620" s="591">
        <f t="shared" si="146"/>
        <v>446</v>
      </c>
      <c r="N620" s="591">
        <f t="shared" si="147"/>
        <v>422</v>
      </c>
      <c r="O620" s="591">
        <f t="shared" si="148"/>
        <v>202</v>
      </c>
      <c r="P620" s="315">
        <f t="shared" si="150"/>
        <v>61</v>
      </c>
      <c r="Q620" s="315">
        <f t="shared" si="151"/>
        <v>260</v>
      </c>
      <c r="R620" s="315">
        <f t="shared" si="152"/>
        <v>437</v>
      </c>
      <c r="S620" s="315">
        <f t="shared" si="153"/>
        <v>319</v>
      </c>
      <c r="T620" s="315">
        <f t="shared" si="154"/>
        <v>186</v>
      </c>
      <c r="U620" s="315">
        <f t="shared" si="155"/>
        <v>1263</v>
      </c>
      <c r="V620" s="591">
        <f t="shared" si="149"/>
        <v>342</v>
      </c>
      <c r="W620" s="598">
        <f t="shared" si="156"/>
        <v>342</v>
      </c>
    </row>
    <row r="621" spans="2:23" ht="15">
      <c r="B621" s="996" t="s">
        <v>1821</v>
      </c>
      <c r="C621" s="1043" t="s">
        <v>1822</v>
      </c>
      <c r="D621" s="1046"/>
      <c r="E621" s="1043" t="s">
        <v>546</v>
      </c>
      <c r="F621" s="1032">
        <f>VALUE(Data.Sard!G619)</f>
        <v>-0.43106940585161324</v>
      </c>
      <c r="G621" s="844"/>
      <c r="H621" s="1043">
        <v>8172172</v>
      </c>
      <c r="I621" s="264"/>
      <c r="J621" s="904">
        <f>Data.Sard!N619</f>
        <v>-0.36489597709899529</v>
      </c>
      <c r="K621" s="595">
        <f t="shared" si="144"/>
        <v>569</v>
      </c>
      <c r="L621" s="591">
        <f t="shared" si="145"/>
        <v>397</v>
      </c>
      <c r="M621" s="591">
        <f t="shared" si="146"/>
        <v>486</v>
      </c>
      <c r="N621" s="591">
        <f t="shared" si="147"/>
        <v>285</v>
      </c>
      <c r="O621" s="591">
        <f t="shared" si="148"/>
        <v>553</v>
      </c>
      <c r="P621" s="315">
        <f t="shared" si="150"/>
        <v>460</v>
      </c>
      <c r="Q621" s="315">
        <f t="shared" si="151"/>
        <v>187</v>
      </c>
      <c r="R621" s="315">
        <f t="shared" si="152"/>
        <v>477</v>
      </c>
      <c r="S621" s="315">
        <f t="shared" si="153"/>
        <v>182</v>
      </c>
      <c r="T621" s="315">
        <f t="shared" si="154"/>
        <v>537</v>
      </c>
      <c r="U621" s="315">
        <f t="shared" si="155"/>
        <v>1843</v>
      </c>
      <c r="V621" s="591">
        <f t="shared" si="149"/>
        <v>659</v>
      </c>
      <c r="W621" s="598">
        <f t="shared" si="156"/>
        <v>659</v>
      </c>
    </row>
    <row r="622" spans="2:23" ht="15">
      <c r="B622" s="1043" t="s">
        <v>1823</v>
      </c>
      <c r="C622" s="1043" t="s">
        <v>1824</v>
      </c>
      <c r="D622" s="1046"/>
      <c r="E622" s="1043" t="s">
        <v>1286</v>
      </c>
      <c r="F622" s="1032"/>
      <c r="G622" s="844"/>
      <c r="H622" s="1043">
        <v>29189761</v>
      </c>
      <c r="I622" s="264">
        <f>VALUE(Data.Sard!L620)</f>
        <v>0.192</v>
      </c>
      <c r="J622" s="904"/>
      <c r="K622" s="595">
        <f t="shared" si="144"/>
        <v>442</v>
      </c>
      <c r="L622" s="591">
        <f t="shared" si="145"/>
        <v>397</v>
      </c>
      <c r="M622" s="591">
        <f t="shared" si="146"/>
        <v>346</v>
      </c>
      <c r="N622" s="591">
        <f t="shared" si="147"/>
        <v>239</v>
      </c>
      <c r="O622" s="591">
        <f t="shared" si="148"/>
        <v>419</v>
      </c>
      <c r="P622" s="315">
        <f t="shared" si="150"/>
        <v>333</v>
      </c>
      <c r="Q622" s="315">
        <f t="shared" si="151"/>
        <v>187</v>
      </c>
      <c r="R622" s="315">
        <f t="shared" si="152"/>
        <v>337</v>
      </c>
      <c r="S622" s="315">
        <f t="shared" si="153"/>
        <v>136</v>
      </c>
      <c r="T622" s="315">
        <f t="shared" si="154"/>
        <v>403</v>
      </c>
      <c r="U622" s="315">
        <f t="shared" si="155"/>
        <v>1396</v>
      </c>
      <c r="V622" s="591">
        <f t="shared" si="149"/>
        <v>407</v>
      </c>
      <c r="W622" s="598">
        <f t="shared" si="156"/>
        <v>407</v>
      </c>
    </row>
    <row r="623" spans="2:23" ht="15">
      <c r="B623" s="1043" t="s">
        <v>1825</v>
      </c>
      <c r="C623" s="1043" t="s">
        <v>1826</v>
      </c>
      <c r="D623" s="1051"/>
      <c r="E623" s="1043" t="s">
        <v>1048</v>
      </c>
      <c r="F623" s="1032"/>
      <c r="G623" s="844"/>
      <c r="H623" s="1043">
        <v>5016804</v>
      </c>
      <c r="I623" s="264"/>
      <c r="J623" s="904"/>
      <c r="K623" s="595">
        <f t="shared" si="144"/>
        <v>442</v>
      </c>
      <c r="L623" s="591">
        <f t="shared" si="145"/>
        <v>397</v>
      </c>
      <c r="M623" s="591">
        <f t="shared" si="146"/>
        <v>522</v>
      </c>
      <c r="N623" s="591">
        <f t="shared" si="147"/>
        <v>285</v>
      </c>
      <c r="O623" s="591">
        <f t="shared" si="148"/>
        <v>419</v>
      </c>
      <c r="P623" s="315">
        <f t="shared" si="150"/>
        <v>333</v>
      </c>
      <c r="Q623" s="315">
        <f t="shared" si="151"/>
        <v>187</v>
      </c>
      <c r="R623" s="315">
        <f t="shared" si="152"/>
        <v>513</v>
      </c>
      <c r="S623" s="315">
        <f t="shared" si="153"/>
        <v>182</v>
      </c>
      <c r="T623" s="315">
        <f t="shared" si="154"/>
        <v>403</v>
      </c>
      <c r="U623" s="315">
        <f t="shared" si="155"/>
        <v>1618</v>
      </c>
      <c r="V623" s="591">
        <f t="shared" si="149"/>
        <v>542</v>
      </c>
      <c r="W623" s="598">
        <f t="shared" si="156"/>
        <v>542</v>
      </c>
    </row>
    <row r="624" spans="2:23" ht="15">
      <c r="B624" s="1043" t="s">
        <v>1827</v>
      </c>
      <c r="C624" s="1043" t="s">
        <v>1828</v>
      </c>
      <c r="D624" s="1046"/>
      <c r="E624" s="1043" t="s">
        <v>1048</v>
      </c>
      <c r="F624" s="1032"/>
      <c r="G624" s="844">
        <f>Data.Sard!J622</f>
        <v>7.1032243303833828E-2</v>
      </c>
      <c r="H624" s="1043">
        <v>3723538</v>
      </c>
      <c r="I624" s="264"/>
      <c r="J624" s="904"/>
      <c r="K624" s="595">
        <f t="shared" si="144"/>
        <v>442</v>
      </c>
      <c r="L624" s="591">
        <f t="shared" si="145"/>
        <v>382</v>
      </c>
      <c r="M624" s="591">
        <f t="shared" si="146"/>
        <v>550</v>
      </c>
      <c r="N624" s="591">
        <f t="shared" si="147"/>
        <v>285</v>
      </c>
      <c r="O624" s="591">
        <f t="shared" si="148"/>
        <v>419</v>
      </c>
      <c r="P624" s="315">
        <f t="shared" si="150"/>
        <v>333</v>
      </c>
      <c r="Q624" s="315">
        <f t="shared" si="151"/>
        <v>172</v>
      </c>
      <c r="R624" s="315">
        <f t="shared" si="152"/>
        <v>541</v>
      </c>
      <c r="S624" s="315">
        <f t="shared" si="153"/>
        <v>182</v>
      </c>
      <c r="T624" s="315">
        <f t="shared" si="154"/>
        <v>403</v>
      </c>
      <c r="U624" s="315">
        <f t="shared" si="155"/>
        <v>1631</v>
      </c>
      <c r="V624" s="591">
        <f t="shared" si="149"/>
        <v>554</v>
      </c>
      <c r="W624" s="598">
        <f t="shared" si="156"/>
        <v>554</v>
      </c>
    </row>
    <row r="625" spans="2:23" ht="15">
      <c r="B625" s="996" t="s">
        <v>1829</v>
      </c>
      <c r="C625" s="1043" t="s">
        <v>1830</v>
      </c>
      <c r="D625" s="1046"/>
      <c r="E625" s="1043" t="s">
        <v>736</v>
      </c>
      <c r="F625" s="1032">
        <f>VALUE(Data.Sard!G623)</f>
        <v>0.2440883359714546</v>
      </c>
      <c r="G625" s="844"/>
      <c r="H625" s="1043">
        <v>94134916</v>
      </c>
      <c r="I625" s="264"/>
      <c r="J625" s="904">
        <f>Data.Sard!N623</f>
        <v>0.21060066614065592</v>
      </c>
      <c r="K625" s="595">
        <f t="shared" si="144"/>
        <v>81</v>
      </c>
      <c r="L625" s="591">
        <f t="shared" si="145"/>
        <v>397</v>
      </c>
      <c r="M625" s="591">
        <f t="shared" si="146"/>
        <v>231</v>
      </c>
      <c r="N625" s="591">
        <f t="shared" si="147"/>
        <v>285</v>
      </c>
      <c r="O625" s="591">
        <f t="shared" si="148"/>
        <v>43</v>
      </c>
      <c r="P625" s="315">
        <f t="shared" si="150"/>
        <v>28</v>
      </c>
      <c r="Q625" s="315">
        <f t="shared" si="151"/>
        <v>187</v>
      </c>
      <c r="R625" s="315">
        <f t="shared" si="152"/>
        <v>222</v>
      </c>
      <c r="S625" s="315">
        <f t="shared" si="153"/>
        <v>182</v>
      </c>
      <c r="T625" s="315">
        <f t="shared" si="154"/>
        <v>27</v>
      </c>
      <c r="U625" s="315">
        <f t="shared" si="155"/>
        <v>646</v>
      </c>
      <c r="V625" s="591">
        <f t="shared" si="149"/>
        <v>94</v>
      </c>
      <c r="W625" s="598">
        <f t="shared" si="156"/>
        <v>94</v>
      </c>
    </row>
    <row r="626" spans="2:23" ht="15">
      <c r="B626" s="996" t="s">
        <v>1831</v>
      </c>
      <c r="C626" s="1043" t="s">
        <v>1832</v>
      </c>
      <c r="D626" s="1046"/>
      <c r="E626" s="1043" t="s">
        <v>603</v>
      </c>
      <c r="F626" s="1032"/>
      <c r="G626" s="844">
        <f>Data.Sard!J624</f>
        <v>0.20962879806271531</v>
      </c>
      <c r="H626" s="1043">
        <v>1583195</v>
      </c>
      <c r="I626" s="264">
        <f>VALUE(Data.Sard!L624)</f>
        <v>-2.3E-2</v>
      </c>
      <c r="J626" s="904"/>
      <c r="K626" s="595">
        <f t="shared" si="144"/>
        <v>442</v>
      </c>
      <c r="L626" s="591">
        <f t="shared" si="145"/>
        <v>361</v>
      </c>
      <c r="M626" s="591">
        <f t="shared" si="146"/>
        <v>601</v>
      </c>
      <c r="N626" s="591">
        <f t="shared" si="147"/>
        <v>293</v>
      </c>
      <c r="O626" s="591">
        <f t="shared" si="148"/>
        <v>419</v>
      </c>
      <c r="P626" s="315">
        <f t="shared" si="150"/>
        <v>333</v>
      </c>
      <c r="Q626" s="315">
        <f t="shared" si="151"/>
        <v>151</v>
      </c>
      <c r="R626" s="315">
        <f t="shared" si="152"/>
        <v>592</v>
      </c>
      <c r="S626" s="315">
        <f t="shared" si="153"/>
        <v>190</v>
      </c>
      <c r="T626" s="315">
        <f t="shared" si="154"/>
        <v>403</v>
      </c>
      <c r="U626" s="315">
        <f t="shared" si="155"/>
        <v>1669</v>
      </c>
      <c r="V626" s="591">
        <f t="shared" si="149"/>
        <v>570</v>
      </c>
      <c r="W626" s="598">
        <f t="shared" si="156"/>
        <v>570</v>
      </c>
    </row>
    <row r="627" spans="2:23" ht="15">
      <c r="B627" s="996" t="s">
        <v>1833</v>
      </c>
      <c r="C627" s="1043" t="s">
        <v>1834</v>
      </c>
      <c r="D627" s="1046"/>
      <c r="E627" s="1043" t="s">
        <v>603</v>
      </c>
      <c r="F627" s="1032">
        <f>VALUE(Data.Sard!G625)</f>
        <v>8.2560168537804762E-2</v>
      </c>
      <c r="G627" s="844">
        <f>Data.Sard!J625</f>
        <v>8.9911278869467079E-2</v>
      </c>
      <c r="H627" s="1043">
        <v>54019687</v>
      </c>
      <c r="I627" s="264"/>
      <c r="J627" s="904">
        <f>Data.Sard!N625</f>
        <v>5.2648828817809371E-2</v>
      </c>
      <c r="K627" s="595">
        <f t="shared" si="144"/>
        <v>264</v>
      </c>
      <c r="L627" s="591">
        <f t="shared" si="145"/>
        <v>378</v>
      </c>
      <c r="M627" s="591">
        <f t="shared" si="146"/>
        <v>285</v>
      </c>
      <c r="N627" s="591">
        <f t="shared" si="147"/>
        <v>285</v>
      </c>
      <c r="O627" s="591">
        <f t="shared" si="148"/>
        <v>270</v>
      </c>
      <c r="P627" s="315">
        <f t="shared" si="150"/>
        <v>155</v>
      </c>
      <c r="Q627" s="315">
        <f t="shared" si="151"/>
        <v>168</v>
      </c>
      <c r="R627" s="315">
        <f t="shared" si="152"/>
        <v>276</v>
      </c>
      <c r="S627" s="315">
        <f t="shared" si="153"/>
        <v>182</v>
      </c>
      <c r="T627" s="315">
        <f t="shared" si="154"/>
        <v>254</v>
      </c>
      <c r="U627" s="315">
        <f t="shared" si="155"/>
        <v>1035</v>
      </c>
      <c r="V627" s="591">
        <f t="shared" si="149"/>
        <v>255</v>
      </c>
      <c r="W627" s="598">
        <f t="shared" si="156"/>
        <v>255</v>
      </c>
    </row>
    <row r="628" spans="2:23" ht="15">
      <c r="B628" s="996" t="s">
        <v>1835</v>
      </c>
      <c r="C628" s="1043" t="s">
        <v>1836</v>
      </c>
      <c r="D628" s="1046"/>
      <c r="E628" s="1043" t="s">
        <v>546</v>
      </c>
      <c r="F628" s="1032">
        <f>VALUE(Data.Sard!G626)</f>
        <v>0.29151818798153073</v>
      </c>
      <c r="G628" s="844">
        <f>Data.Sard!J626</f>
        <v>2.1970812562722015</v>
      </c>
      <c r="H628" s="1043">
        <v>70154573</v>
      </c>
      <c r="I628" s="264">
        <f>VALUE(Data.Sard!L626)</f>
        <v>126.923</v>
      </c>
      <c r="J628" s="904">
        <f>Data.Sard!N626</f>
        <v>8.8806144397130596E-2</v>
      </c>
      <c r="K628" s="595">
        <f t="shared" si="144"/>
        <v>60</v>
      </c>
      <c r="L628" s="591">
        <f t="shared" si="145"/>
        <v>229</v>
      </c>
      <c r="M628" s="591">
        <f t="shared" si="146"/>
        <v>260</v>
      </c>
      <c r="N628" s="591">
        <f t="shared" si="147"/>
        <v>2</v>
      </c>
      <c r="O628" s="591">
        <f t="shared" si="148"/>
        <v>182</v>
      </c>
      <c r="P628" s="315">
        <f t="shared" si="150"/>
        <v>49</v>
      </c>
      <c r="Q628" s="315">
        <f t="shared" si="151"/>
        <v>19</v>
      </c>
      <c r="R628" s="315">
        <f t="shared" si="152"/>
        <v>251</v>
      </c>
      <c r="S628" s="315">
        <f t="shared" si="153"/>
        <v>101</v>
      </c>
      <c r="T628" s="315">
        <f t="shared" si="154"/>
        <v>166</v>
      </c>
      <c r="U628" s="315">
        <f t="shared" si="155"/>
        <v>586</v>
      </c>
      <c r="V628" s="591">
        <f t="shared" si="149"/>
        <v>61</v>
      </c>
      <c r="W628" s="598">
        <f t="shared" si="156"/>
        <v>61</v>
      </c>
    </row>
    <row r="629" spans="2:23" ht="15">
      <c r="B629" s="1043" t="s">
        <v>1837</v>
      </c>
      <c r="C629" s="1043" t="s">
        <v>1838</v>
      </c>
      <c r="D629" s="1046"/>
      <c r="E629" s="1043" t="s">
        <v>678</v>
      </c>
      <c r="F629" s="1032">
        <f>VALUE(Data.Sard!G627)</f>
        <v>0.46047708181743463</v>
      </c>
      <c r="G629" s="844">
        <f>Data.Sard!J627</f>
        <v>-3.9018313557535431</v>
      </c>
      <c r="H629" s="1043">
        <v>367368892</v>
      </c>
      <c r="I629" s="264">
        <f>VALUE(Data.Sard!L627)</f>
        <v>2.8000000000000001E-2</v>
      </c>
      <c r="J629" s="904">
        <f>Data.Sard!N627</f>
        <v>0.22744399630710743</v>
      </c>
      <c r="K629" s="595">
        <f t="shared" si="144"/>
        <v>31</v>
      </c>
      <c r="L629" s="591">
        <f t="shared" si="145"/>
        <v>532</v>
      </c>
      <c r="M629" s="591">
        <f t="shared" si="146"/>
        <v>120</v>
      </c>
      <c r="N629" s="591">
        <f t="shared" si="147"/>
        <v>281</v>
      </c>
      <c r="O629" s="591">
        <f t="shared" si="148"/>
        <v>34</v>
      </c>
      <c r="P629" s="315">
        <f t="shared" si="150"/>
        <v>78</v>
      </c>
      <c r="Q629" s="315">
        <f t="shared" si="151"/>
        <v>322</v>
      </c>
      <c r="R629" s="315">
        <f t="shared" si="152"/>
        <v>111</v>
      </c>
      <c r="S629" s="315">
        <f t="shared" si="153"/>
        <v>178</v>
      </c>
      <c r="T629" s="315">
        <f t="shared" si="154"/>
        <v>18</v>
      </c>
      <c r="U629" s="315">
        <f t="shared" si="155"/>
        <v>707</v>
      </c>
      <c r="V629" s="591">
        <f t="shared" si="149"/>
        <v>116</v>
      </c>
      <c r="W629" s="598">
        <f t="shared" si="156"/>
        <v>116</v>
      </c>
    </row>
    <row r="630" spans="2:23" ht="15">
      <c r="B630" s="996" t="s">
        <v>1839</v>
      </c>
      <c r="C630" s="1043" t="s">
        <v>1840</v>
      </c>
      <c r="D630" s="1046"/>
      <c r="E630" s="1043" t="s">
        <v>736</v>
      </c>
      <c r="F630" s="1032">
        <f>VALUE(Data.Sard!G628)</f>
        <v>-0.14511221248925568</v>
      </c>
      <c r="G630" s="844">
        <f>Data.Sard!J628</f>
        <v>2.3454086824203033</v>
      </c>
      <c r="H630" s="1043">
        <v>62799158</v>
      </c>
      <c r="I630" s="264">
        <f>VALUE(Data.Sard!L628)</f>
        <v>11.2</v>
      </c>
      <c r="J630" s="904">
        <f>Data.Sard!N628</f>
        <v>-0.19269886457431673</v>
      </c>
      <c r="K630" s="595">
        <f t="shared" si="144"/>
        <v>533</v>
      </c>
      <c r="L630" s="591">
        <f t="shared" si="145"/>
        <v>220</v>
      </c>
      <c r="M630" s="591">
        <f t="shared" si="146"/>
        <v>271</v>
      </c>
      <c r="N630" s="591">
        <f t="shared" si="147"/>
        <v>14</v>
      </c>
      <c r="O630" s="591">
        <f t="shared" si="148"/>
        <v>532</v>
      </c>
      <c r="P630" s="315">
        <f t="shared" si="150"/>
        <v>424</v>
      </c>
      <c r="Q630" s="315">
        <f t="shared" si="151"/>
        <v>10</v>
      </c>
      <c r="R630" s="315">
        <f t="shared" si="152"/>
        <v>262</v>
      </c>
      <c r="S630" s="315">
        <f t="shared" si="153"/>
        <v>89</v>
      </c>
      <c r="T630" s="315">
        <f t="shared" si="154"/>
        <v>516</v>
      </c>
      <c r="U630" s="315">
        <f t="shared" si="155"/>
        <v>1301</v>
      </c>
      <c r="V630" s="591">
        <f t="shared" si="149"/>
        <v>366</v>
      </c>
      <c r="W630" s="598">
        <f t="shared" si="156"/>
        <v>366</v>
      </c>
    </row>
    <row r="631" spans="2:23" ht="15">
      <c r="B631" s="996" t="s">
        <v>1841</v>
      </c>
      <c r="C631" s="1043" t="s">
        <v>1842</v>
      </c>
      <c r="D631" s="1046"/>
      <c r="E631" s="1043" t="s">
        <v>603</v>
      </c>
      <c r="F631" s="1032">
        <f>VALUE(Data.Sard!G629)</f>
        <v>2.042604802001672E-2</v>
      </c>
      <c r="G631" s="844">
        <f>Data.Sard!J629</f>
        <v>-123.93060976317348</v>
      </c>
      <c r="H631" s="1043">
        <v>27955801</v>
      </c>
      <c r="I631" s="264">
        <f>VALUE(Data.Sard!L629)</f>
        <v>0.35499999999999998</v>
      </c>
      <c r="J631" s="904">
        <f>Data.Sard!N629</f>
        <v>2.1728317901897831E-2</v>
      </c>
      <c r="K631" s="595">
        <f t="shared" si="144"/>
        <v>397</v>
      </c>
      <c r="L631" s="591">
        <f t="shared" si="145"/>
        <v>600</v>
      </c>
      <c r="M631" s="591">
        <f t="shared" si="146"/>
        <v>349</v>
      </c>
      <c r="N631" s="591">
        <f t="shared" si="147"/>
        <v>198</v>
      </c>
      <c r="O631" s="591">
        <f t="shared" si="148"/>
        <v>362</v>
      </c>
      <c r="P631" s="315">
        <f t="shared" si="150"/>
        <v>288</v>
      </c>
      <c r="Q631" s="315">
        <f t="shared" si="151"/>
        <v>390</v>
      </c>
      <c r="R631" s="315">
        <f t="shared" si="152"/>
        <v>340</v>
      </c>
      <c r="S631" s="315">
        <f t="shared" si="153"/>
        <v>95</v>
      </c>
      <c r="T631" s="315">
        <f t="shared" si="154"/>
        <v>346</v>
      </c>
      <c r="U631" s="315">
        <f t="shared" si="155"/>
        <v>1459</v>
      </c>
      <c r="V631" s="591">
        <f t="shared" si="149"/>
        <v>441</v>
      </c>
      <c r="W631" s="598">
        <f t="shared" si="156"/>
        <v>441</v>
      </c>
    </row>
    <row r="632" spans="2:23" ht="15">
      <c r="B632" s="1043" t="s">
        <v>1843</v>
      </c>
      <c r="C632" s="1043" t="s">
        <v>1844</v>
      </c>
      <c r="D632" s="1046"/>
      <c r="E632" s="1043" t="s">
        <v>556</v>
      </c>
      <c r="F632" s="1032">
        <f>VALUE(Data.Sard!G630)</f>
        <v>-2.3521395413078749E-2</v>
      </c>
      <c r="G632" s="844">
        <f>Data.Sard!J630</f>
        <v>0.19644052300339596</v>
      </c>
      <c r="H632" s="1043">
        <v>91207333</v>
      </c>
      <c r="I632" s="264">
        <f>VALUE(Data.Sard!L630)</f>
        <v>0.33300000000000002</v>
      </c>
      <c r="J632" s="904">
        <f>Data.Sard!N630</f>
        <v>-6.1212377756166454E-3</v>
      </c>
      <c r="K632" s="595">
        <f t="shared" si="144"/>
        <v>464</v>
      </c>
      <c r="L632" s="591">
        <f t="shared" si="145"/>
        <v>364</v>
      </c>
      <c r="M632" s="591">
        <f t="shared" si="146"/>
        <v>238</v>
      </c>
      <c r="N632" s="591">
        <f t="shared" si="147"/>
        <v>204</v>
      </c>
      <c r="O632" s="591">
        <f t="shared" si="148"/>
        <v>435</v>
      </c>
      <c r="P632" s="315">
        <f t="shared" si="150"/>
        <v>355</v>
      </c>
      <c r="Q632" s="315">
        <f t="shared" si="151"/>
        <v>154</v>
      </c>
      <c r="R632" s="315">
        <f t="shared" si="152"/>
        <v>229</v>
      </c>
      <c r="S632" s="315">
        <f t="shared" si="153"/>
        <v>101</v>
      </c>
      <c r="T632" s="315">
        <f t="shared" si="154"/>
        <v>419</v>
      </c>
      <c r="U632" s="315">
        <f t="shared" si="155"/>
        <v>1258</v>
      </c>
      <c r="V632" s="591">
        <f t="shared" si="149"/>
        <v>337</v>
      </c>
      <c r="W632" s="598">
        <f t="shared" si="156"/>
        <v>337</v>
      </c>
    </row>
    <row r="633" spans="2:23" ht="15">
      <c r="B633" s="996" t="s">
        <v>1845</v>
      </c>
      <c r="C633" s="1043" t="s">
        <v>1846</v>
      </c>
      <c r="D633" s="1046"/>
      <c r="E633" s="1043" t="s">
        <v>556</v>
      </c>
      <c r="F633" s="1032">
        <f>VALUE(Data.Sard!G631)</f>
        <v>0.11567384215332553</v>
      </c>
      <c r="G633" s="844">
        <f>Data.Sard!J631</f>
        <v>-25.477113156548835</v>
      </c>
      <c r="H633" s="1043">
        <v>49698130</v>
      </c>
      <c r="I633" s="264">
        <f>VALUE(Data.Sard!L631)</f>
        <v>-0.71</v>
      </c>
      <c r="J633" s="904">
        <f>Data.Sard!N631</f>
        <v>0.15576944031396034</v>
      </c>
      <c r="K633" s="595">
        <f t="shared" si="144"/>
        <v>199</v>
      </c>
      <c r="L633" s="591">
        <f t="shared" si="145"/>
        <v>584</v>
      </c>
      <c r="M633" s="591">
        <f t="shared" si="146"/>
        <v>297</v>
      </c>
      <c r="N633" s="591">
        <f t="shared" si="147"/>
        <v>412</v>
      </c>
      <c r="O633" s="591">
        <f t="shared" si="148"/>
        <v>90</v>
      </c>
      <c r="P633" s="315">
        <f t="shared" si="150"/>
        <v>90</v>
      </c>
      <c r="Q633" s="315">
        <f t="shared" si="151"/>
        <v>374</v>
      </c>
      <c r="R633" s="315">
        <f t="shared" si="152"/>
        <v>288</v>
      </c>
      <c r="S633" s="315">
        <f t="shared" si="153"/>
        <v>309</v>
      </c>
      <c r="T633" s="315">
        <f t="shared" si="154"/>
        <v>74</v>
      </c>
      <c r="U633" s="315">
        <f t="shared" si="155"/>
        <v>1135</v>
      </c>
      <c r="V633" s="591">
        <f t="shared" si="149"/>
        <v>286</v>
      </c>
      <c r="W633" s="598">
        <f t="shared" si="156"/>
        <v>286</v>
      </c>
    </row>
    <row r="634" spans="2:23" ht="15">
      <c r="B634" s="1043" t="s">
        <v>1847</v>
      </c>
      <c r="C634" s="1043" t="s">
        <v>1848</v>
      </c>
      <c r="D634" s="1046"/>
      <c r="E634" s="1043" t="s">
        <v>584</v>
      </c>
      <c r="F634" s="1032">
        <f>VALUE(Data.Sard!G632)</f>
        <v>-8.06894058263838E-2</v>
      </c>
      <c r="G634" s="844">
        <f>Data.Sard!J632</f>
        <v>2.4553620927806961</v>
      </c>
      <c r="H634" s="1043">
        <v>18985707</v>
      </c>
      <c r="I634" s="264">
        <f>VALUE(Data.Sard!L632)</f>
        <v>0.44600000000000001</v>
      </c>
      <c r="J634" s="904">
        <f>Data.Sard!N632</f>
        <v>-2.1094882248409819E-2</v>
      </c>
      <c r="K634" s="595">
        <f t="shared" si="144"/>
        <v>512</v>
      </c>
      <c r="L634" s="591">
        <f t="shared" si="145"/>
        <v>209</v>
      </c>
      <c r="M634" s="591">
        <f t="shared" si="146"/>
        <v>401</v>
      </c>
      <c r="N634" s="591">
        <f t="shared" si="147"/>
        <v>180</v>
      </c>
      <c r="O634" s="591">
        <f t="shared" si="148"/>
        <v>453</v>
      </c>
      <c r="P634" s="315">
        <f t="shared" si="150"/>
        <v>403</v>
      </c>
      <c r="Q634" s="315">
        <f t="shared" si="151"/>
        <v>1</v>
      </c>
      <c r="R634" s="315">
        <f t="shared" si="152"/>
        <v>392</v>
      </c>
      <c r="S634" s="315">
        <f t="shared" si="153"/>
        <v>77</v>
      </c>
      <c r="T634" s="315">
        <f t="shared" si="154"/>
        <v>437</v>
      </c>
      <c r="U634" s="315">
        <f t="shared" si="155"/>
        <v>1310</v>
      </c>
      <c r="V634" s="591">
        <f t="shared" si="149"/>
        <v>370</v>
      </c>
      <c r="W634" s="598">
        <f t="shared" si="156"/>
        <v>370</v>
      </c>
    </row>
    <row r="635" spans="2:23" ht="15">
      <c r="B635" s="1043" t="s">
        <v>1849</v>
      </c>
      <c r="C635" s="1043" t="s">
        <v>1850</v>
      </c>
      <c r="D635" s="1046"/>
      <c r="E635" s="1043" t="s">
        <v>570</v>
      </c>
      <c r="F635" s="1032">
        <f>VALUE(Data.Sard!G633)</f>
        <v>0.62109686942914066</v>
      </c>
      <c r="G635" s="844">
        <f>Data.Sard!J633</f>
        <v>-4.2112393231568772</v>
      </c>
      <c r="H635" s="1043">
        <v>3358402635</v>
      </c>
      <c r="I635" s="264">
        <f>VALUE(Data.Sard!L633)</f>
        <v>-1.2190000000000001</v>
      </c>
      <c r="J635" s="904">
        <f>Data.Sard!N633</f>
        <v>0.12244388434468328</v>
      </c>
      <c r="K635" s="595">
        <f t="shared" si="144"/>
        <v>22</v>
      </c>
      <c r="L635" s="591">
        <f t="shared" si="145"/>
        <v>533</v>
      </c>
      <c r="M635" s="591">
        <f t="shared" si="146"/>
        <v>31</v>
      </c>
      <c r="N635" s="591">
        <f t="shared" si="147"/>
        <v>452</v>
      </c>
      <c r="O635" s="591">
        <f t="shared" si="148"/>
        <v>119</v>
      </c>
      <c r="P635" s="315">
        <f t="shared" si="150"/>
        <v>87</v>
      </c>
      <c r="Q635" s="315">
        <f t="shared" si="151"/>
        <v>323</v>
      </c>
      <c r="R635" s="315">
        <f t="shared" si="152"/>
        <v>22</v>
      </c>
      <c r="S635" s="315">
        <f t="shared" si="153"/>
        <v>349</v>
      </c>
      <c r="T635" s="315">
        <f t="shared" si="154"/>
        <v>103</v>
      </c>
      <c r="U635" s="315">
        <f t="shared" si="155"/>
        <v>884</v>
      </c>
      <c r="V635" s="591">
        <f t="shared" si="149"/>
        <v>179</v>
      </c>
      <c r="W635" s="598">
        <f t="shared" si="156"/>
        <v>179</v>
      </c>
    </row>
    <row r="636" spans="2:23" ht="15">
      <c r="B636" s="1043" t="s">
        <v>1851</v>
      </c>
      <c r="C636" s="1043" t="s">
        <v>1852</v>
      </c>
      <c r="D636" s="1046"/>
      <c r="E636" s="1043" t="s">
        <v>584</v>
      </c>
      <c r="F636" s="1032">
        <f>VALUE(Data.Sard!G634)</f>
        <v>-0.97096137697501683</v>
      </c>
      <c r="G636" s="844">
        <f>Data.Sard!J634</f>
        <v>3.6669305936182899</v>
      </c>
      <c r="H636" s="1043">
        <v>18752215</v>
      </c>
      <c r="I636" s="264">
        <f>VALUE(Data.Sard!L634)</f>
        <v>0.32500000000000001</v>
      </c>
      <c r="J636" s="904">
        <f>Data.Sard!N634</f>
        <v>-0.1218661530051437</v>
      </c>
      <c r="K636" s="595">
        <f t="shared" si="144"/>
        <v>594</v>
      </c>
      <c r="L636" s="591">
        <f t="shared" si="145"/>
        <v>158</v>
      </c>
      <c r="M636" s="591">
        <f t="shared" si="146"/>
        <v>405</v>
      </c>
      <c r="N636" s="591">
        <f t="shared" si="147"/>
        <v>208</v>
      </c>
      <c r="O636" s="591">
        <f t="shared" si="148"/>
        <v>515</v>
      </c>
      <c r="P636" s="315">
        <f t="shared" si="150"/>
        <v>485</v>
      </c>
      <c r="Q636" s="315">
        <f t="shared" si="151"/>
        <v>52</v>
      </c>
      <c r="R636" s="315">
        <f t="shared" si="152"/>
        <v>396</v>
      </c>
      <c r="S636" s="315">
        <f t="shared" si="153"/>
        <v>105</v>
      </c>
      <c r="T636" s="315">
        <f t="shared" si="154"/>
        <v>499</v>
      </c>
      <c r="U636" s="315">
        <f t="shared" si="155"/>
        <v>1537</v>
      </c>
      <c r="V636" s="591">
        <f t="shared" si="149"/>
        <v>483</v>
      </c>
      <c r="W636" s="598">
        <f t="shared" si="156"/>
        <v>483</v>
      </c>
    </row>
    <row r="637" spans="2:23" ht="15">
      <c r="B637" s="996" t="s">
        <v>1853</v>
      </c>
      <c r="C637" s="1043" t="s">
        <v>1854</v>
      </c>
      <c r="D637" s="1046"/>
      <c r="E637" s="1043" t="s">
        <v>736</v>
      </c>
      <c r="F637" s="1032">
        <f>VALUE(Data.Sard!G635)</f>
        <v>7.8276909499878825E-2</v>
      </c>
      <c r="G637" s="844">
        <f>Data.Sard!J635</f>
        <v>-4.7262051008070234</v>
      </c>
      <c r="H637" s="1043">
        <v>446554770</v>
      </c>
      <c r="I637" s="264">
        <f>VALUE(Data.Sard!L635)</f>
        <v>-33.68</v>
      </c>
      <c r="J637" s="904">
        <f>Data.Sard!N635</f>
        <v>0.14457905969854787</v>
      </c>
      <c r="K637" s="595">
        <f t="shared" si="144"/>
        <v>270</v>
      </c>
      <c r="L637" s="591">
        <f t="shared" si="145"/>
        <v>537</v>
      </c>
      <c r="M637" s="591">
        <f t="shared" si="146"/>
        <v>106</v>
      </c>
      <c r="N637" s="591">
        <f t="shared" si="147"/>
        <v>538</v>
      </c>
      <c r="O637" s="591">
        <f t="shared" si="148"/>
        <v>98</v>
      </c>
      <c r="P637" s="315">
        <f t="shared" si="150"/>
        <v>161</v>
      </c>
      <c r="Q637" s="315">
        <f t="shared" si="151"/>
        <v>327</v>
      </c>
      <c r="R637" s="315">
        <f t="shared" si="152"/>
        <v>97</v>
      </c>
      <c r="S637" s="315">
        <f t="shared" si="153"/>
        <v>435</v>
      </c>
      <c r="T637" s="315">
        <f t="shared" si="154"/>
        <v>82</v>
      </c>
      <c r="U637" s="315">
        <f t="shared" si="155"/>
        <v>1102</v>
      </c>
      <c r="V637" s="591">
        <f t="shared" si="149"/>
        <v>275</v>
      </c>
      <c r="W637" s="598">
        <f t="shared" si="156"/>
        <v>275</v>
      </c>
    </row>
    <row r="638" spans="2:23" ht="15">
      <c r="B638" s="1043" t="s">
        <v>1855</v>
      </c>
      <c r="C638" s="1043" t="s">
        <v>1856</v>
      </c>
      <c r="D638" s="1046"/>
      <c r="E638" s="1043" t="s">
        <v>703</v>
      </c>
      <c r="F638" s="1032">
        <f>VALUE(Data.Sard!G636)</f>
        <v>-4.8579479805140789E-2</v>
      </c>
      <c r="G638" s="844">
        <f>Data.Sard!J636</f>
        <v>2.1932335827492557</v>
      </c>
      <c r="H638" s="1043">
        <v>20240296</v>
      </c>
      <c r="I638" s="264">
        <f>VALUE(Data.Sard!L636)</f>
        <v>0.61</v>
      </c>
      <c r="J638" s="904">
        <f>Data.Sard!N636</f>
        <v>-6.1274990406855766E-2</v>
      </c>
      <c r="K638" s="595">
        <f t="shared" si="144"/>
        <v>487</v>
      </c>
      <c r="L638" s="591">
        <f t="shared" si="145"/>
        <v>230</v>
      </c>
      <c r="M638" s="591">
        <f t="shared" si="146"/>
        <v>392</v>
      </c>
      <c r="N638" s="591">
        <f t="shared" si="147"/>
        <v>156</v>
      </c>
      <c r="O638" s="591">
        <f t="shared" si="148"/>
        <v>480</v>
      </c>
      <c r="P638" s="315">
        <f t="shared" si="150"/>
        <v>378</v>
      </c>
      <c r="Q638" s="315">
        <f t="shared" si="151"/>
        <v>20</v>
      </c>
      <c r="R638" s="315">
        <f t="shared" si="152"/>
        <v>383</v>
      </c>
      <c r="S638" s="315">
        <f t="shared" si="153"/>
        <v>53</v>
      </c>
      <c r="T638" s="315">
        <f t="shared" si="154"/>
        <v>464</v>
      </c>
      <c r="U638" s="315">
        <f t="shared" si="155"/>
        <v>1298</v>
      </c>
      <c r="V638" s="591">
        <f t="shared" si="149"/>
        <v>364</v>
      </c>
      <c r="W638" s="598">
        <f t="shared" si="156"/>
        <v>364</v>
      </c>
    </row>
    <row r="639" spans="2:23" ht="15">
      <c r="B639" s="996" t="s">
        <v>1857</v>
      </c>
      <c r="C639" s="1043" t="s">
        <v>1858</v>
      </c>
      <c r="D639" s="1046"/>
      <c r="E639" s="1043" t="s">
        <v>736</v>
      </c>
      <c r="F639" s="1032">
        <f>VALUE(Data.Sard!G637)</f>
        <v>9.9611160977418178E-2</v>
      </c>
      <c r="G639" s="844">
        <f>Data.Sard!J637</f>
        <v>3.8637554321346661</v>
      </c>
      <c r="H639" s="1043">
        <v>408102120</v>
      </c>
      <c r="I639" s="264">
        <f>VALUE(Data.Sard!L637)</f>
        <v>-0.99399999999999999</v>
      </c>
      <c r="J639" s="904">
        <f>Data.Sard!N637</f>
        <v>0.13295483639766059</v>
      </c>
      <c r="K639" s="595">
        <f t="shared" si="144"/>
        <v>234</v>
      </c>
      <c r="L639" s="591">
        <f t="shared" si="145"/>
        <v>150</v>
      </c>
      <c r="M639" s="591">
        <f t="shared" si="146"/>
        <v>113</v>
      </c>
      <c r="N639" s="591">
        <f t="shared" si="147"/>
        <v>435</v>
      </c>
      <c r="O639" s="591">
        <f t="shared" si="148"/>
        <v>106</v>
      </c>
      <c r="P639" s="315">
        <f t="shared" si="150"/>
        <v>125</v>
      </c>
      <c r="Q639" s="315">
        <f t="shared" si="151"/>
        <v>60</v>
      </c>
      <c r="R639" s="315">
        <f t="shared" si="152"/>
        <v>104</v>
      </c>
      <c r="S639" s="315">
        <f t="shared" si="153"/>
        <v>332</v>
      </c>
      <c r="T639" s="315">
        <f t="shared" si="154"/>
        <v>90</v>
      </c>
      <c r="U639" s="315">
        <f t="shared" si="155"/>
        <v>711</v>
      </c>
      <c r="V639" s="591">
        <f t="shared" si="149"/>
        <v>117</v>
      </c>
      <c r="W639" s="598">
        <f t="shared" si="156"/>
        <v>117</v>
      </c>
    </row>
    <row r="640" spans="2:23" ht="15">
      <c r="B640" s="1043" t="s">
        <v>1859</v>
      </c>
      <c r="C640" s="1043" t="s">
        <v>1860</v>
      </c>
      <c r="D640" s="1046"/>
      <c r="E640" s="1043" t="s">
        <v>556</v>
      </c>
      <c r="F640" s="1032">
        <f>VALUE(Data.Sard!G638)</f>
        <v>5.8638783910079782E-2</v>
      </c>
      <c r="G640" s="844">
        <f>Data.Sard!J638</f>
        <v>4.5859322343669344</v>
      </c>
      <c r="H640" s="1043">
        <v>9425120</v>
      </c>
      <c r="I640" s="264">
        <f>VALUE(Data.Sard!L638)</f>
        <v>0.76300000000000001</v>
      </c>
      <c r="J640" s="904">
        <f>Data.Sard!N638</f>
        <v>2.5084674700848091E-3</v>
      </c>
      <c r="K640" s="595">
        <f t="shared" si="144"/>
        <v>307</v>
      </c>
      <c r="L640" s="591">
        <f t="shared" si="145"/>
        <v>131</v>
      </c>
      <c r="M640" s="591">
        <f t="shared" si="146"/>
        <v>474</v>
      </c>
      <c r="N640" s="591">
        <f t="shared" si="147"/>
        <v>133</v>
      </c>
      <c r="O640" s="591">
        <f t="shared" si="148"/>
        <v>416</v>
      </c>
      <c r="P640" s="315">
        <f t="shared" si="150"/>
        <v>198</v>
      </c>
      <c r="Q640" s="315">
        <f t="shared" si="151"/>
        <v>79</v>
      </c>
      <c r="R640" s="315">
        <f t="shared" si="152"/>
        <v>465</v>
      </c>
      <c r="S640" s="315">
        <f t="shared" si="153"/>
        <v>30</v>
      </c>
      <c r="T640" s="315">
        <f t="shared" si="154"/>
        <v>400</v>
      </c>
      <c r="U640" s="315">
        <f t="shared" si="155"/>
        <v>1172</v>
      </c>
      <c r="V640" s="591">
        <f t="shared" si="149"/>
        <v>300</v>
      </c>
      <c r="W640" s="598">
        <f t="shared" si="156"/>
        <v>300</v>
      </c>
    </row>
    <row r="641" spans="2:23" ht="15">
      <c r="B641" s="1043" t="s">
        <v>1861</v>
      </c>
      <c r="C641" s="1043" t="s">
        <v>1862</v>
      </c>
      <c r="D641" s="1046"/>
      <c r="E641" s="1043" t="s">
        <v>532</v>
      </c>
      <c r="F641" s="1032">
        <f>VALUE(Data.Sard!G639)</f>
        <v>0.16388215048393626</v>
      </c>
      <c r="G641" s="844">
        <f>Data.Sard!J639</f>
        <v>4.5693828461162447</v>
      </c>
      <c r="H641" s="1043">
        <v>92133659</v>
      </c>
      <c r="I641" s="264">
        <f>VALUE(Data.Sard!L639)</f>
        <v>1.31</v>
      </c>
      <c r="J641" s="904">
        <f>Data.Sard!N639</f>
        <v>6.3018831283656151E-2</v>
      </c>
      <c r="K641" s="595">
        <f t="shared" si="144"/>
        <v>144</v>
      </c>
      <c r="L641" s="591">
        <f t="shared" si="145"/>
        <v>132</v>
      </c>
      <c r="M641" s="591">
        <f t="shared" si="146"/>
        <v>235</v>
      </c>
      <c r="N641" s="591">
        <f t="shared" si="147"/>
        <v>70</v>
      </c>
      <c r="O641" s="591">
        <f t="shared" si="148"/>
        <v>234</v>
      </c>
      <c r="P641" s="315">
        <f t="shared" si="150"/>
        <v>35</v>
      </c>
      <c r="Q641" s="315">
        <f t="shared" si="151"/>
        <v>78</v>
      </c>
      <c r="R641" s="315">
        <f t="shared" si="152"/>
        <v>226</v>
      </c>
      <c r="S641" s="315">
        <f t="shared" si="153"/>
        <v>33</v>
      </c>
      <c r="T641" s="315">
        <f t="shared" si="154"/>
        <v>218</v>
      </c>
      <c r="U641" s="315">
        <f t="shared" si="155"/>
        <v>590</v>
      </c>
      <c r="V641" s="591">
        <f t="shared" si="149"/>
        <v>64</v>
      </c>
      <c r="W641" s="598">
        <f t="shared" si="156"/>
        <v>64</v>
      </c>
    </row>
    <row r="642" spans="2:23" ht="15">
      <c r="B642" s="996" t="s">
        <v>1863</v>
      </c>
      <c r="C642" s="1043" t="s">
        <v>1864</v>
      </c>
      <c r="D642" s="1046"/>
      <c r="E642" s="1043" t="s">
        <v>603</v>
      </c>
      <c r="F642" s="1032">
        <f>VALUE(Data.Sard!G640)</f>
        <v>5.3913570098619225E-2</v>
      </c>
      <c r="G642" s="844">
        <f>Data.Sard!J640</f>
        <v>3.9870579066980785</v>
      </c>
      <c r="H642" s="1043">
        <v>9573418</v>
      </c>
      <c r="I642" s="264">
        <f>VALUE(Data.Sard!L640)</f>
        <v>-0.122</v>
      </c>
      <c r="J642" s="904">
        <f>Data.Sard!N640</f>
        <v>0.16296210490055621</v>
      </c>
      <c r="K642" s="595">
        <f t="shared" si="144"/>
        <v>322</v>
      </c>
      <c r="L642" s="591">
        <f t="shared" si="145"/>
        <v>146</v>
      </c>
      <c r="M642" s="591">
        <f t="shared" si="146"/>
        <v>472</v>
      </c>
      <c r="N642" s="591">
        <f t="shared" si="147"/>
        <v>324</v>
      </c>
      <c r="O642" s="591">
        <f t="shared" si="148"/>
        <v>83</v>
      </c>
      <c r="P642" s="315">
        <f t="shared" si="150"/>
        <v>213</v>
      </c>
      <c r="Q642" s="315">
        <f t="shared" si="151"/>
        <v>64</v>
      </c>
      <c r="R642" s="315">
        <f t="shared" si="152"/>
        <v>463</v>
      </c>
      <c r="S642" s="315">
        <f t="shared" si="153"/>
        <v>221</v>
      </c>
      <c r="T642" s="315">
        <f t="shared" si="154"/>
        <v>67</v>
      </c>
      <c r="U642" s="315">
        <f t="shared" si="155"/>
        <v>1028</v>
      </c>
      <c r="V642" s="591">
        <f t="shared" si="149"/>
        <v>252</v>
      </c>
      <c r="W642" s="598">
        <f t="shared" si="156"/>
        <v>252</v>
      </c>
    </row>
    <row r="643" spans="2:23" ht="15">
      <c r="B643" s="1043" t="s">
        <v>1865</v>
      </c>
      <c r="C643" s="1043" t="s">
        <v>1866</v>
      </c>
      <c r="D643" s="1046"/>
      <c r="E643" s="1043" t="s">
        <v>603</v>
      </c>
      <c r="F643" s="1032">
        <f>VALUE(Data.Sard!G641)</f>
        <v>6.5940291520507066E-2</v>
      </c>
      <c r="G643" s="844">
        <f>Data.Sard!J641</f>
        <v>-9.1936961481812371</v>
      </c>
      <c r="H643" s="1043">
        <v>17699523</v>
      </c>
      <c r="I643" s="264">
        <f>VALUE(Data.Sard!L641)</f>
        <v>44.636000000000003</v>
      </c>
      <c r="J643" s="904">
        <f>Data.Sard!N641</f>
        <v>6.0209581280558817E-2</v>
      </c>
      <c r="K643" s="595">
        <f t="shared" si="144"/>
        <v>296</v>
      </c>
      <c r="L643" s="591">
        <f t="shared" si="145"/>
        <v>560</v>
      </c>
      <c r="M643" s="591">
        <f t="shared" si="146"/>
        <v>416</v>
      </c>
      <c r="N643" s="591">
        <f t="shared" si="147"/>
        <v>6</v>
      </c>
      <c r="O643" s="591">
        <f t="shared" si="148"/>
        <v>241</v>
      </c>
      <c r="P643" s="315">
        <f t="shared" si="150"/>
        <v>187</v>
      </c>
      <c r="Q643" s="315">
        <f t="shared" si="151"/>
        <v>350</v>
      </c>
      <c r="R643" s="315">
        <f t="shared" si="152"/>
        <v>407</v>
      </c>
      <c r="S643" s="315">
        <f t="shared" si="153"/>
        <v>97</v>
      </c>
      <c r="T643" s="315">
        <f t="shared" si="154"/>
        <v>225</v>
      </c>
      <c r="U643" s="315">
        <f t="shared" si="155"/>
        <v>1266</v>
      </c>
      <c r="V643" s="591">
        <f t="shared" si="149"/>
        <v>343</v>
      </c>
      <c r="W643" s="598">
        <f t="shared" si="156"/>
        <v>343</v>
      </c>
    </row>
    <row r="644" spans="2:23" ht="15">
      <c r="B644" s="996" t="s">
        <v>1867</v>
      </c>
      <c r="C644" s="1043" t="s">
        <v>1868</v>
      </c>
      <c r="D644" s="1046"/>
      <c r="E644" s="1043" t="s">
        <v>1869</v>
      </c>
      <c r="F644" s="1032">
        <f>VALUE(Data.Sard!G642)</f>
        <v>0.14550613388178396</v>
      </c>
      <c r="G644" s="844">
        <f>Data.Sard!J642</f>
        <v>2.5118578330897305</v>
      </c>
      <c r="H644" s="1043">
        <v>806298683</v>
      </c>
      <c r="I644" s="264">
        <f>VALUE(Data.Sard!L642)</f>
        <v>12.254</v>
      </c>
      <c r="J644" s="904">
        <f>Data.Sard!N642</f>
        <v>-0.58454546766145177</v>
      </c>
      <c r="K644" s="595">
        <f t="shared" si="144"/>
        <v>160</v>
      </c>
      <c r="L644" s="591">
        <f t="shared" si="145"/>
        <v>206</v>
      </c>
      <c r="M644" s="591">
        <f t="shared" si="146"/>
        <v>72</v>
      </c>
      <c r="N644" s="591">
        <f t="shared" si="147"/>
        <v>13</v>
      </c>
      <c r="O644" s="591">
        <f t="shared" si="148"/>
        <v>563</v>
      </c>
      <c r="P644" s="315">
        <f t="shared" si="150"/>
        <v>51</v>
      </c>
      <c r="Q644" s="315">
        <f t="shared" si="151"/>
        <v>4</v>
      </c>
      <c r="R644" s="315">
        <f t="shared" si="152"/>
        <v>63</v>
      </c>
      <c r="S644" s="315">
        <f t="shared" si="153"/>
        <v>90</v>
      </c>
      <c r="T644" s="315">
        <f t="shared" si="154"/>
        <v>547</v>
      </c>
      <c r="U644" s="315">
        <f t="shared" si="155"/>
        <v>755</v>
      </c>
      <c r="V644" s="591">
        <f t="shared" si="149"/>
        <v>129</v>
      </c>
      <c r="W644" s="598">
        <f t="shared" si="156"/>
        <v>129</v>
      </c>
    </row>
    <row r="645" spans="2:23" ht="15">
      <c r="B645" s="1043" t="s">
        <v>1870</v>
      </c>
      <c r="C645" s="1043" t="s">
        <v>1871</v>
      </c>
      <c r="D645" s="1046"/>
      <c r="E645" s="1043" t="s">
        <v>584</v>
      </c>
      <c r="F645" s="1032">
        <f>VALUE(Data.Sard!G643)</f>
        <v>9.6166208623569852E-2</v>
      </c>
      <c r="G645" s="844">
        <f>Data.Sard!J643</f>
        <v>1.7570542437594463</v>
      </c>
      <c r="H645" s="1043">
        <v>50872191</v>
      </c>
      <c r="I645" s="264">
        <f>VALUE(Data.Sard!L643)</f>
        <v>6.3E-2</v>
      </c>
      <c r="J645" s="904">
        <f>Data.Sard!N643</f>
        <v>7.7577410757889861E-2</v>
      </c>
      <c r="K645" s="595">
        <f t="shared" ref="K645:K706" si="157">IFERROR(_xlfn.RANK.EQ(F645,F$3:F$706),"N/A")</f>
        <v>240</v>
      </c>
      <c r="L645" s="591">
        <f t="shared" ref="L645:L706" si="158">IFERROR(_xlfn.RANK.EQ(G645,G$3:G$706),"N/A")</f>
        <v>254</v>
      </c>
      <c r="M645" s="591">
        <f t="shared" ref="M645:M706" si="159">IFERROR(_xlfn.RANK.EQ(H645,H$3:H$706),"N/A")</f>
        <v>294</v>
      </c>
      <c r="N645" s="591">
        <f t="shared" ref="N645:N706" si="160">IFERROR(_xlfn.RANK.EQ(I645,I$3:I$706),"N/A")</f>
        <v>273</v>
      </c>
      <c r="O645" s="591">
        <f t="shared" ref="O645:O706" si="161">IFERROR(_xlfn.RANK.EQ(J645,J$3:J$706),"N/A")</f>
        <v>201</v>
      </c>
      <c r="P645" s="315">
        <f t="shared" si="150"/>
        <v>131</v>
      </c>
      <c r="Q645" s="315">
        <f t="shared" si="151"/>
        <v>44</v>
      </c>
      <c r="R645" s="315">
        <f t="shared" si="152"/>
        <v>285</v>
      </c>
      <c r="S645" s="315">
        <f t="shared" si="153"/>
        <v>170</v>
      </c>
      <c r="T645" s="315">
        <f t="shared" si="154"/>
        <v>185</v>
      </c>
      <c r="U645" s="315">
        <f t="shared" si="155"/>
        <v>815</v>
      </c>
      <c r="V645" s="591">
        <f t="shared" ref="V645:V706" si="162">_xlfn.RANK.EQ(U645,$U$4:$U$706,1)</f>
        <v>153</v>
      </c>
      <c r="W645" s="598">
        <f t="shared" si="156"/>
        <v>153</v>
      </c>
    </row>
    <row r="646" spans="2:23" ht="15">
      <c r="B646" s="996" t="s">
        <v>1872</v>
      </c>
      <c r="C646" s="1043" t="s">
        <v>1873</v>
      </c>
      <c r="D646" s="1046"/>
      <c r="E646" s="1043" t="s">
        <v>655</v>
      </c>
      <c r="F646" s="1032">
        <f>VALUE(Data.Sard!G644)</f>
        <v>0.19095016486571184</v>
      </c>
      <c r="G646" s="844">
        <f>Data.Sard!J644</f>
        <v>1.474489723565801</v>
      </c>
      <c r="H646" s="1043">
        <v>1026052615</v>
      </c>
      <c r="I646" s="264">
        <f>VALUE(Data.Sard!L644)</f>
        <v>-0.74</v>
      </c>
      <c r="J646" s="904">
        <f>Data.Sard!N644</f>
        <v>0.20605913179632773</v>
      </c>
      <c r="K646" s="595">
        <f t="shared" si="157"/>
        <v>116</v>
      </c>
      <c r="L646" s="591">
        <f t="shared" si="158"/>
        <v>273</v>
      </c>
      <c r="M646" s="591">
        <f t="shared" si="159"/>
        <v>62</v>
      </c>
      <c r="N646" s="591">
        <f t="shared" si="160"/>
        <v>416</v>
      </c>
      <c r="O646" s="591">
        <f t="shared" si="161"/>
        <v>46</v>
      </c>
      <c r="P646" s="315">
        <f t="shared" si="150"/>
        <v>7</v>
      </c>
      <c r="Q646" s="315">
        <f t="shared" si="151"/>
        <v>63</v>
      </c>
      <c r="R646" s="315">
        <f t="shared" si="152"/>
        <v>53</v>
      </c>
      <c r="S646" s="315">
        <f t="shared" si="153"/>
        <v>313</v>
      </c>
      <c r="T646" s="315">
        <f t="shared" si="154"/>
        <v>30</v>
      </c>
      <c r="U646" s="315">
        <f t="shared" si="155"/>
        <v>466</v>
      </c>
      <c r="V646" s="591">
        <f t="shared" si="162"/>
        <v>30</v>
      </c>
      <c r="W646" s="598">
        <f t="shared" si="156"/>
        <v>30</v>
      </c>
    </row>
    <row r="647" spans="2:23" ht="15">
      <c r="B647" s="996" t="s">
        <v>1874</v>
      </c>
      <c r="C647" s="1043" t="s">
        <v>1875</v>
      </c>
      <c r="D647" s="1046"/>
      <c r="E647" s="1043" t="s">
        <v>706</v>
      </c>
      <c r="F647" s="1032">
        <f>VALUE(Data.Sard!G645)</f>
        <v>0.12927529786117328</v>
      </c>
      <c r="G647" s="844">
        <f>Data.Sard!J645</f>
        <v>17.361360484685324</v>
      </c>
      <c r="H647" s="1043">
        <v>125316178</v>
      </c>
      <c r="I647" s="264">
        <f>VALUE(Data.Sard!L645)</f>
        <v>-8.4000000000000005E-2</v>
      </c>
      <c r="J647" s="904">
        <f>Data.Sard!N645</f>
        <v>9.5329907033631034E-2</v>
      </c>
      <c r="K647" s="595">
        <f t="shared" si="157"/>
        <v>185</v>
      </c>
      <c r="L647" s="591">
        <f t="shared" si="158"/>
        <v>32</v>
      </c>
      <c r="M647" s="591">
        <f t="shared" si="159"/>
        <v>209</v>
      </c>
      <c r="N647" s="591">
        <f t="shared" si="160"/>
        <v>311</v>
      </c>
      <c r="O647" s="591">
        <f t="shared" si="161"/>
        <v>164</v>
      </c>
      <c r="P647" s="315">
        <f t="shared" si="150"/>
        <v>76</v>
      </c>
      <c r="Q647" s="315">
        <f t="shared" si="151"/>
        <v>178</v>
      </c>
      <c r="R647" s="315">
        <f t="shared" si="152"/>
        <v>200</v>
      </c>
      <c r="S647" s="315">
        <f t="shared" si="153"/>
        <v>208</v>
      </c>
      <c r="T647" s="315">
        <f t="shared" si="154"/>
        <v>148</v>
      </c>
      <c r="U647" s="315">
        <f t="shared" si="155"/>
        <v>810</v>
      </c>
      <c r="V647" s="591">
        <f t="shared" si="162"/>
        <v>151</v>
      </c>
      <c r="W647" s="598">
        <f t="shared" si="156"/>
        <v>151</v>
      </c>
    </row>
    <row r="648" spans="2:23" ht="15">
      <c r="B648" s="1043" t="s">
        <v>1876</v>
      </c>
      <c r="C648" s="1043" t="s">
        <v>1877</v>
      </c>
      <c r="D648" s="1046"/>
      <c r="E648" s="1043" t="s">
        <v>532</v>
      </c>
      <c r="F648" s="1032">
        <f>VALUE(Data.Sard!G646)</f>
        <v>3.1400927213162781E-3</v>
      </c>
      <c r="G648" s="844"/>
      <c r="H648" s="1043">
        <v>14675591</v>
      </c>
      <c r="I648" s="264">
        <f>VALUE(Data.Sard!L646)</f>
        <v>-0.77600000000000002</v>
      </c>
      <c r="J648" s="904">
        <f>Data.Sard!N646</f>
        <v>3.6946294780464385E-2</v>
      </c>
      <c r="K648" s="595">
        <f t="shared" si="157"/>
        <v>438</v>
      </c>
      <c r="L648" s="591">
        <f t="shared" si="158"/>
        <v>397</v>
      </c>
      <c r="M648" s="591">
        <f t="shared" si="159"/>
        <v>433</v>
      </c>
      <c r="N648" s="591">
        <f t="shared" si="160"/>
        <v>418</v>
      </c>
      <c r="O648" s="591">
        <f t="shared" si="161"/>
        <v>314</v>
      </c>
      <c r="P648" s="315">
        <f t="shared" si="150"/>
        <v>329</v>
      </c>
      <c r="Q648" s="315">
        <f t="shared" si="151"/>
        <v>187</v>
      </c>
      <c r="R648" s="315">
        <f t="shared" si="152"/>
        <v>424</v>
      </c>
      <c r="S648" s="315">
        <f t="shared" si="153"/>
        <v>315</v>
      </c>
      <c r="T648" s="315">
        <f t="shared" si="154"/>
        <v>298</v>
      </c>
      <c r="U648" s="315">
        <f t="shared" si="155"/>
        <v>1553</v>
      </c>
      <c r="V648" s="591">
        <f t="shared" si="162"/>
        <v>496</v>
      </c>
      <c r="W648" s="598">
        <f t="shared" si="156"/>
        <v>496</v>
      </c>
    </row>
    <row r="649" spans="2:23" ht="15">
      <c r="B649" s="1043" t="s">
        <v>1878</v>
      </c>
      <c r="C649" s="1043" t="s">
        <v>1879</v>
      </c>
      <c r="D649" s="1046"/>
      <c r="E649" s="1043" t="s">
        <v>1048</v>
      </c>
      <c r="F649" s="1032"/>
      <c r="G649" s="844">
        <f>Data.Sard!J647</f>
        <v>0.94176908040977358</v>
      </c>
      <c r="H649" s="1043">
        <v>3883106</v>
      </c>
      <c r="I649" s="264">
        <f>VALUE(Data.Sard!L647)</f>
        <v>-1.516</v>
      </c>
      <c r="J649" s="904"/>
      <c r="K649" s="595">
        <f t="shared" si="157"/>
        <v>442</v>
      </c>
      <c r="L649" s="591">
        <f t="shared" si="158"/>
        <v>297</v>
      </c>
      <c r="M649" s="591">
        <f t="shared" si="159"/>
        <v>548</v>
      </c>
      <c r="N649" s="591">
        <f t="shared" si="160"/>
        <v>469</v>
      </c>
      <c r="O649" s="591">
        <f t="shared" si="161"/>
        <v>419</v>
      </c>
      <c r="P649" s="315">
        <f t="shared" si="150"/>
        <v>333</v>
      </c>
      <c r="Q649" s="315">
        <f t="shared" si="151"/>
        <v>87</v>
      </c>
      <c r="R649" s="315">
        <f t="shared" si="152"/>
        <v>539</v>
      </c>
      <c r="S649" s="315">
        <f t="shared" si="153"/>
        <v>366</v>
      </c>
      <c r="T649" s="315">
        <f t="shared" si="154"/>
        <v>403</v>
      </c>
      <c r="U649" s="315">
        <f t="shared" si="155"/>
        <v>1728</v>
      </c>
      <c r="V649" s="591">
        <f t="shared" si="162"/>
        <v>603</v>
      </c>
      <c r="W649" s="598">
        <f t="shared" si="156"/>
        <v>603</v>
      </c>
    </row>
    <row r="650" spans="2:23" ht="15">
      <c r="B650" s="996" t="s">
        <v>1880</v>
      </c>
      <c r="C650" s="1043" t="s">
        <v>1881</v>
      </c>
      <c r="D650" s="1046"/>
      <c r="E650" s="1043" t="s">
        <v>603</v>
      </c>
      <c r="F650" s="1032">
        <f>VALUE(Data.Sard!G648)</f>
        <v>0.1661087804426267</v>
      </c>
      <c r="G650" s="844"/>
      <c r="H650" s="1043">
        <v>2438811</v>
      </c>
      <c r="I650" s="264"/>
      <c r="J650" s="904">
        <f>Data.Sard!N648</f>
        <v>3.9192561344536551E-3</v>
      </c>
      <c r="K650" s="595">
        <f t="shared" si="157"/>
        <v>142</v>
      </c>
      <c r="L650" s="591">
        <f t="shared" si="158"/>
        <v>397</v>
      </c>
      <c r="M650" s="591">
        <f t="shared" si="159"/>
        <v>575</v>
      </c>
      <c r="N650" s="591">
        <f t="shared" si="160"/>
        <v>285</v>
      </c>
      <c r="O650" s="591">
        <f t="shared" si="161"/>
        <v>412</v>
      </c>
      <c r="P650" s="315">
        <f t="shared" si="150"/>
        <v>33</v>
      </c>
      <c r="Q650" s="315">
        <f t="shared" si="151"/>
        <v>187</v>
      </c>
      <c r="R650" s="315">
        <f t="shared" si="152"/>
        <v>566</v>
      </c>
      <c r="S650" s="315">
        <f t="shared" si="153"/>
        <v>182</v>
      </c>
      <c r="T650" s="315">
        <f t="shared" si="154"/>
        <v>396</v>
      </c>
      <c r="U650" s="315">
        <f t="shared" si="155"/>
        <v>1364</v>
      </c>
      <c r="V650" s="591">
        <f t="shared" si="162"/>
        <v>391</v>
      </c>
      <c r="W650" s="598">
        <f t="shared" si="156"/>
        <v>391</v>
      </c>
    </row>
    <row r="651" spans="2:23" ht="15">
      <c r="B651" s="1043" t="s">
        <v>1882</v>
      </c>
      <c r="C651" s="1043" t="s">
        <v>1883</v>
      </c>
      <c r="D651" s="1046"/>
      <c r="E651" s="1043" t="s">
        <v>903</v>
      </c>
      <c r="F651" s="1032"/>
      <c r="G651" s="844"/>
      <c r="H651" s="1043">
        <v>912123</v>
      </c>
      <c r="I651" s="264">
        <f>VALUE(Data.Sard!L649)</f>
        <v>2.65</v>
      </c>
      <c r="J651" s="904"/>
      <c r="K651" s="595">
        <f t="shared" si="157"/>
        <v>442</v>
      </c>
      <c r="L651" s="591">
        <f t="shared" si="158"/>
        <v>397</v>
      </c>
      <c r="M651" s="591">
        <f t="shared" si="159"/>
        <v>614</v>
      </c>
      <c r="N651" s="591">
        <f t="shared" si="160"/>
        <v>38</v>
      </c>
      <c r="O651" s="591">
        <f t="shared" si="161"/>
        <v>419</v>
      </c>
      <c r="P651" s="315">
        <f t="shared" si="150"/>
        <v>333</v>
      </c>
      <c r="Q651" s="315">
        <f t="shared" si="151"/>
        <v>187</v>
      </c>
      <c r="R651" s="315">
        <f t="shared" si="152"/>
        <v>605</v>
      </c>
      <c r="S651" s="315">
        <f t="shared" si="153"/>
        <v>65</v>
      </c>
      <c r="T651" s="315">
        <f t="shared" si="154"/>
        <v>403</v>
      </c>
      <c r="U651" s="315">
        <f t="shared" si="155"/>
        <v>1593</v>
      </c>
      <c r="V651" s="591">
        <f t="shared" si="162"/>
        <v>521</v>
      </c>
      <c r="W651" s="598">
        <f t="shared" si="156"/>
        <v>521</v>
      </c>
    </row>
    <row r="652" spans="2:23" ht="15">
      <c r="B652" s="1043" t="s">
        <v>1884</v>
      </c>
      <c r="C652" s="1043" t="s">
        <v>1885</v>
      </c>
      <c r="D652" s="1046"/>
      <c r="E652" s="1043" t="s">
        <v>1886</v>
      </c>
      <c r="F652" s="1032"/>
      <c r="G652" s="844"/>
      <c r="H652" s="1003">
        <v>0</v>
      </c>
      <c r="I652" s="264"/>
      <c r="J652" s="904"/>
      <c r="K652" s="595">
        <f t="shared" si="157"/>
        <v>442</v>
      </c>
      <c r="L652" s="591">
        <f t="shared" si="158"/>
        <v>397</v>
      </c>
      <c r="M652" s="591">
        <f t="shared" si="159"/>
        <v>677</v>
      </c>
      <c r="N652" s="591">
        <f t="shared" si="160"/>
        <v>285</v>
      </c>
      <c r="O652" s="591">
        <f t="shared" si="161"/>
        <v>419</v>
      </c>
      <c r="P652" s="315">
        <f t="shared" si="150"/>
        <v>333</v>
      </c>
      <c r="Q652" s="315">
        <f t="shared" si="151"/>
        <v>187</v>
      </c>
      <c r="R652" s="315">
        <f t="shared" si="152"/>
        <v>668</v>
      </c>
      <c r="S652" s="315">
        <f t="shared" si="153"/>
        <v>182</v>
      </c>
      <c r="T652" s="315">
        <f t="shared" si="154"/>
        <v>403</v>
      </c>
      <c r="U652" s="315">
        <f t="shared" si="155"/>
        <v>1773</v>
      </c>
      <c r="V652" s="591">
        <f t="shared" si="162"/>
        <v>627</v>
      </c>
      <c r="W652" s="598">
        <f t="shared" si="156"/>
        <v>627</v>
      </c>
    </row>
    <row r="653" spans="2:23" ht="15">
      <c r="B653" s="996" t="s">
        <v>1887</v>
      </c>
      <c r="C653" s="1043" t="s">
        <v>1888</v>
      </c>
      <c r="D653" s="1046"/>
      <c r="E653" s="1043" t="s">
        <v>603</v>
      </c>
      <c r="F653" s="1032"/>
      <c r="G653" s="844">
        <f>Data.Sard!J651</f>
        <v>0.33593765144698789</v>
      </c>
      <c r="H653" s="1043">
        <v>2338787</v>
      </c>
      <c r="I653" s="264"/>
      <c r="J653" s="904"/>
      <c r="K653" s="595">
        <f t="shared" si="157"/>
        <v>442</v>
      </c>
      <c r="L653" s="591">
        <f t="shared" si="158"/>
        <v>350</v>
      </c>
      <c r="M653" s="591">
        <f t="shared" si="159"/>
        <v>580</v>
      </c>
      <c r="N653" s="591">
        <f t="shared" si="160"/>
        <v>285</v>
      </c>
      <c r="O653" s="591">
        <f t="shared" si="161"/>
        <v>419</v>
      </c>
      <c r="P653" s="315">
        <f t="shared" si="150"/>
        <v>333</v>
      </c>
      <c r="Q653" s="315">
        <f t="shared" si="151"/>
        <v>140</v>
      </c>
      <c r="R653" s="315">
        <f t="shared" si="152"/>
        <v>571</v>
      </c>
      <c r="S653" s="315">
        <f t="shared" si="153"/>
        <v>182</v>
      </c>
      <c r="T653" s="315">
        <f t="shared" si="154"/>
        <v>403</v>
      </c>
      <c r="U653" s="315">
        <f t="shared" si="155"/>
        <v>1629</v>
      </c>
      <c r="V653" s="591">
        <f t="shared" si="162"/>
        <v>552</v>
      </c>
      <c r="W653" s="598">
        <f t="shared" si="156"/>
        <v>552</v>
      </c>
    </row>
    <row r="654" spans="2:23" ht="15">
      <c r="B654" s="996" t="s">
        <v>1889</v>
      </c>
      <c r="C654" s="1043" t="s">
        <v>1890</v>
      </c>
      <c r="D654" s="1046"/>
      <c r="E654" s="1043" t="s">
        <v>736</v>
      </c>
      <c r="F654" s="1032">
        <f>VALUE(Data.Sard!G652)</f>
        <v>0.1108824845834466</v>
      </c>
      <c r="G654" s="844">
        <f>Data.Sard!J652</f>
        <v>2.7622954997463207</v>
      </c>
      <c r="H654" s="1043">
        <v>2430212014</v>
      </c>
      <c r="I654" s="264"/>
      <c r="J654" s="904">
        <f>Data.Sard!N652</f>
        <v>1.8244946914374355E-2</v>
      </c>
      <c r="K654" s="595">
        <f t="shared" si="157"/>
        <v>213</v>
      </c>
      <c r="L654" s="591">
        <f t="shared" si="158"/>
        <v>194</v>
      </c>
      <c r="M654" s="591">
        <f t="shared" si="159"/>
        <v>37</v>
      </c>
      <c r="N654" s="591">
        <f t="shared" si="160"/>
        <v>285</v>
      </c>
      <c r="O654" s="591">
        <f t="shared" si="161"/>
        <v>369</v>
      </c>
      <c r="P654" s="315">
        <f t="shared" si="150"/>
        <v>104</v>
      </c>
      <c r="Q654" s="315">
        <f t="shared" si="151"/>
        <v>16</v>
      </c>
      <c r="R654" s="315">
        <f t="shared" si="152"/>
        <v>28</v>
      </c>
      <c r="S654" s="315">
        <f t="shared" si="153"/>
        <v>182</v>
      </c>
      <c r="T654" s="315">
        <f t="shared" si="154"/>
        <v>353</v>
      </c>
      <c r="U654" s="315">
        <f t="shared" si="155"/>
        <v>683</v>
      </c>
      <c r="V654" s="591">
        <f t="shared" si="162"/>
        <v>106</v>
      </c>
      <c r="W654" s="598">
        <f t="shared" si="156"/>
        <v>106</v>
      </c>
    </row>
    <row r="655" spans="2:23" ht="15">
      <c r="B655" s="1043" t="s">
        <v>1891</v>
      </c>
      <c r="C655" s="1043" t="s">
        <v>1892</v>
      </c>
      <c r="D655" s="994"/>
      <c r="E655" s="1043" t="s">
        <v>584</v>
      </c>
      <c r="F655" s="1032">
        <f>VALUE(Data.Sard!G653)</f>
        <v>0.15932500211826769</v>
      </c>
      <c r="G655" s="844">
        <f>Data.Sard!J653</f>
        <v>0.51911678052361987</v>
      </c>
      <c r="H655" s="1043">
        <v>150513510</v>
      </c>
      <c r="I655" s="264">
        <f>VALUE(Data.Sard!L653)</f>
        <v>0.16500000000000001</v>
      </c>
      <c r="J655" s="904">
        <f>Data.Sard!N653</f>
        <v>0.12176653557905458</v>
      </c>
      <c r="K655" s="595">
        <f t="shared" si="157"/>
        <v>150</v>
      </c>
      <c r="L655" s="591">
        <f t="shared" si="158"/>
        <v>328</v>
      </c>
      <c r="M655" s="591">
        <f t="shared" si="159"/>
        <v>191</v>
      </c>
      <c r="N655" s="591">
        <f t="shared" si="160"/>
        <v>246</v>
      </c>
      <c r="O655" s="591">
        <f t="shared" si="161"/>
        <v>122</v>
      </c>
      <c r="P655" s="315">
        <f t="shared" si="150"/>
        <v>41</v>
      </c>
      <c r="Q655" s="315">
        <f t="shared" si="151"/>
        <v>118</v>
      </c>
      <c r="R655" s="315">
        <f t="shared" si="152"/>
        <v>182</v>
      </c>
      <c r="S655" s="315">
        <f t="shared" si="153"/>
        <v>143</v>
      </c>
      <c r="T655" s="315">
        <f t="shared" si="154"/>
        <v>106</v>
      </c>
      <c r="U655" s="315">
        <f t="shared" si="155"/>
        <v>590</v>
      </c>
      <c r="V655" s="591">
        <f t="shared" si="162"/>
        <v>64</v>
      </c>
      <c r="W655" s="598">
        <f t="shared" si="156"/>
        <v>64</v>
      </c>
    </row>
    <row r="656" spans="2:23" ht="15">
      <c r="B656" s="1043" t="s">
        <v>1893</v>
      </c>
      <c r="C656" s="1043" t="s">
        <v>1894</v>
      </c>
      <c r="D656" s="1046"/>
      <c r="E656" s="1043" t="s">
        <v>584</v>
      </c>
      <c r="F656" s="1032">
        <f>VALUE(Data.Sard!G654)</f>
        <v>0.14376117936416136</v>
      </c>
      <c r="G656" s="844">
        <f>Data.Sard!J654</f>
        <v>0.10562328217706761</v>
      </c>
      <c r="H656" s="1043">
        <v>102951549</v>
      </c>
      <c r="I656" s="264">
        <f>VALUE(Data.Sard!L654)</f>
        <v>-0.374</v>
      </c>
      <c r="J656" s="904">
        <f>Data.Sard!N654</f>
        <v>7.8072894785043354E-2</v>
      </c>
      <c r="K656" s="595">
        <f t="shared" si="157"/>
        <v>163</v>
      </c>
      <c r="L656" s="591">
        <f t="shared" si="158"/>
        <v>374</v>
      </c>
      <c r="M656" s="591">
        <f t="shared" si="159"/>
        <v>224</v>
      </c>
      <c r="N656" s="591">
        <f t="shared" si="160"/>
        <v>366</v>
      </c>
      <c r="O656" s="591">
        <f t="shared" si="161"/>
        <v>196</v>
      </c>
      <c r="P656" s="315">
        <f t="shared" si="150"/>
        <v>54</v>
      </c>
      <c r="Q656" s="315">
        <f t="shared" si="151"/>
        <v>164</v>
      </c>
      <c r="R656" s="315">
        <f t="shared" si="152"/>
        <v>215</v>
      </c>
      <c r="S656" s="315">
        <f t="shared" si="153"/>
        <v>263</v>
      </c>
      <c r="T656" s="315">
        <f t="shared" si="154"/>
        <v>180</v>
      </c>
      <c r="U656" s="315">
        <f t="shared" si="155"/>
        <v>876</v>
      </c>
      <c r="V656" s="591">
        <f t="shared" si="162"/>
        <v>178</v>
      </c>
      <c r="W656" s="598">
        <f t="shared" si="156"/>
        <v>178</v>
      </c>
    </row>
    <row r="657" spans="2:23" ht="15">
      <c r="B657" s="996" t="s">
        <v>1895</v>
      </c>
      <c r="C657" s="1043" t="s">
        <v>1896</v>
      </c>
      <c r="D657" s="1046"/>
      <c r="E657" s="1043" t="s">
        <v>736</v>
      </c>
      <c r="F657" s="1032">
        <f>VALUE(Data.Sard!G655)</f>
        <v>0.13527447472572207</v>
      </c>
      <c r="G657" s="844">
        <f>Data.Sard!J655</f>
        <v>1.7273840400763214</v>
      </c>
      <c r="H657" s="1043">
        <v>1499773060</v>
      </c>
      <c r="I657" s="264">
        <f>VALUE(Data.Sard!L655)</f>
        <v>-0.57499999999999996</v>
      </c>
      <c r="J657" s="904">
        <f>Data.Sard!N655</f>
        <v>5.6108054879465651E-2</v>
      </c>
      <c r="K657" s="595">
        <f t="shared" si="157"/>
        <v>175</v>
      </c>
      <c r="L657" s="591">
        <f t="shared" si="158"/>
        <v>255</v>
      </c>
      <c r="M657" s="591">
        <f t="shared" si="159"/>
        <v>48</v>
      </c>
      <c r="N657" s="591">
        <f t="shared" si="160"/>
        <v>395</v>
      </c>
      <c r="O657" s="591">
        <f t="shared" si="161"/>
        <v>260</v>
      </c>
      <c r="P657" s="315">
        <f t="shared" si="150"/>
        <v>66</v>
      </c>
      <c r="Q657" s="315">
        <f t="shared" si="151"/>
        <v>45</v>
      </c>
      <c r="R657" s="315">
        <f t="shared" si="152"/>
        <v>39</v>
      </c>
      <c r="S657" s="315">
        <f t="shared" si="153"/>
        <v>292</v>
      </c>
      <c r="T657" s="315">
        <f t="shared" si="154"/>
        <v>244</v>
      </c>
      <c r="U657" s="315">
        <f t="shared" si="155"/>
        <v>686</v>
      </c>
      <c r="V657" s="591">
        <f t="shared" si="162"/>
        <v>107</v>
      </c>
      <c r="W657" s="598">
        <f t="shared" si="156"/>
        <v>107</v>
      </c>
    </row>
    <row r="658" spans="2:23" ht="15">
      <c r="B658" s="996" t="s">
        <v>1897</v>
      </c>
      <c r="C658" s="1043" t="s">
        <v>1898</v>
      </c>
      <c r="D658" s="1046"/>
      <c r="E658" s="1043" t="s">
        <v>736</v>
      </c>
      <c r="F658" s="1032">
        <f>VALUE(Data.Sard!G656)</f>
        <v>0.10719344372837941</v>
      </c>
      <c r="G658" s="844">
        <f>Data.Sard!J656</f>
        <v>-1.8825267509392749</v>
      </c>
      <c r="H658" s="1043">
        <v>1259417527</v>
      </c>
      <c r="I658" s="264">
        <f>VALUE(Data.Sard!L656)</f>
        <v>0.64900000000000002</v>
      </c>
      <c r="J658" s="904">
        <f>Data.Sard!N656</f>
        <v>0.24036197056495986</v>
      </c>
      <c r="K658" s="595">
        <f t="shared" si="157"/>
        <v>218</v>
      </c>
      <c r="L658" s="591">
        <f t="shared" si="158"/>
        <v>502</v>
      </c>
      <c r="M658" s="591">
        <f t="shared" si="159"/>
        <v>52</v>
      </c>
      <c r="N658" s="591">
        <f t="shared" si="160"/>
        <v>146</v>
      </c>
      <c r="O658" s="591">
        <f t="shared" si="161"/>
        <v>31</v>
      </c>
      <c r="P658" s="315">
        <f t="shared" si="150"/>
        <v>109</v>
      </c>
      <c r="Q658" s="315">
        <f t="shared" si="151"/>
        <v>292</v>
      </c>
      <c r="R658" s="315">
        <f t="shared" si="152"/>
        <v>43</v>
      </c>
      <c r="S658" s="315">
        <f t="shared" si="153"/>
        <v>43</v>
      </c>
      <c r="T658" s="315">
        <f t="shared" si="154"/>
        <v>15</v>
      </c>
      <c r="U658" s="315">
        <f t="shared" si="155"/>
        <v>502</v>
      </c>
      <c r="V658" s="591">
        <f t="shared" si="162"/>
        <v>38</v>
      </c>
      <c r="W658" s="598">
        <f t="shared" si="156"/>
        <v>38</v>
      </c>
    </row>
    <row r="659" spans="2:23" ht="15">
      <c r="B659" s="996" t="s">
        <v>1899</v>
      </c>
      <c r="C659" s="1043" t="s">
        <v>1900</v>
      </c>
      <c r="D659" s="1046"/>
      <c r="E659" s="1043" t="s">
        <v>736</v>
      </c>
      <c r="F659" s="1032">
        <f>VALUE(Data.Sard!G657)</f>
        <v>-2.2918492948226709E-3</v>
      </c>
      <c r="G659" s="844">
        <f>Data.Sard!J657</f>
        <v>0.90256123046912895</v>
      </c>
      <c r="H659" s="1043">
        <v>244643624</v>
      </c>
      <c r="I659" s="264">
        <f>VALUE(Data.Sard!L657)</f>
        <v>-0.89300000000000002</v>
      </c>
      <c r="J659" s="904">
        <f>Data.Sard!N657</f>
        <v>-1.0492597556274855E-2</v>
      </c>
      <c r="K659" s="595">
        <f t="shared" si="157"/>
        <v>449</v>
      </c>
      <c r="L659" s="591">
        <f t="shared" si="158"/>
        <v>301</v>
      </c>
      <c r="M659" s="591">
        <f t="shared" si="159"/>
        <v>157</v>
      </c>
      <c r="N659" s="591">
        <f t="shared" si="160"/>
        <v>429</v>
      </c>
      <c r="O659" s="591">
        <f t="shared" si="161"/>
        <v>442</v>
      </c>
      <c r="P659" s="315">
        <f t="shared" si="150"/>
        <v>340</v>
      </c>
      <c r="Q659" s="315">
        <f t="shared" si="151"/>
        <v>91</v>
      </c>
      <c r="R659" s="315">
        <f t="shared" si="152"/>
        <v>148</v>
      </c>
      <c r="S659" s="315">
        <f t="shared" si="153"/>
        <v>326</v>
      </c>
      <c r="T659" s="315">
        <f t="shared" si="154"/>
        <v>426</v>
      </c>
      <c r="U659" s="315">
        <f t="shared" si="155"/>
        <v>1331</v>
      </c>
      <c r="V659" s="591">
        <f t="shared" si="162"/>
        <v>376</v>
      </c>
      <c r="W659" s="598">
        <f t="shared" si="156"/>
        <v>376</v>
      </c>
    </row>
    <row r="660" spans="2:23" ht="15">
      <c r="B660" s="996" t="s">
        <v>1901</v>
      </c>
      <c r="C660" s="1043" t="s">
        <v>1902</v>
      </c>
      <c r="D660" s="1046"/>
      <c r="E660" s="1043" t="s">
        <v>736</v>
      </c>
      <c r="F660" s="1032">
        <f>VALUE(Data.Sard!G658)</f>
        <v>4.5640683770522092E-2</v>
      </c>
      <c r="G660" s="844"/>
      <c r="H660" s="1043">
        <v>770071509</v>
      </c>
      <c r="I660" s="264">
        <f>VALUE(Data.Sard!L658)</f>
        <v>-0.189</v>
      </c>
      <c r="J660" s="904">
        <f>Data.Sard!N658</f>
        <v>6.6963066857220116E-2</v>
      </c>
      <c r="K660" s="595">
        <f t="shared" si="157"/>
        <v>339</v>
      </c>
      <c r="L660" s="591">
        <f t="shared" si="158"/>
        <v>397</v>
      </c>
      <c r="M660" s="591">
        <f t="shared" si="159"/>
        <v>75</v>
      </c>
      <c r="N660" s="591">
        <f t="shared" si="160"/>
        <v>340</v>
      </c>
      <c r="O660" s="591">
        <f t="shared" si="161"/>
        <v>223</v>
      </c>
      <c r="P660" s="315">
        <f t="shared" si="150"/>
        <v>230</v>
      </c>
      <c r="Q660" s="315">
        <f t="shared" si="151"/>
        <v>187</v>
      </c>
      <c r="R660" s="315">
        <f t="shared" si="152"/>
        <v>66</v>
      </c>
      <c r="S660" s="315">
        <f t="shared" si="153"/>
        <v>237</v>
      </c>
      <c r="T660" s="315">
        <f t="shared" si="154"/>
        <v>207</v>
      </c>
      <c r="U660" s="315">
        <f t="shared" si="155"/>
        <v>927</v>
      </c>
      <c r="V660" s="591">
        <f t="shared" si="162"/>
        <v>197</v>
      </c>
      <c r="W660" s="598">
        <f t="shared" si="156"/>
        <v>197</v>
      </c>
    </row>
    <row r="661" spans="2:23" ht="15">
      <c r="B661" s="996" t="s">
        <v>1903</v>
      </c>
      <c r="C661" s="1043" t="s">
        <v>1904</v>
      </c>
      <c r="D661" s="1046"/>
      <c r="E661" s="1043" t="s">
        <v>736</v>
      </c>
      <c r="F661" s="1032">
        <f>VALUE(Data.Sard!G659)</f>
        <v>0</v>
      </c>
      <c r="G661" s="844">
        <f>Data.Sard!J659</f>
        <v>0.37363525344263493</v>
      </c>
      <c r="H661" s="1043">
        <v>440166990</v>
      </c>
      <c r="I661" s="264">
        <f>VALUE(Data.Sard!L659)</f>
        <v>0.64900000000000002</v>
      </c>
      <c r="J661" s="904">
        <f>Data.Sard!N659</f>
        <v>0</v>
      </c>
      <c r="K661" s="595">
        <f t="shared" si="157"/>
        <v>442</v>
      </c>
      <c r="L661" s="591">
        <f t="shared" si="158"/>
        <v>345</v>
      </c>
      <c r="M661" s="591">
        <f t="shared" si="159"/>
        <v>107</v>
      </c>
      <c r="N661" s="591">
        <f t="shared" si="160"/>
        <v>146</v>
      </c>
      <c r="O661" s="591">
        <f t="shared" si="161"/>
        <v>419</v>
      </c>
      <c r="P661" s="315">
        <f t="shared" si="150"/>
        <v>333</v>
      </c>
      <c r="Q661" s="315">
        <f t="shared" si="151"/>
        <v>135</v>
      </c>
      <c r="R661" s="315">
        <f t="shared" si="152"/>
        <v>98</v>
      </c>
      <c r="S661" s="315">
        <f t="shared" si="153"/>
        <v>43</v>
      </c>
      <c r="T661" s="315">
        <f t="shared" si="154"/>
        <v>403</v>
      </c>
      <c r="U661" s="315">
        <f t="shared" si="155"/>
        <v>1012</v>
      </c>
      <c r="V661" s="591">
        <f t="shared" si="162"/>
        <v>243</v>
      </c>
      <c r="W661" s="598">
        <f t="shared" si="156"/>
        <v>243</v>
      </c>
    </row>
    <row r="662" spans="2:23" ht="15">
      <c r="B662" s="996" t="s">
        <v>1905</v>
      </c>
      <c r="C662" s="1043" t="s">
        <v>1906</v>
      </c>
      <c r="D662" s="1046"/>
      <c r="E662" s="1043" t="s">
        <v>736</v>
      </c>
      <c r="F662" s="1032">
        <f>VALUE(Data.Sard!G660)</f>
        <v>-1.2370958296699243E-2</v>
      </c>
      <c r="G662" s="844">
        <f>Data.Sard!J660</f>
        <v>-3.0642622950819671</v>
      </c>
      <c r="H662" s="1043">
        <v>257424935</v>
      </c>
      <c r="I662" s="264"/>
      <c r="J662" s="904">
        <f>Data.Sard!N660</f>
        <v>3.5749165735761652E-2</v>
      </c>
      <c r="K662" s="595">
        <f t="shared" si="157"/>
        <v>457</v>
      </c>
      <c r="L662" s="591">
        <f t="shared" si="158"/>
        <v>520</v>
      </c>
      <c r="M662" s="591">
        <f t="shared" si="159"/>
        <v>150</v>
      </c>
      <c r="N662" s="591">
        <f t="shared" si="160"/>
        <v>285</v>
      </c>
      <c r="O662" s="591">
        <f t="shared" si="161"/>
        <v>321</v>
      </c>
      <c r="P662" s="315">
        <f t="shared" si="150"/>
        <v>348</v>
      </c>
      <c r="Q662" s="315">
        <f t="shared" si="151"/>
        <v>310</v>
      </c>
      <c r="R662" s="315">
        <f t="shared" si="152"/>
        <v>141</v>
      </c>
      <c r="S662" s="315">
        <f t="shared" si="153"/>
        <v>182</v>
      </c>
      <c r="T662" s="315">
        <f t="shared" si="154"/>
        <v>305</v>
      </c>
      <c r="U662" s="315">
        <f t="shared" si="155"/>
        <v>1286</v>
      </c>
      <c r="V662" s="591">
        <f t="shared" si="162"/>
        <v>358</v>
      </c>
      <c r="W662" s="598">
        <f t="shared" si="156"/>
        <v>358</v>
      </c>
    </row>
    <row r="663" spans="2:23" ht="15">
      <c r="B663" s="996" t="s">
        <v>1907</v>
      </c>
      <c r="C663" s="1043" t="s">
        <v>1908</v>
      </c>
      <c r="D663" s="1046"/>
      <c r="E663" s="1043" t="s">
        <v>587</v>
      </c>
      <c r="F663" s="1032">
        <f>VALUE(Data.Sard!G661)</f>
        <v>0.34303445324202869</v>
      </c>
      <c r="G663" s="844">
        <f>Data.Sard!J661</f>
        <v>9.2216310721821397</v>
      </c>
      <c r="H663" s="1043">
        <v>547158</v>
      </c>
      <c r="I663" s="264">
        <f>VALUE(Data.Sard!L661)</f>
        <v>10.98</v>
      </c>
      <c r="J663" s="904"/>
      <c r="K663" s="595">
        <f t="shared" si="157"/>
        <v>45</v>
      </c>
      <c r="L663" s="591">
        <f t="shared" si="158"/>
        <v>67</v>
      </c>
      <c r="M663" s="591">
        <f t="shared" si="159"/>
        <v>626</v>
      </c>
      <c r="N663" s="591">
        <f t="shared" si="160"/>
        <v>15</v>
      </c>
      <c r="O663" s="591">
        <f t="shared" si="161"/>
        <v>419</v>
      </c>
      <c r="P663" s="315">
        <f t="shared" si="150"/>
        <v>64</v>
      </c>
      <c r="Q663" s="315">
        <f t="shared" si="151"/>
        <v>143</v>
      </c>
      <c r="R663" s="315">
        <f t="shared" si="152"/>
        <v>617</v>
      </c>
      <c r="S663" s="315">
        <f t="shared" si="153"/>
        <v>88</v>
      </c>
      <c r="T663" s="315">
        <f t="shared" si="154"/>
        <v>403</v>
      </c>
      <c r="U663" s="315">
        <f t="shared" si="155"/>
        <v>1315</v>
      </c>
      <c r="V663" s="591">
        <f t="shared" si="162"/>
        <v>372</v>
      </c>
      <c r="W663" s="598">
        <f t="shared" si="156"/>
        <v>372</v>
      </c>
    </row>
    <row r="664" spans="2:23" ht="15">
      <c r="B664" s="996" t="s">
        <v>1909</v>
      </c>
      <c r="C664" s="1043" t="s">
        <v>1910</v>
      </c>
      <c r="D664" s="1046"/>
      <c r="E664" s="1043" t="s">
        <v>1048</v>
      </c>
      <c r="F664" s="1032">
        <f>VALUE(Data.Sard!G662)</f>
        <v>2.2892256163364676E-2</v>
      </c>
      <c r="G664" s="844">
        <f>Data.Sard!J662</f>
        <v>0</v>
      </c>
      <c r="H664" s="1043">
        <v>13417770</v>
      </c>
      <c r="I664" s="264">
        <f>VALUE(Data.Sard!L662)</f>
        <v>0.59799999999999998</v>
      </c>
      <c r="J664" s="904">
        <f>Data.Sard!N662</f>
        <v>3.8294538230787357E-2</v>
      </c>
      <c r="K664" s="595">
        <f t="shared" si="157"/>
        <v>390</v>
      </c>
      <c r="L664" s="591">
        <f t="shared" si="158"/>
        <v>397</v>
      </c>
      <c r="M664" s="591">
        <f t="shared" si="159"/>
        <v>440</v>
      </c>
      <c r="N664" s="591">
        <f t="shared" si="160"/>
        <v>160</v>
      </c>
      <c r="O664" s="591">
        <f t="shared" si="161"/>
        <v>309</v>
      </c>
      <c r="P664" s="315">
        <f t="shared" si="150"/>
        <v>281</v>
      </c>
      <c r="Q664" s="315">
        <f t="shared" si="151"/>
        <v>187</v>
      </c>
      <c r="R664" s="315">
        <f t="shared" si="152"/>
        <v>431</v>
      </c>
      <c r="S664" s="315">
        <f t="shared" si="153"/>
        <v>57</v>
      </c>
      <c r="T664" s="315">
        <f t="shared" si="154"/>
        <v>293</v>
      </c>
      <c r="U664" s="315">
        <f t="shared" si="155"/>
        <v>1249</v>
      </c>
      <c r="V664" s="591">
        <f t="shared" si="162"/>
        <v>333</v>
      </c>
      <c r="W664" s="598">
        <f t="shared" si="156"/>
        <v>333</v>
      </c>
    </row>
    <row r="665" spans="2:23" ht="15">
      <c r="B665" s="996" t="s">
        <v>1911</v>
      </c>
      <c r="C665" s="1043" t="s">
        <v>1912</v>
      </c>
      <c r="D665" s="1046"/>
      <c r="E665" s="1043" t="s">
        <v>603</v>
      </c>
      <c r="F665" s="1032">
        <f>VALUE(Data.Sard!G663)</f>
        <v>2.16677919591523E-3</v>
      </c>
      <c r="G665" s="844">
        <f>Data.Sard!J663</f>
        <v>0.47016462035705536</v>
      </c>
      <c r="H665" s="1043">
        <v>2829115</v>
      </c>
      <c r="I665" s="264">
        <f>VALUE(Data.Sard!L663)</f>
        <v>149.57599999999999</v>
      </c>
      <c r="J665" s="904">
        <f>Data.Sard!N663</f>
        <v>-2.8708784454098482E-3</v>
      </c>
      <c r="K665" s="595">
        <f t="shared" si="157"/>
        <v>440</v>
      </c>
      <c r="L665" s="591">
        <f t="shared" si="158"/>
        <v>332</v>
      </c>
      <c r="M665" s="591">
        <f t="shared" si="159"/>
        <v>567</v>
      </c>
      <c r="N665" s="591">
        <f t="shared" si="160"/>
        <v>1</v>
      </c>
      <c r="O665" s="591">
        <f t="shared" si="161"/>
        <v>431</v>
      </c>
      <c r="P665" s="315">
        <f t="shared" si="150"/>
        <v>331</v>
      </c>
      <c r="Q665" s="315">
        <f t="shared" si="151"/>
        <v>122</v>
      </c>
      <c r="R665" s="315">
        <f t="shared" si="152"/>
        <v>558</v>
      </c>
      <c r="S665" s="315">
        <f t="shared" si="153"/>
        <v>102</v>
      </c>
      <c r="T665" s="315">
        <f t="shared" si="154"/>
        <v>415</v>
      </c>
      <c r="U665" s="315">
        <f t="shared" si="155"/>
        <v>1528</v>
      </c>
      <c r="V665" s="591">
        <f t="shared" si="162"/>
        <v>478</v>
      </c>
      <c r="W665" s="598">
        <f t="shared" si="156"/>
        <v>478</v>
      </c>
    </row>
    <row r="666" spans="2:23" ht="15">
      <c r="B666" s="1043" t="s">
        <v>1913</v>
      </c>
      <c r="C666" s="1043" t="s">
        <v>1914</v>
      </c>
      <c r="D666" s="1046"/>
      <c r="E666" s="1043" t="s">
        <v>584</v>
      </c>
      <c r="F666" s="1032">
        <f>VALUE(Data.Sard!G664)</f>
        <v>0.32933949548057784</v>
      </c>
      <c r="G666" s="844">
        <f>Data.Sard!J664</f>
        <v>1.2492098960729251E-3</v>
      </c>
      <c r="H666" s="1043">
        <v>1810661788</v>
      </c>
      <c r="I666" s="264">
        <f>VALUE(Data.Sard!L664)</f>
        <v>-0.16500000000000001</v>
      </c>
      <c r="J666" s="904">
        <f>Data.Sard!N664</f>
        <v>0.27881305819504348</v>
      </c>
      <c r="K666" s="595">
        <f t="shared" si="157"/>
        <v>46</v>
      </c>
      <c r="L666" s="591">
        <f t="shared" si="158"/>
        <v>396</v>
      </c>
      <c r="M666" s="591">
        <f t="shared" si="159"/>
        <v>41</v>
      </c>
      <c r="N666" s="591">
        <f t="shared" si="160"/>
        <v>332</v>
      </c>
      <c r="O666" s="591">
        <f t="shared" si="161"/>
        <v>20</v>
      </c>
      <c r="P666" s="315">
        <f t="shared" si="150"/>
        <v>63</v>
      </c>
      <c r="Q666" s="315">
        <f t="shared" si="151"/>
        <v>186</v>
      </c>
      <c r="R666" s="315">
        <f t="shared" si="152"/>
        <v>32</v>
      </c>
      <c r="S666" s="315">
        <f t="shared" si="153"/>
        <v>229</v>
      </c>
      <c r="T666" s="315">
        <f t="shared" si="154"/>
        <v>4</v>
      </c>
      <c r="U666" s="315">
        <f t="shared" si="155"/>
        <v>514</v>
      </c>
      <c r="V666" s="591">
        <f t="shared" si="162"/>
        <v>41</v>
      </c>
      <c r="W666" s="598">
        <f t="shared" si="156"/>
        <v>41</v>
      </c>
    </row>
    <row r="667" spans="2:23" ht="15">
      <c r="B667" s="1043" t="s">
        <v>1915</v>
      </c>
      <c r="C667" s="1043" t="s">
        <v>1916</v>
      </c>
      <c r="D667" s="1046"/>
      <c r="E667" s="1043" t="s">
        <v>611</v>
      </c>
      <c r="F667" s="1032">
        <f>VALUE(Data.Sard!G665)</f>
        <v>0.19749255741729771</v>
      </c>
      <c r="G667" s="844"/>
      <c r="H667" s="1043">
        <v>52424041</v>
      </c>
      <c r="I667" s="264">
        <f>VALUE(Data.Sard!L665)</f>
        <v>-0.38700000000000001</v>
      </c>
      <c r="J667" s="904">
        <f>Data.Sard!N665</f>
        <v>0.18818762836962377</v>
      </c>
      <c r="K667" s="595">
        <f t="shared" si="157"/>
        <v>110</v>
      </c>
      <c r="L667" s="591">
        <f t="shared" si="158"/>
        <v>397</v>
      </c>
      <c r="M667" s="591">
        <f t="shared" si="159"/>
        <v>289</v>
      </c>
      <c r="N667" s="591">
        <f t="shared" si="160"/>
        <v>370</v>
      </c>
      <c r="O667" s="591">
        <f t="shared" si="161"/>
        <v>57</v>
      </c>
      <c r="P667" s="315">
        <f t="shared" si="150"/>
        <v>1</v>
      </c>
      <c r="Q667" s="315">
        <f t="shared" si="151"/>
        <v>187</v>
      </c>
      <c r="R667" s="315">
        <f t="shared" si="152"/>
        <v>280</v>
      </c>
      <c r="S667" s="315">
        <f t="shared" si="153"/>
        <v>267</v>
      </c>
      <c r="T667" s="315">
        <f t="shared" si="154"/>
        <v>41</v>
      </c>
      <c r="U667" s="315">
        <f t="shared" si="155"/>
        <v>776</v>
      </c>
      <c r="V667" s="591">
        <f t="shared" si="162"/>
        <v>137</v>
      </c>
      <c r="W667" s="598">
        <f t="shared" si="156"/>
        <v>137</v>
      </c>
    </row>
    <row r="668" spans="2:23" ht="15">
      <c r="B668" s="1043" t="s">
        <v>1917</v>
      </c>
      <c r="C668" s="1043" t="s">
        <v>1918</v>
      </c>
      <c r="D668" s="1046"/>
      <c r="E668" s="1043" t="s">
        <v>541</v>
      </c>
      <c r="F668" s="1032"/>
      <c r="G668" s="844">
        <f>Data.Sard!J666</f>
        <v>5.8616455916651384</v>
      </c>
      <c r="H668" s="1043">
        <v>3313593</v>
      </c>
      <c r="I668" s="264">
        <f>VALUE(Data.Sard!L666)</f>
        <v>-7.2999999999999995E-2</v>
      </c>
      <c r="J668" s="904"/>
      <c r="K668" s="595">
        <f t="shared" si="157"/>
        <v>442</v>
      </c>
      <c r="L668" s="591">
        <f t="shared" si="158"/>
        <v>105</v>
      </c>
      <c r="M668" s="591">
        <f t="shared" si="159"/>
        <v>557</v>
      </c>
      <c r="N668" s="591">
        <f t="shared" si="160"/>
        <v>307</v>
      </c>
      <c r="O668" s="591">
        <f t="shared" si="161"/>
        <v>419</v>
      </c>
      <c r="P668" s="315">
        <f t="shared" si="150"/>
        <v>333</v>
      </c>
      <c r="Q668" s="315">
        <f t="shared" si="151"/>
        <v>105</v>
      </c>
      <c r="R668" s="315">
        <f t="shared" si="152"/>
        <v>548</v>
      </c>
      <c r="S668" s="315">
        <f t="shared" si="153"/>
        <v>204</v>
      </c>
      <c r="T668" s="315">
        <f t="shared" si="154"/>
        <v>403</v>
      </c>
      <c r="U668" s="315">
        <f t="shared" si="155"/>
        <v>1593</v>
      </c>
      <c r="V668" s="591">
        <f t="shared" si="162"/>
        <v>521</v>
      </c>
      <c r="W668" s="598">
        <f t="shared" si="156"/>
        <v>521</v>
      </c>
    </row>
    <row r="669" spans="2:23" ht="15">
      <c r="B669" s="1043" t="s">
        <v>1919</v>
      </c>
      <c r="C669" s="1043" t="s">
        <v>1920</v>
      </c>
      <c r="D669" s="1046"/>
      <c r="E669" s="1043" t="s">
        <v>611</v>
      </c>
      <c r="F669" s="1032">
        <f>VALUE(Data.Sard!G667)</f>
        <v>0.22918023618147187</v>
      </c>
      <c r="G669" s="844">
        <f>Data.Sard!J667</f>
        <v>0.10228034994255439</v>
      </c>
      <c r="H669" s="1043">
        <v>35973149</v>
      </c>
      <c r="I669" s="264"/>
      <c r="J669" s="904">
        <f>Data.Sard!N667</f>
        <v>5.5025606165211023E-2</v>
      </c>
      <c r="K669" s="595">
        <f t="shared" si="157"/>
        <v>88</v>
      </c>
      <c r="L669" s="591">
        <f t="shared" si="158"/>
        <v>376</v>
      </c>
      <c r="M669" s="591">
        <f t="shared" si="159"/>
        <v>331</v>
      </c>
      <c r="N669" s="591">
        <f t="shared" si="160"/>
        <v>285</v>
      </c>
      <c r="O669" s="591">
        <f t="shared" si="161"/>
        <v>265</v>
      </c>
      <c r="P669" s="315">
        <f t="shared" si="150"/>
        <v>21</v>
      </c>
      <c r="Q669" s="315">
        <f t="shared" si="151"/>
        <v>166</v>
      </c>
      <c r="R669" s="315">
        <f t="shared" si="152"/>
        <v>322</v>
      </c>
      <c r="S669" s="315">
        <f t="shared" si="153"/>
        <v>182</v>
      </c>
      <c r="T669" s="315">
        <f t="shared" si="154"/>
        <v>249</v>
      </c>
      <c r="U669" s="315">
        <f t="shared" si="155"/>
        <v>940</v>
      </c>
      <c r="V669" s="591">
        <f t="shared" si="162"/>
        <v>207</v>
      </c>
      <c r="W669" s="598">
        <f t="shared" si="156"/>
        <v>207</v>
      </c>
    </row>
    <row r="670" spans="2:23" ht="15">
      <c r="B670" s="1043" t="s">
        <v>1921</v>
      </c>
      <c r="C670" s="1043" t="s">
        <v>1922</v>
      </c>
      <c r="D670" s="1046"/>
      <c r="E670" s="1043" t="s">
        <v>556</v>
      </c>
      <c r="F670" s="1032">
        <f>VALUE(Data.Sard!G668)</f>
        <v>8.5541551276667863E-2</v>
      </c>
      <c r="G670" s="844">
        <f>Data.Sard!J668</f>
        <v>6.0757463060949295</v>
      </c>
      <c r="H670" s="1043">
        <v>21822408</v>
      </c>
      <c r="I670" s="264">
        <f>VALUE(Data.Sard!L668)</f>
        <v>0.45400000000000001</v>
      </c>
      <c r="J670" s="904">
        <f>Data.Sard!N668</f>
        <v>4.9741866066374089E-2</v>
      </c>
      <c r="K670" s="595">
        <f t="shared" si="157"/>
        <v>256</v>
      </c>
      <c r="L670" s="591">
        <f t="shared" si="158"/>
        <v>103</v>
      </c>
      <c r="M670" s="591">
        <f t="shared" si="159"/>
        <v>382</v>
      </c>
      <c r="N670" s="591">
        <f t="shared" si="160"/>
        <v>177</v>
      </c>
      <c r="O670" s="591">
        <f t="shared" si="161"/>
        <v>281</v>
      </c>
      <c r="P670" s="315">
        <f t="shared" si="150"/>
        <v>147</v>
      </c>
      <c r="Q670" s="315">
        <f t="shared" si="151"/>
        <v>107</v>
      </c>
      <c r="R670" s="315">
        <f t="shared" si="152"/>
        <v>373</v>
      </c>
      <c r="S670" s="315">
        <f t="shared" si="153"/>
        <v>74</v>
      </c>
      <c r="T670" s="315">
        <f t="shared" si="154"/>
        <v>265</v>
      </c>
      <c r="U670" s="315">
        <f t="shared" si="155"/>
        <v>966</v>
      </c>
      <c r="V670" s="591">
        <f t="shared" si="162"/>
        <v>222</v>
      </c>
      <c r="W670" s="598">
        <f t="shared" si="156"/>
        <v>222</v>
      </c>
    </row>
    <row r="671" spans="2:23" ht="15">
      <c r="B671" s="1043" t="s">
        <v>1923</v>
      </c>
      <c r="C671" s="1043" t="s">
        <v>1924</v>
      </c>
      <c r="D671" s="1046"/>
      <c r="E671" s="1043" t="s">
        <v>1048</v>
      </c>
      <c r="F671" s="1032">
        <f>VALUE(Data.Sard!G669)</f>
        <v>7.4263554036083632E-2</v>
      </c>
      <c r="G671" s="844">
        <f>Data.Sard!J669</f>
        <v>1.6970662740662554</v>
      </c>
      <c r="H671" s="1043">
        <v>42715868</v>
      </c>
      <c r="I671" s="264">
        <f>VALUE(Data.Sard!L669)</f>
        <v>-0.44</v>
      </c>
      <c r="J671" s="904">
        <f>Data.Sard!N669</f>
        <v>0.16814169795628739</v>
      </c>
      <c r="K671" s="595">
        <f t="shared" si="157"/>
        <v>278</v>
      </c>
      <c r="L671" s="591">
        <f t="shared" si="158"/>
        <v>259</v>
      </c>
      <c r="M671" s="591">
        <f t="shared" si="159"/>
        <v>309</v>
      </c>
      <c r="N671" s="591">
        <f t="shared" si="160"/>
        <v>378</v>
      </c>
      <c r="O671" s="591">
        <f t="shared" si="161"/>
        <v>74</v>
      </c>
      <c r="P671" s="315">
        <f t="shared" si="150"/>
        <v>169</v>
      </c>
      <c r="Q671" s="315">
        <f t="shared" si="151"/>
        <v>49</v>
      </c>
      <c r="R671" s="315">
        <f t="shared" si="152"/>
        <v>300</v>
      </c>
      <c r="S671" s="315">
        <f t="shared" si="153"/>
        <v>275</v>
      </c>
      <c r="T671" s="315">
        <f t="shared" si="154"/>
        <v>58</v>
      </c>
      <c r="U671" s="315">
        <f t="shared" si="155"/>
        <v>851</v>
      </c>
      <c r="V671" s="591">
        <f t="shared" si="162"/>
        <v>165</v>
      </c>
      <c r="W671" s="598">
        <f t="shared" si="156"/>
        <v>165</v>
      </c>
    </row>
    <row r="672" spans="2:23" ht="15">
      <c r="B672" s="1043" t="s">
        <v>1925</v>
      </c>
      <c r="C672" s="1043" t="s">
        <v>1926</v>
      </c>
      <c r="D672" s="1046"/>
      <c r="E672" s="1043" t="s">
        <v>603</v>
      </c>
      <c r="F672" s="1032">
        <f>VALUE(Data.Sard!G670)</f>
        <v>0.17543099504957835</v>
      </c>
      <c r="G672" s="844">
        <f>Data.Sard!J670</f>
        <v>-3.8337500000000002</v>
      </c>
      <c r="H672" s="1043">
        <v>50478833</v>
      </c>
      <c r="I672" s="264">
        <f>VALUE(Data.Sard!L670)</f>
        <v>2.4860000000000002</v>
      </c>
      <c r="J672" s="904">
        <f>Data.Sard!N670</f>
        <v>0.18051002000665678</v>
      </c>
      <c r="K672" s="595">
        <f t="shared" si="157"/>
        <v>126</v>
      </c>
      <c r="L672" s="591">
        <f t="shared" si="158"/>
        <v>530</v>
      </c>
      <c r="M672" s="591">
        <f t="shared" si="159"/>
        <v>295</v>
      </c>
      <c r="N672" s="591">
        <f t="shared" si="160"/>
        <v>40</v>
      </c>
      <c r="O672" s="591">
        <f t="shared" si="161"/>
        <v>65</v>
      </c>
      <c r="P672" s="315">
        <f t="shared" si="150"/>
        <v>17</v>
      </c>
      <c r="Q672" s="315">
        <f t="shared" si="151"/>
        <v>320</v>
      </c>
      <c r="R672" s="315">
        <f t="shared" si="152"/>
        <v>286</v>
      </c>
      <c r="S672" s="315">
        <f t="shared" si="153"/>
        <v>63</v>
      </c>
      <c r="T672" s="315">
        <f t="shared" si="154"/>
        <v>49</v>
      </c>
      <c r="U672" s="315">
        <f t="shared" si="155"/>
        <v>735</v>
      </c>
      <c r="V672" s="591">
        <f t="shared" si="162"/>
        <v>126</v>
      </c>
      <c r="W672" s="598">
        <f t="shared" si="156"/>
        <v>126</v>
      </c>
    </row>
    <row r="673" spans="2:23" ht="15">
      <c r="B673" s="1043" t="s">
        <v>1927</v>
      </c>
      <c r="C673" s="1043" t="s">
        <v>1928</v>
      </c>
      <c r="D673" s="1046"/>
      <c r="E673" s="1043" t="s">
        <v>570</v>
      </c>
      <c r="F673" s="1032">
        <f>VALUE(Data.Sard!G671)</f>
        <v>0.9255852364248861</v>
      </c>
      <c r="G673" s="844">
        <f>Data.Sard!J671</f>
        <v>0.92845976160830623</v>
      </c>
      <c r="H673" s="1043">
        <v>43736402</v>
      </c>
      <c r="I673" s="264">
        <f>VALUE(Data.Sard!L671)</f>
        <v>1.0569999999999999</v>
      </c>
      <c r="J673" s="904">
        <f>Data.Sard!N671</f>
        <v>-0.2682763246143528</v>
      </c>
      <c r="K673" s="595">
        <f t="shared" si="157"/>
        <v>16</v>
      </c>
      <c r="L673" s="591">
        <f t="shared" si="158"/>
        <v>298</v>
      </c>
      <c r="M673" s="591">
        <f t="shared" si="159"/>
        <v>308</v>
      </c>
      <c r="N673" s="591">
        <f t="shared" si="160"/>
        <v>96</v>
      </c>
      <c r="O673" s="591">
        <f t="shared" si="161"/>
        <v>544</v>
      </c>
      <c r="P673" s="315">
        <f t="shared" si="150"/>
        <v>93</v>
      </c>
      <c r="Q673" s="315">
        <f t="shared" si="151"/>
        <v>88</v>
      </c>
      <c r="R673" s="315">
        <f t="shared" si="152"/>
        <v>299</v>
      </c>
      <c r="S673" s="315">
        <f t="shared" si="153"/>
        <v>7</v>
      </c>
      <c r="T673" s="315">
        <f t="shared" si="154"/>
        <v>528</v>
      </c>
      <c r="U673" s="315">
        <f t="shared" si="155"/>
        <v>1015</v>
      </c>
      <c r="V673" s="591">
        <f t="shared" si="162"/>
        <v>246</v>
      </c>
      <c r="W673" s="598">
        <f t="shared" si="156"/>
        <v>246</v>
      </c>
    </row>
    <row r="674" spans="2:23" ht="15">
      <c r="B674" s="996" t="s">
        <v>1929</v>
      </c>
      <c r="C674" s="1043" t="s">
        <v>1930</v>
      </c>
      <c r="D674" s="1046"/>
      <c r="E674" s="1043" t="s">
        <v>736</v>
      </c>
      <c r="F674" s="1032">
        <f>VALUE(Data.Sard!G672)</f>
        <v>8.6987997845625775E-2</v>
      </c>
      <c r="G674" s="844">
        <f>Data.Sard!J672</f>
        <v>4.786723869633561</v>
      </c>
      <c r="H674" s="1043">
        <v>237927047</v>
      </c>
      <c r="I674" s="264">
        <f>VALUE(Data.Sard!L672)</f>
        <v>0.129</v>
      </c>
      <c r="J674" s="904">
        <f>Data.Sard!N672</f>
        <v>0.11321365825907717</v>
      </c>
      <c r="K674" s="595">
        <f t="shared" si="157"/>
        <v>250</v>
      </c>
      <c r="L674" s="591">
        <f t="shared" si="158"/>
        <v>126</v>
      </c>
      <c r="M674" s="591">
        <f t="shared" si="159"/>
        <v>161</v>
      </c>
      <c r="N674" s="591">
        <f t="shared" si="160"/>
        <v>255</v>
      </c>
      <c r="O674" s="591">
        <f t="shared" si="161"/>
        <v>125</v>
      </c>
      <c r="P674" s="315">
        <f t="shared" si="150"/>
        <v>141</v>
      </c>
      <c r="Q674" s="315">
        <f t="shared" si="151"/>
        <v>84</v>
      </c>
      <c r="R674" s="315">
        <f t="shared" si="152"/>
        <v>152</v>
      </c>
      <c r="S674" s="315">
        <f t="shared" si="153"/>
        <v>152</v>
      </c>
      <c r="T674" s="315">
        <f t="shared" si="154"/>
        <v>109</v>
      </c>
      <c r="U674" s="315">
        <f t="shared" si="155"/>
        <v>638</v>
      </c>
      <c r="V674" s="591">
        <f t="shared" si="162"/>
        <v>88</v>
      </c>
      <c r="W674" s="598">
        <f t="shared" si="156"/>
        <v>88</v>
      </c>
    </row>
    <row r="675" spans="2:23" ht="15">
      <c r="B675" s="1043" t="s">
        <v>1931</v>
      </c>
      <c r="C675" s="1043" t="s">
        <v>1932</v>
      </c>
      <c r="D675" s="1046"/>
      <c r="E675" s="1043" t="s">
        <v>532</v>
      </c>
      <c r="F675" s="1032">
        <f>VALUE(Data.Sard!G673)</f>
        <v>0.16144468484135124</v>
      </c>
      <c r="G675" s="844">
        <f>Data.Sard!J673</f>
        <v>47.519298985424797</v>
      </c>
      <c r="H675" s="1043">
        <v>2983698335</v>
      </c>
      <c r="I675" s="264">
        <f>VALUE(Data.Sard!L673)</f>
        <v>-7.9000000000000001E-2</v>
      </c>
      <c r="J675" s="904">
        <f>Data.Sard!N673</f>
        <v>0.10928991587785603</v>
      </c>
      <c r="K675" s="595">
        <f t="shared" si="157"/>
        <v>147</v>
      </c>
      <c r="L675" s="591">
        <f t="shared" si="158"/>
        <v>11</v>
      </c>
      <c r="M675" s="591">
        <f t="shared" si="159"/>
        <v>32</v>
      </c>
      <c r="N675" s="591">
        <f t="shared" si="160"/>
        <v>310</v>
      </c>
      <c r="O675" s="591">
        <f t="shared" si="161"/>
        <v>133</v>
      </c>
      <c r="P675" s="315">
        <f t="shared" si="150"/>
        <v>38</v>
      </c>
      <c r="Q675" s="315">
        <f t="shared" si="151"/>
        <v>199</v>
      </c>
      <c r="R675" s="315">
        <f t="shared" si="152"/>
        <v>23</v>
      </c>
      <c r="S675" s="315">
        <f t="shared" si="153"/>
        <v>207</v>
      </c>
      <c r="T675" s="315">
        <f t="shared" si="154"/>
        <v>117</v>
      </c>
      <c r="U675" s="315">
        <f t="shared" si="155"/>
        <v>584</v>
      </c>
      <c r="V675" s="591">
        <f t="shared" si="162"/>
        <v>60</v>
      </c>
      <c r="W675" s="598">
        <f t="shared" si="156"/>
        <v>60</v>
      </c>
    </row>
    <row r="676" spans="2:23" ht="15">
      <c r="B676" s="996" t="s">
        <v>1933</v>
      </c>
      <c r="C676" s="1043" t="s">
        <v>1934</v>
      </c>
      <c r="D676" s="1046"/>
      <c r="E676" s="1043" t="s">
        <v>875</v>
      </c>
      <c r="F676" s="1032">
        <f>VALUE(Data.Sard!G674)</f>
        <v>-0.29908861127261555</v>
      </c>
      <c r="G676" s="844">
        <f>Data.Sard!J674</f>
        <v>0.10398410942601342</v>
      </c>
      <c r="H676" s="1043">
        <v>25384761</v>
      </c>
      <c r="I676" s="264">
        <f>VALUE(Data.Sard!L674)</f>
        <v>0.89300000000000002</v>
      </c>
      <c r="J676" s="904">
        <f>Data.Sard!N674</f>
        <v>6.6152162192016526E-3</v>
      </c>
      <c r="K676" s="595">
        <f t="shared" si="157"/>
        <v>556</v>
      </c>
      <c r="L676" s="591">
        <f t="shared" si="158"/>
        <v>375</v>
      </c>
      <c r="M676" s="591">
        <f t="shared" si="159"/>
        <v>363</v>
      </c>
      <c r="N676" s="591">
        <f t="shared" si="160"/>
        <v>119</v>
      </c>
      <c r="O676" s="591">
        <f t="shared" si="161"/>
        <v>405</v>
      </c>
      <c r="P676" s="315">
        <f t="shared" si="150"/>
        <v>447</v>
      </c>
      <c r="Q676" s="315">
        <f t="shared" si="151"/>
        <v>165</v>
      </c>
      <c r="R676" s="315">
        <f t="shared" si="152"/>
        <v>354</v>
      </c>
      <c r="S676" s="315">
        <f t="shared" si="153"/>
        <v>16</v>
      </c>
      <c r="T676" s="315">
        <f t="shared" si="154"/>
        <v>389</v>
      </c>
      <c r="U676" s="315">
        <f t="shared" si="155"/>
        <v>1371</v>
      </c>
      <c r="V676" s="591">
        <f t="shared" si="162"/>
        <v>396</v>
      </c>
      <c r="W676" s="598">
        <f t="shared" si="156"/>
        <v>396</v>
      </c>
    </row>
    <row r="677" spans="2:23" ht="15">
      <c r="B677" s="1043" t="s">
        <v>1935</v>
      </c>
      <c r="C677" s="1043" t="s">
        <v>1936</v>
      </c>
      <c r="D677" s="1046"/>
      <c r="E677" s="1043" t="s">
        <v>706</v>
      </c>
      <c r="F677" s="1032">
        <f>VALUE(Data.Sard!G675)</f>
        <v>0.16623692812057295</v>
      </c>
      <c r="G677" s="844">
        <f>Data.Sard!J675</f>
        <v>0.83673824780045181</v>
      </c>
      <c r="H677" s="1043">
        <v>267774843</v>
      </c>
      <c r="I677" s="264">
        <f>VALUE(Data.Sard!L675)</f>
        <v>-0.11</v>
      </c>
      <c r="J677" s="904">
        <f>Data.Sard!N675</f>
        <v>0.15505987731395587</v>
      </c>
      <c r="K677" s="595">
        <f t="shared" si="157"/>
        <v>141</v>
      </c>
      <c r="L677" s="591">
        <f t="shared" si="158"/>
        <v>304</v>
      </c>
      <c r="M677" s="591">
        <f t="shared" si="159"/>
        <v>146</v>
      </c>
      <c r="N677" s="591">
        <f t="shared" si="160"/>
        <v>322</v>
      </c>
      <c r="O677" s="591">
        <f t="shared" si="161"/>
        <v>91</v>
      </c>
      <c r="P677" s="315">
        <f t="shared" ref="P677:P706" si="163">IFERROR(ABS(K$3-K677),"N/A")</f>
        <v>32</v>
      </c>
      <c r="Q677" s="315">
        <f t="shared" ref="Q677:Q706" si="164">IFERROR(ABS(L$3-L677),"N/A")</f>
        <v>94</v>
      </c>
      <c r="R677" s="315">
        <f t="shared" ref="R677:R706" si="165">IFERROR(ABS(M$3-M677),"N/A")</f>
        <v>137</v>
      </c>
      <c r="S677" s="315">
        <f t="shared" ref="S677:S706" si="166">IFERROR(ABS(N$3-N677),"N/A")</f>
        <v>219</v>
      </c>
      <c r="T677" s="315">
        <f t="shared" ref="T677:T706" si="167">IFERROR(ABS(O$3-O677),"N/A")</f>
        <v>75</v>
      </c>
      <c r="U677" s="315">
        <f t="shared" ref="U677:U706" si="168">SUM(P677:T677)</f>
        <v>557</v>
      </c>
      <c r="V677" s="591">
        <f t="shared" si="162"/>
        <v>52</v>
      </c>
      <c r="W677" s="598">
        <f t="shared" ref="W677:W706" si="169">IF(Y677="Not suitable","-",V677)</f>
        <v>52</v>
      </c>
    </row>
    <row r="678" spans="2:23" ht="15">
      <c r="B678" s="996" t="s">
        <v>1937</v>
      </c>
      <c r="C678" s="1043" t="s">
        <v>1938</v>
      </c>
      <c r="D678" s="1046"/>
      <c r="E678" s="1043" t="s">
        <v>696</v>
      </c>
      <c r="F678" s="1032">
        <f>VALUE(Data.Sard!G676)</f>
        <v>0.512935971863556</v>
      </c>
      <c r="G678" s="844">
        <f>Data.Sard!J676</f>
        <v>3.6821303506831078</v>
      </c>
      <c r="H678" s="1043">
        <v>141731576</v>
      </c>
      <c r="I678" s="264">
        <f>VALUE(Data.Sard!L676)</f>
        <v>-8.5999999999999993E-2</v>
      </c>
      <c r="J678" s="904">
        <f>Data.Sard!N676</f>
        <v>0.24067608461654183</v>
      </c>
      <c r="K678" s="595">
        <f t="shared" si="157"/>
        <v>29</v>
      </c>
      <c r="L678" s="591">
        <f t="shared" si="158"/>
        <v>157</v>
      </c>
      <c r="M678" s="591">
        <f t="shared" si="159"/>
        <v>197</v>
      </c>
      <c r="N678" s="591">
        <f t="shared" si="160"/>
        <v>312</v>
      </c>
      <c r="O678" s="591">
        <f t="shared" si="161"/>
        <v>30</v>
      </c>
      <c r="P678" s="315">
        <f t="shared" si="163"/>
        <v>80</v>
      </c>
      <c r="Q678" s="315">
        <f t="shared" si="164"/>
        <v>53</v>
      </c>
      <c r="R678" s="315">
        <f t="shared" si="165"/>
        <v>188</v>
      </c>
      <c r="S678" s="315">
        <f t="shared" si="166"/>
        <v>209</v>
      </c>
      <c r="T678" s="315">
        <f t="shared" si="167"/>
        <v>14</v>
      </c>
      <c r="U678" s="315">
        <f t="shared" si="168"/>
        <v>544</v>
      </c>
      <c r="V678" s="591">
        <f t="shared" si="162"/>
        <v>46</v>
      </c>
      <c r="W678" s="598">
        <f t="shared" si="169"/>
        <v>46</v>
      </c>
    </row>
    <row r="679" spans="2:23" ht="15">
      <c r="B679" s="996" t="s">
        <v>1939</v>
      </c>
      <c r="C679" s="1043" t="s">
        <v>1940</v>
      </c>
      <c r="D679" s="1046"/>
      <c r="E679" s="1043" t="s">
        <v>603</v>
      </c>
      <c r="F679" s="1032">
        <f>VALUE(Data.Sard!G677)</f>
        <v>5.9626535982162526E-2</v>
      </c>
      <c r="G679" s="844">
        <f>Data.Sard!J677</f>
        <v>8.2988559977758836E-2</v>
      </c>
      <c r="H679" s="1043">
        <v>6582524</v>
      </c>
      <c r="I679" s="264">
        <f>VALUE(Data.Sard!L677)</f>
        <v>1.1220000000000001</v>
      </c>
      <c r="J679" s="904">
        <f>Data.Sard!N677</f>
        <v>2.8081084624023495E-2</v>
      </c>
      <c r="K679" s="595">
        <f t="shared" si="157"/>
        <v>305</v>
      </c>
      <c r="L679" s="591">
        <f t="shared" si="158"/>
        <v>381</v>
      </c>
      <c r="M679" s="591">
        <f t="shared" si="159"/>
        <v>509</v>
      </c>
      <c r="N679" s="591">
        <f t="shared" si="160"/>
        <v>86</v>
      </c>
      <c r="O679" s="591">
        <f t="shared" si="161"/>
        <v>342</v>
      </c>
      <c r="P679" s="315">
        <f t="shared" si="163"/>
        <v>196</v>
      </c>
      <c r="Q679" s="315">
        <f t="shared" si="164"/>
        <v>171</v>
      </c>
      <c r="R679" s="315">
        <f t="shared" si="165"/>
        <v>500</v>
      </c>
      <c r="S679" s="315">
        <f t="shared" si="166"/>
        <v>17</v>
      </c>
      <c r="T679" s="315">
        <f t="shared" si="167"/>
        <v>326</v>
      </c>
      <c r="U679" s="315">
        <f t="shared" si="168"/>
        <v>1210</v>
      </c>
      <c r="V679" s="591">
        <f t="shared" si="162"/>
        <v>311</v>
      </c>
      <c r="W679" s="598">
        <f t="shared" si="169"/>
        <v>311</v>
      </c>
    </row>
    <row r="680" spans="2:23" ht="15">
      <c r="B680" s="1043" t="s">
        <v>1941</v>
      </c>
      <c r="C680" s="1043" t="s">
        <v>1942</v>
      </c>
      <c r="D680" s="1046"/>
      <c r="E680" s="1043" t="s">
        <v>584</v>
      </c>
      <c r="F680" s="1032">
        <f>VALUE(Data.Sard!G678)</f>
        <v>0.15197301794246459</v>
      </c>
      <c r="G680" s="844">
        <f>Data.Sard!J678</f>
        <v>3.2479557443391114</v>
      </c>
      <c r="H680" s="1043">
        <v>84969468</v>
      </c>
      <c r="I680" s="264">
        <f>VALUE(Data.Sard!L678)</f>
        <v>-0.26</v>
      </c>
      <c r="J680" s="904">
        <f>Data.Sard!N678</f>
        <v>0.19832044765004</v>
      </c>
      <c r="K680" s="595">
        <f t="shared" si="157"/>
        <v>154</v>
      </c>
      <c r="L680" s="591">
        <f t="shared" si="158"/>
        <v>172</v>
      </c>
      <c r="M680" s="591">
        <f t="shared" si="159"/>
        <v>246</v>
      </c>
      <c r="N680" s="591">
        <f t="shared" si="160"/>
        <v>350</v>
      </c>
      <c r="O680" s="591">
        <f t="shared" si="161"/>
        <v>51</v>
      </c>
      <c r="P680" s="315">
        <f t="shared" si="163"/>
        <v>45</v>
      </c>
      <c r="Q680" s="315">
        <f t="shared" si="164"/>
        <v>38</v>
      </c>
      <c r="R680" s="315">
        <f t="shared" si="165"/>
        <v>237</v>
      </c>
      <c r="S680" s="315">
        <f t="shared" si="166"/>
        <v>247</v>
      </c>
      <c r="T680" s="315">
        <f t="shared" si="167"/>
        <v>35</v>
      </c>
      <c r="U680" s="315">
        <f t="shared" si="168"/>
        <v>602</v>
      </c>
      <c r="V680" s="591">
        <f t="shared" si="162"/>
        <v>72</v>
      </c>
      <c r="W680" s="598">
        <f t="shared" si="169"/>
        <v>72</v>
      </c>
    </row>
    <row r="681" spans="2:23" ht="15">
      <c r="B681" s="996" t="s">
        <v>1943</v>
      </c>
      <c r="C681" s="1043" t="s">
        <v>1944</v>
      </c>
      <c r="D681" s="1046"/>
      <c r="E681" s="1043" t="s">
        <v>696</v>
      </c>
      <c r="F681" s="1032">
        <f>VALUE(Data.Sard!G679)</f>
        <v>0.27643491393416575</v>
      </c>
      <c r="G681" s="844">
        <f>Data.Sard!J679</f>
        <v>0.91581764636012575</v>
      </c>
      <c r="H681" s="1043">
        <v>90006247</v>
      </c>
      <c r="I681" s="264">
        <f>VALUE(Data.Sard!L679)</f>
        <v>-0.13600000000000001</v>
      </c>
      <c r="J681" s="904">
        <f>Data.Sard!N679</f>
        <v>0.25014549077187687</v>
      </c>
      <c r="K681" s="595">
        <f t="shared" si="157"/>
        <v>70</v>
      </c>
      <c r="L681" s="591">
        <f t="shared" si="158"/>
        <v>299</v>
      </c>
      <c r="M681" s="591">
        <f t="shared" si="159"/>
        <v>241</v>
      </c>
      <c r="N681" s="591">
        <f t="shared" si="160"/>
        <v>328</v>
      </c>
      <c r="O681" s="591">
        <f t="shared" si="161"/>
        <v>28</v>
      </c>
      <c r="P681" s="315">
        <f t="shared" si="163"/>
        <v>39</v>
      </c>
      <c r="Q681" s="315">
        <f t="shared" si="164"/>
        <v>89</v>
      </c>
      <c r="R681" s="315">
        <f t="shared" si="165"/>
        <v>232</v>
      </c>
      <c r="S681" s="315">
        <f t="shared" si="166"/>
        <v>225</v>
      </c>
      <c r="T681" s="315">
        <f t="shared" si="167"/>
        <v>12</v>
      </c>
      <c r="U681" s="315">
        <f t="shared" si="168"/>
        <v>597</v>
      </c>
      <c r="V681" s="591">
        <f t="shared" si="162"/>
        <v>69</v>
      </c>
      <c r="W681" s="598">
        <f t="shared" si="169"/>
        <v>69</v>
      </c>
    </row>
    <row r="682" spans="2:23" ht="15">
      <c r="B682" s="996" t="s">
        <v>1945</v>
      </c>
      <c r="C682" s="1043" t="s">
        <v>1946</v>
      </c>
      <c r="D682" s="1046"/>
      <c r="E682" s="1043" t="s">
        <v>696</v>
      </c>
      <c r="F682" s="1032">
        <f>VALUE(Data.Sard!G680)</f>
        <v>0.40952454020416418</v>
      </c>
      <c r="G682" s="844">
        <f>Data.Sard!J680</f>
        <v>-0.9445764257619077</v>
      </c>
      <c r="H682" s="1043">
        <v>255162076</v>
      </c>
      <c r="I682" s="264">
        <f>VALUE(Data.Sard!L680)</f>
        <v>5.0490000000000004</v>
      </c>
      <c r="J682" s="904">
        <f>Data.Sard!N680</f>
        <v>0.12766797133578994</v>
      </c>
      <c r="K682" s="595">
        <f t="shared" si="157"/>
        <v>37</v>
      </c>
      <c r="L682" s="591">
        <f t="shared" si="158"/>
        <v>481</v>
      </c>
      <c r="M682" s="591">
        <f t="shared" si="159"/>
        <v>152</v>
      </c>
      <c r="N682" s="591">
        <f t="shared" si="160"/>
        <v>22</v>
      </c>
      <c r="O682" s="591">
        <f t="shared" si="161"/>
        <v>111</v>
      </c>
      <c r="P682" s="315">
        <f t="shared" si="163"/>
        <v>72</v>
      </c>
      <c r="Q682" s="315">
        <f t="shared" si="164"/>
        <v>271</v>
      </c>
      <c r="R682" s="315">
        <f t="shared" si="165"/>
        <v>143</v>
      </c>
      <c r="S682" s="315">
        <f t="shared" si="166"/>
        <v>81</v>
      </c>
      <c r="T682" s="315">
        <f t="shared" si="167"/>
        <v>95</v>
      </c>
      <c r="U682" s="315">
        <f t="shared" si="168"/>
        <v>662</v>
      </c>
      <c r="V682" s="591">
        <f t="shared" si="162"/>
        <v>99</v>
      </c>
      <c r="W682" s="598">
        <f t="shared" si="169"/>
        <v>99</v>
      </c>
    </row>
    <row r="683" spans="2:23" ht="15">
      <c r="B683" s="1043" t="s">
        <v>1947</v>
      </c>
      <c r="C683" s="1043" t="s">
        <v>1948</v>
      </c>
      <c r="D683" s="1046"/>
      <c r="E683" s="1043" t="s">
        <v>570</v>
      </c>
      <c r="F683" s="1032">
        <f>VALUE(Data.Sard!G681)</f>
        <v>2.3118680037849275</v>
      </c>
      <c r="G683" s="844">
        <f>Data.Sard!J681</f>
        <v>3.2394037317886668</v>
      </c>
      <c r="H683" s="1043">
        <v>9909864</v>
      </c>
      <c r="I683" s="264">
        <f>VALUE(Data.Sard!L681)</f>
        <v>1.1879999999999999</v>
      </c>
      <c r="J683" s="904">
        <f>Data.Sard!N681</f>
        <v>-4.9962261830217374</v>
      </c>
      <c r="K683" s="595">
        <f t="shared" si="157"/>
        <v>10</v>
      </c>
      <c r="L683" s="591">
        <f t="shared" si="158"/>
        <v>173</v>
      </c>
      <c r="M683" s="591">
        <f t="shared" si="159"/>
        <v>469</v>
      </c>
      <c r="N683" s="591">
        <f t="shared" si="160"/>
        <v>81</v>
      </c>
      <c r="O683" s="591">
        <f t="shared" si="161"/>
        <v>591</v>
      </c>
      <c r="P683" s="315">
        <f t="shared" si="163"/>
        <v>99</v>
      </c>
      <c r="Q683" s="315">
        <f t="shared" si="164"/>
        <v>37</v>
      </c>
      <c r="R683" s="315">
        <f t="shared" si="165"/>
        <v>460</v>
      </c>
      <c r="S683" s="315">
        <f t="shared" si="166"/>
        <v>22</v>
      </c>
      <c r="T683" s="315">
        <f t="shared" si="167"/>
        <v>575</v>
      </c>
      <c r="U683" s="315">
        <f t="shared" si="168"/>
        <v>1193</v>
      </c>
      <c r="V683" s="591">
        <f t="shared" si="162"/>
        <v>304</v>
      </c>
      <c r="W683" s="598">
        <f t="shared" si="169"/>
        <v>304</v>
      </c>
    </row>
    <row r="684" spans="2:23" ht="15">
      <c r="B684" s="1043" t="s">
        <v>1949</v>
      </c>
      <c r="C684" s="1043" t="s">
        <v>1950</v>
      </c>
      <c r="D684" s="1046"/>
      <c r="E684" s="1043" t="s">
        <v>562</v>
      </c>
      <c r="F684" s="1032">
        <f>VALUE(Data.Sard!G682)</f>
        <v>0.11487025069529745</v>
      </c>
      <c r="G684" s="844">
        <f>Data.Sard!J682</f>
        <v>6.6268803183998888E-3</v>
      </c>
      <c r="H684" s="1043">
        <v>39668467</v>
      </c>
      <c r="I684" s="264">
        <f>VALUE(Data.Sard!L682)</f>
        <v>-1.1639999999999999</v>
      </c>
      <c r="J684" s="904">
        <f>Data.Sard!N682</f>
        <v>0.16302603177700917</v>
      </c>
      <c r="K684" s="595">
        <f t="shared" si="157"/>
        <v>202</v>
      </c>
      <c r="L684" s="591">
        <f t="shared" si="158"/>
        <v>393</v>
      </c>
      <c r="M684" s="591">
        <f t="shared" si="159"/>
        <v>322</v>
      </c>
      <c r="N684" s="591">
        <f t="shared" si="160"/>
        <v>446</v>
      </c>
      <c r="O684" s="591">
        <f t="shared" si="161"/>
        <v>82</v>
      </c>
      <c r="P684" s="315">
        <f t="shared" si="163"/>
        <v>93</v>
      </c>
      <c r="Q684" s="315">
        <f t="shared" si="164"/>
        <v>183</v>
      </c>
      <c r="R684" s="315">
        <f t="shared" si="165"/>
        <v>313</v>
      </c>
      <c r="S684" s="315">
        <f t="shared" si="166"/>
        <v>343</v>
      </c>
      <c r="T684" s="315">
        <f t="shared" si="167"/>
        <v>66</v>
      </c>
      <c r="U684" s="315">
        <f t="shared" si="168"/>
        <v>998</v>
      </c>
      <c r="V684" s="591">
        <f t="shared" si="162"/>
        <v>237</v>
      </c>
      <c r="W684" s="598">
        <f t="shared" si="169"/>
        <v>237</v>
      </c>
    </row>
    <row r="685" spans="2:23" ht="15">
      <c r="B685" s="996" t="s">
        <v>1951</v>
      </c>
      <c r="C685" s="1043" t="s">
        <v>1952</v>
      </c>
      <c r="D685" s="1046"/>
      <c r="E685" s="1043" t="s">
        <v>736</v>
      </c>
      <c r="F685" s="1032">
        <f>VALUE(Data.Sard!G683)</f>
        <v>0.14938110552751785</v>
      </c>
      <c r="G685" s="844"/>
      <c r="H685" s="1043">
        <v>344375594</v>
      </c>
      <c r="I685" s="264">
        <f>VALUE(Data.Sard!L683)</f>
        <v>-6.6000000000000003E-2</v>
      </c>
      <c r="J685" s="904">
        <f>Data.Sard!N683</f>
        <v>0.19497117865633401</v>
      </c>
      <c r="K685" s="595">
        <f t="shared" si="157"/>
        <v>157</v>
      </c>
      <c r="L685" s="591">
        <f t="shared" si="158"/>
        <v>397</v>
      </c>
      <c r="M685" s="591">
        <f t="shared" si="159"/>
        <v>122</v>
      </c>
      <c r="N685" s="591">
        <f t="shared" si="160"/>
        <v>304</v>
      </c>
      <c r="O685" s="591">
        <f t="shared" si="161"/>
        <v>53</v>
      </c>
      <c r="P685" s="315">
        <f t="shared" si="163"/>
        <v>48</v>
      </c>
      <c r="Q685" s="315">
        <f t="shared" si="164"/>
        <v>187</v>
      </c>
      <c r="R685" s="315">
        <f t="shared" si="165"/>
        <v>113</v>
      </c>
      <c r="S685" s="315">
        <f t="shared" si="166"/>
        <v>201</v>
      </c>
      <c r="T685" s="315">
        <f t="shared" si="167"/>
        <v>37</v>
      </c>
      <c r="U685" s="315">
        <f t="shared" si="168"/>
        <v>586</v>
      </c>
      <c r="V685" s="591">
        <f t="shared" si="162"/>
        <v>61</v>
      </c>
      <c r="W685" s="598">
        <f t="shared" si="169"/>
        <v>61</v>
      </c>
    </row>
    <row r="686" spans="2:23" ht="15">
      <c r="B686" s="996" t="s">
        <v>1953</v>
      </c>
      <c r="C686" s="1043" t="s">
        <v>1954</v>
      </c>
      <c r="D686" s="1046"/>
      <c r="E686" s="1043" t="s">
        <v>736</v>
      </c>
      <c r="F686" s="1032">
        <f>VALUE(Data.Sard!G684)</f>
        <v>0</v>
      </c>
      <c r="G686" s="844">
        <f>Data.Sard!J684</f>
        <v>0</v>
      </c>
      <c r="H686" s="1043">
        <v>318716873</v>
      </c>
      <c r="I686" s="264">
        <f>VALUE(Data.Sard!L684)</f>
        <v>6.5000000000000002E-2</v>
      </c>
      <c r="J686" s="904">
        <f>Data.Sard!N684</f>
        <v>0</v>
      </c>
      <c r="K686" s="595">
        <f t="shared" si="157"/>
        <v>442</v>
      </c>
      <c r="L686" s="591">
        <f t="shared" si="158"/>
        <v>397</v>
      </c>
      <c r="M686" s="591">
        <f t="shared" si="159"/>
        <v>130</v>
      </c>
      <c r="N686" s="591">
        <f t="shared" si="160"/>
        <v>271</v>
      </c>
      <c r="O686" s="591">
        <f t="shared" si="161"/>
        <v>419</v>
      </c>
      <c r="P686" s="315">
        <f t="shared" si="163"/>
        <v>333</v>
      </c>
      <c r="Q686" s="315">
        <f t="shared" si="164"/>
        <v>187</v>
      </c>
      <c r="R686" s="315">
        <f t="shared" si="165"/>
        <v>121</v>
      </c>
      <c r="S686" s="315">
        <f t="shared" si="166"/>
        <v>168</v>
      </c>
      <c r="T686" s="315">
        <f t="shared" si="167"/>
        <v>403</v>
      </c>
      <c r="U686" s="315">
        <f t="shared" si="168"/>
        <v>1212</v>
      </c>
      <c r="V686" s="591">
        <f t="shared" si="162"/>
        <v>313</v>
      </c>
      <c r="W686" s="598">
        <f t="shared" si="169"/>
        <v>313</v>
      </c>
    </row>
    <row r="687" spans="2:23" ht="15">
      <c r="B687" s="1043" t="s">
        <v>1955</v>
      </c>
      <c r="C687" s="1043" t="s">
        <v>1956</v>
      </c>
      <c r="D687" s="1046"/>
      <c r="E687" s="1043" t="s">
        <v>611</v>
      </c>
      <c r="F687" s="1032">
        <f>VALUE(Data.Sard!G685)</f>
        <v>4.9431867541975837E-2</v>
      </c>
      <c r="G687" s="844">
        <f>Data.Sard!J685</f>
        <v>13.547472904887158</v>
      </c>
      <c r="H687" s="1043">
        <v>28247513</v>
      </c>
      <c r="I687" s="264"/>
      <c r="J687" s="904">
        <f>Data.Sard!N685</f>
        <v>5.9536447830950211E-2</v>
      </c>
      <c r="K687" s="595">
        <f t="shared" si="157"/>
        <v>331</v>
      </c>
      <c r="L687" s="591">
        <f t="shared" si="158"/>
        <v>45</v>
      </c>
      <c r="M687" s="591">
        <f t="shared" si="159"/>
        <v>348</v>
      </c>
      <c r="N687" s="591">
        <f t="shared" si="160"/>
        <v>285</v>
      </c>
      <c r="O687" s="591">
        <f t="shared" si="161"/>
        <v>244</v>
      </c>
      <c r="P687" s="315">
        <f t="shared" si="163"/>
        <v>222</v>
      </c>
      <c r="Q687" s="315">
        <f t="shared" si="164"/>
        <v>165</v>
      </c>
      <c r="R687" s="315">
        <f t="shared" si="165"/>
        <v>339</v>
      </c>
      <c r="S687" s="315">
        <f t="shared" si="166"/>
        <v>182</v>
      </c>
      <c r="T687" s="315">
        <f t="shared" si="167"/>
        <v>228</v>
      </c>
      <c r="U687" s="315">
        <f t="shared" si="168"/>
        <v>1136</v>
      </c>
      <c r="V687" s="591">
        <f t="shared" si="162"/>
        <v>288</v>
      </c>
      <c r="W687" s="598">
        <f t="shared" si="169"/>
        <v>288</v>
      </c>
    </row>
    <row r="688" spans="2:23" ht="15">
      <c r="B688" s="1043" t="s">
        <v>1957</v>
      </c>
      <c r="C688" s="1043" t="s">
        <v>1958</v>
      </c>
      <c r="D688" s="1046"/>
      <c r="E688" s="1043" t="s">
        <v>603</v>
      </c>
      <c r="F688" s="1032">
        <f>VALUE(Data.Sard!G686)</f>
        <v>8.3844060287092306E-2</v>
      </c>
      <c r="G688" s="844">
        <f>Data.Sard!J686</f>
        <v>3.2545695473759313</v>
      </c>
      <c r="H688" s="1043">
        <v>4913425</v>
      </c>
      <c r="I688" s="264">
        <f>VALUE(Data.Sard!L686)</f>
        <v>-2.0259999999999998</v>
      </c>
      <c r="J688" s="904">
        <f>Data.Sard!N686</f>
        <v>9.1734470024695633E-2</v>
      </c>
      <c r="K688" s="595">
        <f t="shared" si="157"/>
        <v>261</v>
      </c>
      <c r="L688" s="591">
        <f t="shared" si="158"/>
        <v>171</v>
      </c>
      <c r="M688" s="591">
        <f t="shared" si="159"/>
        <v>526</v>
      </c>
      <c r="N688" s="591">
        <f t="shared" si="160"/>
        <v>486</v>
      </c>
      <c r="O688" s="591">
        <f t="shared" si="161"/>
        <v>172</v>
      </c>
      <c r="P688" s="315">
        <f t="shared" si="163"/>
        <v>152</v>
      </c>
      <c r="Q688" s="315">
        <f t="shared" si="164"/>
        <v>39</v>
      </c>
      <c r="R688" s="315">
        <f t="shared" si="165"/>
        <v>517</v>
      </c>
      <c r="S688" s="315">
        <f t="shared" si="166"/>
        <v>383</v>
      </c>
      <c r="T688" s="315">
        <f t="shared" si="167"/>
        <v>156</v>
      </c>
      <c r="U688" s="315">
        <f t="shared" si="168"/>
        <v>1247</v>
      </c>
      <c r="V688" s="591">
        <f t="shared" si="162"/>
        <v>331</v>
      </c>
      <c r="W688" s="598">
        <f t="shared" si="169"/>
        <v>331</v>
      </c>
    </row>
    <row r="689" spans="2:23" ht="15">
      <c r="B689" s="1043" t="s">
        <v>1959</v>
      </c>
      <c r="C689" s="1043" t="s">
        <v>1960</v>
      </c>
      <c r="D689" s="1046"/>
      <c r="E689" s="1043" t="s">
        <v>703</v>
      </c>
      <c r="F689" s="1032">
        <f>VALUE(Data.Sard!G687)</f>
        <v>1.9082173545171003E-2</v>
      </c>
      <c r="G689" s="844">
        <f>Data.Sard!J687</f>
        <v>0</v>
      </c>
      <c r="H689" s="1043">
        <v>7328651</v>
      </c>
      <c r="I689" s="264"/>
      <c r="J689" s="904">
        <f>Data.Sard!N687</f>
        <v>0.10440485648207264</v>
      </c>
      <c r="K689" s="595">
        <f t="shared" si="157"/>
        <v>404</v>
      </c>
      <c r="L689" s="591">
        <f t="shared" si="158"/>
        <v>397</v>
      </c>
      <c r="M689" s="591">
        <f t="shared" si="159"/>
        <v>496</v>
      </c>
      <c r="N689" s="591">
        <f t="shared" si="160"/>
        <v>285</v>
      </c>
      <c r="O689" s="591">
        <f t="shared" si="161"/>
        <v>145</v>
      </c>
      <c r="P689" s="315">
        <f t="shared" si="163"/>
        <v>295</v>
      </c>
      <c r="Q689" s="315">
        <f t="shared" si="164"/>
        <v>187</v>
      </c>
      <c r="R689" s="315">
        <f t="shared" si="165"/>
        <v>487</v>
      </c>
      <c r="S689" s="315">
        <f t="shared" si="166"/>
        <v>182</v>
      </c>
      <c r="T689" s="315">
        <f t="shared" si="167"/>
        <v>129</v>
      </c>
      <c r="U689" s="315">
        <f t="shared" si="168"/>
        <v>1280</v>
      </c>
      <c r="V689" s="591">
        <f t="shared" si="162"/>
        <v>353</v>
      </c>
      <c r="W689" s="598">
        <f t="shared" si="169"/>
        <v>353</v>
      </c>
    </row>
    <row r="690" spans="2:23" ht="15">
      <c r="B690" s="996" t="s">
        <v>1961</v>
      </c>
      <c r="C690" s="1043" t="s">
        <v>1962</v>
      </c>
      <c r="D690" s="1046"/>
      <c r="E690" s="1043" t="s">
        <v>736</v>
      </c>
      <c r="F690" s="1032">
        <f>VALUE(Data.Sard!G688)</f>
        <v>3.3283358320839582</v>
      </c>
      <c r="G690" s="844">
        <f>Data.Sard!J688</f>
        <v>0.83418200474649706</v>
      </c>
      <c r="H690" s="1003">
        <v>0</v>
      </c>
      <c r="I690" s="264">
        <f>VALUE(Data.Sard!L688)</f>
        <v>2.2080000000000002</v>
      </c>
      <c r="J690" s="904">
        <f>Data.Sard!N688</f>
        <v>-1.3126843657817109</v>
      </c>
      <c r="K690" s="595">
        <f t="shared" si="157"/>
        <v>7</v>
      </c>
      <c r="L690" s="591">
        <f t="shared" si="158"/>
        <v>305</v>
      </c>
      <c r="M690" s="591">
        <f t="shared" si="159"/>
        <v>677</v>
      </c>
      <c r="N690" s="591">
        <f t="shared" si="160"/>
        <v>44</v>
      </c>
      <c r="O690" s="591">
        <f t="shared" si="161"/>
        <v>580</v>
      </c>
      <c r="P690" s="315">
        <f t="shared" si="163"/>
        <v>102</v>
      </c>
      <c r="Q690" s="315">
        <f t="shared" si="164"/>
        <v>95</v>
      </c>
      <c r="R690" s="315">
        <f t="shared" si="165"/>
        <v>668</v>
      </c>
      <c r="S690" s="315">
        <f t="shared" si="166"/>
        <v>59</v>
      </c>
      <c r="T690" s="315">
        <f t="shared" si="167"/>
        <v>564</v>
      </c>
      <c r="U690" s="315">
        <f t="shared" si="168"/>
        <v>1488</v>
      </c>
      <c r="V690" s="591">
        <f t="shared" si="162"/>
        <v>456</v>
      </c>
      <c r="W690" s="598">
        <f t="shared" si="169"/>
        <v>456</v>
      </c>
    </row>
    <row r="691" spans="2:23" ht="15">
      <c r="B691" s="996" t="s">
        <v>1963</v>
      </c>
      <c r="C691" s="1043" t="s">
        <v>1964</v>
      </c>
      <c r="D691" s="1046"/>
      <c r="E691" s="1043" t="s">
        <v>603</v>
      </c>
      <c r="F691" s="1032">
        <f>VALUE(Data.Sard!G689)</f>
        <v>5.3983621361072535E-2</v>
      </c>
      <c r="G691" s="844">
        <f>Data.Sard!J689</f>
        <v>0.24773772433455329</v>
      </c>
      <c r="H691" s="1043">
        <v>12293596</v>
      </c>
      <c r="I691" s="264"/>
      <c r="J691" s="904">
        <f>Data.Sard!N689</f>
        <v>4.4665428314769648E-2</v>
      </c>
      <c r="K691" s="595">
        <f t="shared" si="157"/>
        <v>321</v>
      </c>
      <c r="L691" s="591">
        <f t="shared" si="158"/>
        <v>357</v>
      </c>
      <c r="M691" s="591">
        <f t="shared" si="159"/>
        <v>448</v>
      </c>
      <c r="N691" s="591">
        <f t="shared" si="160"/>
        <v>285</v>
      </c>
      <c r="O691" s="591">
        <f t="shared" si="161"/>
        <v>296</v>
      </c>
      <c r="P691" s="315">
        <f t="shared" si="163"/>
        <v>212</v>
      </c>
      <c r="Q691" s="315">
        <f t="shared" si="164"/>
        <v>147</v>
      </c>
      <c r="R691" s="315">
        <f t="shared" si="165"/>
        <v>439</v>
      </c>
      <c r="S691" s="315">
        <f t="shared" si="166"/>
        <v>182</v>
      </c>
      <c r="T691" s="315">
        <f t="shared" si="167"/>
        <v>280</v>
      </c>
      <c r="U691" s="315">
        <f t="shared" si="168"/>
        <v>1260</v>
      </c>
      <c r="V691" s="591">
        <f t="shared" si="162"/>
        <v>340</v>
      </c>
      <c r="W691" s="598">
        <f t="shared" si="169"/>
        <v>340</v>
      </c>
    </row>
    <row r="692" spans="2:23" ht="15">
      <c r="B692" s="1043" t="s">
        <v>1965</v>
      </c>
      <c r="C692" s="1043" t="s">
        <v>1966</v>
      </c>
      <c r="D692" s="1046"/>
      <c r="E692" s="1043" t="s">
        <v>532</v>
      </c>
      <c r="F692" s="1032">
        <f>VALUE(Data.Sard!G690)</f>
        <v>0.13859472624078023</v>
      </c>
      <c r="G692" s="844">
        <f>Data.Sard!J690</f>
        <v>1.1521397908349806</v>
      </c>
      <c r="H692" s="1043">
        <v>69837313</v>
      </c>
      <c r="I692" s="264">
        <f>VALUE(Data.Sard!L690)</f>
        <v>1.335</v>
      </c>
      <c r="J692" s="904">
        <f>Data.Sard!N690</f>
        <v>0.13340853771782551</v>
      </c>
      <c r="K692" s="595">
        <f t="shared" si="157"/>
        <v>172</v>
      </c>
      <c r="L692" s="591">
        <f t="shared" si="158"/>
        <v>283</v>
      </c>
      <c r="M692" s="591">
        <f t="shared" si="159"/>
        <v>262</v>
      </c>
      <c r="N692" s="591">
        <f t="shared" si="160"/>
        <v>69</v>
      </c>
      <c r="O692" s="591">
        <f t="shared" si="161"/>
        <v>105</v>
      </c>
      <c r="P692" s="315">
        <f t="shared" si="163"/>
        <v>63</v>
      </c>
      <c r="Q692" s="315">
        <f t="shared" si="164"/>
        <v>73</v>
      </c>
      <c r="R692" s="315">
        <f t="shared" si="165"/>
        <v>253</v>
      </c>
      <c r="S692" s="315">
        <f t="shared" si="166"/>
        <v>34</v>
      </c>
      <c r="T692" s="315">
        <f t="shared" si="167"/>
        <v>89</v>
      </c>
      <c r="U692" s="315">
        <f t="shared" si="168"/>
        <v>512</v>
      </c>
      <c r="V692" s="591">
        <f t="shared" si="162"/>
        <v>40</v>
      </c>
      <c r="W692" s="598">
        <f t="shared" si="169"/>
        <v>40</v>
      </c>
    </row>
    <row r="693" spans="2:23" ht="15">
      <c r="B693" s="996" t="s">
        <v>1967</v>
      </c>
      <c r="C693" s="1043" t="s">
        <v>1968</v>
      </c>
      <c r="D693" s="994"/>
      <c r="E693" s="1043" t="s">
        <v>603</v>
      </c>
      <c r="F693" s="1032">
        <f>VALUE(Data.Sard!G691)</f>
        <v>0.31859371968883471</v>
      </c>
      <c r="G693" s="844"/>
      <c r="H693" s="1043">
        <v>5497601</v>
      </c>
      <c r="I693" s="264">
        <f>VALUE(Data.Sard!L691)</f>
        <v>-0.379</v>
      </c>
      <c r="J693" s="904">
        <f>Data.Sard!N691</f>
        <v>5.7701900139821155E-2</v>
      </c>
      <c r="K693" s="595">
        <f t="shared" si="157"/>
        <v>48</v>
      </c>
      <c r="L693" s="591">
        <f t="shared" si="158"/>
        <v>397</v>
      </c>
      <c r="M693" s="591">
        <f t="shared" si="159"/>
        <v>519</v>
      </c>
      <c r="N693" s="591">
        <f t="shared" si="160"/>
        <v>367</v>
      </c>
      <c r="O693" s="591">
        <f t="shared" si="161"/>
        <v>253</v>
      </c>
      <c r="P693" s="315">
        <f t="shared" si="163"/>
        <v>61</v>
      </c>
      <c r="Q693" s="315">
        <f t="shared" si="164"/>
        <v>187</v>
      </c>
      <c r="R693" s="315">
        <f t="shared" si="165"/>
        <v>510</v>
      </c>
      <c r="S693" s="315">
        <f t="shared" si="166"/>
        <v>264</v>
      </c>
      <c r="T693" s="315">
        <f t="shared" si="167"/>
        <v>237</v>
      </c>
      <c r="U693" s="315">
        <f t="shared" si="168"/>
        <v>1259</v>
      </c>
      <c r="V693" s="591">
        <f t="shared" si="162"/>
        <v>338</v>
      </c>
      <c r="W693" s="598">
        <f t="shared" si="169"/>
        <v>338</v>
      </c>
    </row>
    <row r="694" spans="2:23" ht="15">
      <c r="B694" s="996" t="s">
        <v>1969</v>
      </c>
      <c r="C694" s="1043" t="s">
        <v>1970</v>
      </c>
      <c r="D694" s="1046"/>
      <c r="E694" s="1043" t="s">
        <v>603</v>
      </c>
      <c r="F694" s="1032"/>
      <c r="G694" s="844">
        <f>Data.Sard!J692</f>
        <v>1.921042035589011</v>
      </c>
      <c r="H694" s="1043">
        <v>850548</v>
      </c>
      <c r="I694" s="264"/>
      <c r="J694" s="904"/>
      <c r="K694" s="595">
        <f t="shared" si="157"/>
        <v>442</v>
      </c>
      <c r="L694" s="591">
        <f t="shared" si="158"/>
        <v>247</v>
      </c>
      <c r="M694" s="591">
        <f t="shared" si="159"/>
        <v>616</v>
      </c>
      <c r="N694" s="591">
        <f t="shared" si="160"/>
        <v>285</v>
      </c>
      <c r="O694" s="591">
        <f t="shared" si="161"/>
        <v>419</v>
      </c>
      <c r="P694" s="315">
        <f t="shared" si="163"/>
        <v>333</v>
      </c>
      <c r="Q694" s="315">
        <f t="shared" si="164"/>
        <v>37</v>
      </c>
      <c r="R694" s="315">
        <f t="shared" si="165"/>
        <v>607</v>
      </c>
      <c r="S694" s="315">
        <f t="shared" si="166"/>
        <v>182</v>
      </c>
      <c r="T694" s="315">
        <f t="shared" si="167"/>
        <v>403</v>
      </c>
      <c r="U694" s="315">
        <f t="shared" si="168"/>
        <v>1562</v>
      </c>
      <c r="V694" s="591">
        <f t="shared" si="162"/>
        <v>502</v>
      </c>
      <c r="W694" s="598">
        <f t="shared" si="169"/>
        <v>502</v>
      </c>
    </row>
    <row r="695" spans="2:23" ht="15">
      <c r="B695" s="1043" t="s">
        <v>1971</v>
      </c>
      <c r="C695" s="1043" t="s">
        <v>1972</v>
      </c>
      <c r="D695" s="1046"/>
      <c r="E695" s="1043" t="s">
        <v>562</v>
      </c>
      <c r="F695" s="1032">
        <f>VALUE(Data.Sard!G693)</f>
        <v>0.10518738571167359</v>
      </c>
      <c r="G695" s="844">
        <f>Data.Sard!J693</f>
        <v>11.383926337525043</v>
      </c>
      <c r="H695" s="1043">
        <v>140118790</v>
      </c>
      <c r="I695" s="264"/>
      <c r="J695" s="904">
        <f>Data.Sard!N693</f>
        <v>0.18067738408971437</v>
      </c>
      <c r="K695" s="595">
        <f t="shared" si="157"/>
        <v>224</v>
      </c>
      <c r="L695" s="591">
        <f t="shared" si="158"/>
        <v>57</v>
      </c>
      <c r="M695" s="591">
        <f t="shared" si="159"/>
        <v>198</v>
      </c>
      <c r="N695" s="591">
        <f t="shared" si="160"/>
        <v>285</v>
      </c>
      <c r="O695" s="591">
        <f t="shared" si="161"/>
        <v>63</v>
      </c>
      <c r="P695" s="315">
        <f t="shared" si="163"/>
        <v>115</v>
      </c>
      <c r="Q695" s="315">
        <f t="shared" si="164"/>
        <v>153</v>
      </c>
      <c r="R695" s="315">
        <f t="shared" si="165"/>
        <v>189</v>
      </c>
      <c r="S695" s="315">
        <f t="shared" si="166"/>
        <v>182</v>
      </c>
      <c r="T695" s="315">
        <f t="shared" si="167"/>
        <v>47</v>
      </c>
      <c r="U695" s="315">
        <f t="shared" si="168"/>
        <v>686</v>
      </c>
      <c r="V695" s="591">
        <f t="shared" si="162"/>
        <v>107</v>
      </c>
      <c r="W695" s="598">
        <f t="shared" si="169"/>
        <v>107</v>
      </c>
    </row>
    <row r="696" spans="2:23" ht="15">
      <c r="B696" s="996" t="s">
        <v>1973</v>
      </c>
      <c r="C696" s="1043" t="s">
        <v>1974</v>
      </c>
      <c r="D696" s="1046"/>
      <c r="E696" s="1043" t="s">
        <v>603</v>
      </c>
      <c r="F696" s="1032">
        <f>VALUE(Data.Sard!G694)</f>
        <v>0.11374075884007484</v>
      </c>
      <c r="G696" s="844">
        <f>Data.Sard!J694</f>
        <v>5.8931835362843668</v>
      </c>
      <c r="H696" s="1043">
        <v>100578811</v>
      </c>
      <c r="I696" s="264">
        <f>VALUE(Data.Sard!L694)</f>
        <v>7.5999999999999998E-2</v>
      </c>
      <c r="J696" s="904">
        <f>Data.Sard!N694</f>
        <v>2.8759873569204588E-2</v>
      </c>
      <c r="K696" s="595">
        <f t="shared" si="157"/>
        <v>207</v>
      </c>
      <c r="L696" s="591">
        <f t="shared" si="158"/>
        <v>104</v>
      </c>
      <c r="M696" s="591">
        <f t="shared" si="159"/>
        <v>226</v>
      </c>
      <c r="N696" s="591">
        <f t="shared" si="160"/>
        <v>267</v>
      </c>
      <c r="O696" s="591">
        <f t="shared" si="161"/>
        <v>340</v>
      </c>
      <c r="P696" s="315">
        <f t="shared" si="163"/>
        <v>98</v>
      </c>
      <c r="Q696" s="315">
        <f t="shared" si="164"/>
        <v>106</v>
      </c>
      <c r="R696" s="315">
        <f t="shared" si="165"/>
        <v>217</v>
      </c>
      <c r="S696" s="315">
        <f t="shared" si="166"/>
        <v>164</v>
      </c>
      <c r="T696" s="315">
        <f t="shared" si="167"/>
        <v>324</v>
      </c>
      <c r="U696" s="315">
        <f t="shared" si="168"/>
        <v>909</v>
      </c>
      <c r="V696" s="591">
        <f t="shared" si="162"/>
        <v>187</v>
      </c>
      <c r="W696" s="598">
        <f t="shared" si="169"/>
        <v>187</v>
      </c>
    </row>
    <row r="697" spans="2:23" ht="15">
      <c r="B697" s="996" t="s">
        <v>1975</v>
      </c>
      <c r="C697" s="1043" t="s">
        <v>1976</v>
      </c>
      <c r="D697" s="1046"/>
      <c r="E697" s="1043" t="s">
        <v>603</v>
      </c>
      <c r="F697" s="1032">
        <f>VALUE(Data.Sard!G695)</f>
        <v>2.1020056573435329E-2</v>
      </c>
      <c r="G697" s="844">
        <f>Data.Sard!J695</f>
        <v>7.5676970095167153</v>
      </c>
      <c r="H697" s="1043">
        <v>1558751</v>
      </c>
      <c r="I697" s="264"/>
      <c r="J697" s="904">
        <f>Data.Sard!N695</f>
        <v>5.7910436840027746E-3</v>
      </c>
      <c r="K697" s="595">
        <f t="shared" si="157"/>
        <v>393</v>
      </c>
      <c r="L697" s="591">
        <f t="shared" si="158"/>
        <v>86</v>
      </c>
      <c r="M697" s="591">
        <f t="shared" si="159"/>
        <v>602</v>
      </c>
      <c r="N697" s="591">
        <f t="shared" si="160"/>
        <v>285</v>
      </c>
      <c r="O697" s="591">
        <f t="shared" si="161"/>
        <v>406</v>
      </c>
      <c r="P697" s="315">
        <f t="shared" si="163"/>
        <v>284</v>
      </c>
      <c r="Q697" s="315">
        <f t="shared" si="164"/>
        <v>124</v>
      </c>
      <c r="R697" s="315">
        <f t="shared" si="165"/>
        <v>593</v>
      </c>
      <c r="S697" s="315">
        <f t="shared" si="166"/>
        <v>182</v>
      </c>
      <c r="T697" s="315">
        <f t="shared" si="167"/>
        <v>390</v>
      </c>
      <c r="U697" s="315">
        <f t="shared" si="168"/>
        <v>1573</v>
      </c>
      <c r="V697" s="591">
        <f t="shared" si="162"/>
        <v>514</v>
      </c>
      <c r="W697" s="598">
        <f t="shared" si="169"/>
        <v>514</v>
      </c>
    </row>
    <row r="698" spans="2:23" ht="15">
      <c r="B698" s="996" t="s">
        <v>1977</v>
      </c>
      <c r="C698" s="1043" t="s">
        <v>1978</v>
      </c>
      <c r="D698" s="1046"/>
      <c r="E698" s="1043" t="s">
        <v>870</v>
      </c>
      <c r="F698" s="1032">
        <f>VALUE(Data.Sard!G696)</f>
        <v>0.13787812305610128</v>
      </c>
      <c r="G698" s="844">
        <f>Data.Sard!J696</f>
        <v>1.6771594364284674</v>
      </c>
      <c r="H698" s="1043">
        <v>13586176</v>
      </c>
      <c r="I698" s="264"/>
      <c r="J698" s="904">
        <f>Data.Sard!N696</f>
        <v>0.10714175565189621</v>
      </c>
      <c r="K698" s="595">
        <f t="shared" si="157"/>
        <v>174</v>
      </c>
      <c r="L698" s="591">
        <f t="shared" si="158"/>
        <v>261</v>
      </c>
      <c r="M698" s="591">
        <f t="shared" si="159"/>
        <v>438</v>
      </c>
      <c r="N698" s="591">
        <f t="shared" si="160"/>
        <v>285</v>
      </c>
      <c r="O698" s="591">
        <f t="shared" si="161"/>
        <v>140</v>
      </c>
      <c r="P698" s="315">
        <f t="shared" si="163"/>
        <v>65</v>
      </c>
      <c r="Q698" s="315">
        <f t="shared" si="164"/>
        <v>51</v>
      </c>
      <c r="R698" s="315">
        <f t="shared" si="165"/>
        <v>429</v>
      </c>
      <c r="S698" s="315">
        <f t="shared" si="166"/>
        <v>182</v>
      </c>
      <c r="T698" s="315">
        <f t="shared" si="167"/>
        <v>124</v>
      </c>
      <c r="U698" s="315">
        <f t="shared" si="168"/>
        <v>851</v>
      </c>
      <c r="V698" s="591">
        <f t="shared" si="162"/>
        <v>165</v>
      </c>
      <c r="W698" s="598">
        <f t="shared" si="169"/>
        <v>165</v>
      </c>
    </row>
    <row r="699" spans="2:23" ht="15">
      <c r="B699" s="1043" t="s">
        <v>1979</v>
      </c>
      <c r="C699" s="1043" t="s">
        <v>1980</v>
      </c>
      <c r="D699" s="1046"/>
      <c r="E699" s="1043" t="s">
        <v>603</v>
      </c>
      <c r="F699" s="1032">
        <f>VALUE(Data.Sard!G697)</f>
        <v>0.27550639585730863</v>
      </c>
      <c r="G699" s="844"/>
      <c r="H699" s="1043">
        <v>145964566</v>
      </c>
      <c r="I699" s="264">
        <f>VALUE(Data.Sard!L697)</f>
        <v>0.26200000000000001</v>
      </c>
      <c r="J699" s="904">
        <f>Data.Sard!N697</f>
        <v>0.22969115710787924</v>
      </c>
      <c r="K699" s="595">
        <f t="shared" si="157"/>
        <v>72</v>
      </c>
      <c r="L699" s="591">
        <f t="shared" si="158"/>
        <v>397</v>
      </c>
      <c r="M699" s="591">
        <f t="shared" si="159"/>
        <v>195</v>
      </c>
      <c r="N699" s="591">
        <f t="shared" si="160"/>
        <v>220</v>
      </c>
      <c r="O699" s="591">
        <f t="shared" si="161"/>
        <v>33</v>
      </c>
      <c r="P699" s="315">
        <f t="shared" si="163"/>
        <v>37</v>
      </c>
      <c r="Q699" s="315">
        <f t="shared" si="164"/>
        <v>187</v>
      </c>
      <c r="R699" s="315">
        <f t="shared" si="165"/>
        <v>186</v>
      </c>
      <c r="S699" s="315">
        <f t="shared" si="166"/>
        <v>117</v>
      </c>
      <c r="T699" s="315">
        <f t="shared" si="167"/>
        <v>17</v>
      </c>
      <c r="U699" s="315">
        <f t="shared" si="168"/>
        <v>544</v>
      </c>
      <c r="V699" s="591">
        <f t="shared" si="162"/>
        <v>46</v>
      </c>
      <c r="W699" s="598">
        <f t="shared" si="169"/>
        <v>46</v>
      </c>
    </row>
    <row r="700" spans="2:23" ht="15">
      <c r="B700" s="996" t="s">
        <v>1981</v>
      </c>
      <c r="C700" s="1043" t="s">
        <v>1982</v>
      </c>
      <c r="D700" s="1046"/>
      <c r="E700" s="1043" t="s">
        <v>603</v>
      </c>
      <c r="F700" s="1032"/>
      <c r="G700" s="844">
        <f>Data.Sard!J698</f>
        <v>2.4299983567617534</v>
      </c>
      <c r="H700" s="1043">
        <v>2727048</v>
      </c>
      <c r="I700" s="264"/>
      <c r="J700" s="904"/>
      <c r="K700" s="595">
        <f t="shared" si="157"/>
        <v>442</v>
      </c>
      <c r="L700" s="591">
        <f t="shared" si="158"/>
        <v>213</v>
      </c>
      <c r="M700" s="591">
        <f t="shared" si="159"/>
        <v>569</v>
      </c>
      <c r="N700" s="591">
        <f t="shared" si="160"/>
        <v>285</v>
      </c>
      <c r="O700" s="591">
        <f t="shared" si="161"/>
        <v>419</v>
      </c>
      <c r="P700" s="315">
        <f t="shared" si="163"/>
        <v>333</v>
      </c>
      <c r="Q700" s="315">
        <f t="shared" si="164"/>
        <v>3</v>
      </c>
      <c r="R700" s="315">
        <f t="shared" si="165"/>
        <v>560</v>
      </c>
      <c r="S700" s="315">
        <f t="shared" si="166"/>
        <v>182</v>
      </c>
      <c r="T700" s="315">
        <f t="shared" si="167"/>
        <v>403</v>
      </c>
      <c r="U700" s="315">
        <f t="shared" si="168"/>
        <v>1481</v>
      </c>
      <c r="V700" s="591">
        <f t="shared" si="162"/>
        <v>452</v>
      </c>
      <c r="W700" s="598">
        <f t="shared" si="169"/>
        <v>452</v>
      </c>
    </row>
    <row r="701" spans="2:23" ht="15">
      <c r="B701" s="1043" t="s">
        <v>1983</v>
      </c>
      <c r="C701" s="1043" t="s">
        <v>1984</v>
      </c>
      <c r="D701" s="1046"/>
      <c r="E701" s="1043" t="s">
        <v>603</v>
      </c>
      <c r="F701" s="1032">
        <f>VALUE(Data.Sard!G699)</f>
        <v>1.4052649960299344</v>
      </c>
      <c r="G701" s="844">
        <f>Data.Sard!J699</f>
        <v>2.6476921132565168</v>
      </c>
      <c r="H701" s="1043">
        <v>9321017</v>
      </c>
      <c r="I701" s="264"/>
      <c r="J701" s="904">
        <f>Data.Sard!N699</f>
        <v>0.11666327209474707</v>
      </c>
      <c r="K701" s="595">
        <f t="shared" si="157"/>
        <v>12</v>
      </c>
      <c r="L701" s="591">
        <f t="shared" si="158"/>
        <v>201</v>
      </c>
      <c r="M701" s="591">
        <f t="shared" si="159"/>
        <v>476</v>
      </c>
      <c r="N701" s="591">
        <f t="shared" si="160"/>
        <v>285</v>
      </c>
      <c r="O701" s="591">
        <f t="shared" si="161"/>
        <v>123</v>
      </c>
      <c r="P701" s="315">
        <f t="shared" si="163"/>
        <v>97</v>
      </c>
      <c r="Q701" s="315">
        <f t="shared" si="164"/>
        <v>9</v>
      </c>
      <c r="R701" s="315">
        <f t="shared" si="165"/>
        <v>467</v>
      </c>
      <c r="S701" s="315">
        <f t="shared" si="166"/>
        <v>182</v>
      </c>
      <c r="T701" s="315">
        <f t="shared" si="167"/>
        <v>107</v>
      </c>
      <c r="U701" s="315">
        <f t="shared" si="168"/>
        <v>862</v>
      </c>
      <c r="V701" s="591">
        <f t="shared" si="162"/>
        <v>169</v>
      </c>
      <c r="W701" s="598">
        <f t="shared" si="169"/>
        <v>169</v>
      </c>
    </row>
    <row r="702" spans="2:23" ht="15">
      <c r="B702" s="996" t="s">
        <v>1985</v>
      </c>
      <c r="C702" s="1043" t="s">
        <v>1986</v>
      </c>
      <c r="D702" s="1046"/>
      <c r="E702" s="1043" t="s">
        <v>603</v>
      </c>
      <c r="F702" s="1032">
        <f>VALUE(Data.Sard!G700)</f>
        <v>0.27861334655448278</v>
      </c>
      <c r="G702" s="844">
        <f>Data.Sard!J700</f>
        <v>34.371317454997268</v>
      </c>
      <c r="H702" s="1043">
        <v>4198656</v>
      </c>
      <c r="I702" s="264"/>
      <c r="J702" s="904">
        <f>Data.Sard!N700</f>
        <v>0.10205901659414579</v>
      </c>
      <c r="K702" s="595">
        <f t="shared" si="157"/>
        <v>67</v>
      </c>
      <c r="L702" s="591">
        <f t="shared" si="158"/>
        <v>15</v>
      </c>
      <c r="M702" s="591">
        <f t="shared" si="159"/>
        <v>542</v>
      </c>
      <c r="N702" s="591">
        <f t="shared" si="160"/>
        <v>285</v>
      </c>
      <c r="O702" s="591">
        <f t="shared" si="161"/>
        <v>151</v>
      </c>
      <c r="P702" s="315">
        <f t="shared" si="163"/>
        <v>42</v>
      </c>
      <c r="Q702" s="315">
        <f t="shared" si="164"/>
        <v>195</v>
      </c>
      <c r="R702" s="315">
        <f t="shared" si="165"/>
        <v>533</v>
      </c>
      <c r="S702" s="315">
        <f t="shared" si="166"/>
        <v>182</v>
      </c>
      <c r="T702" s="315">
        <f t="shared" si="167"/>
        <v>135</v>
      </c>
      <c r="U702" s="315">
        <f t="shared" si="168"/>
        <v>1087</v>
      </c>
      <c r="V702" s="591">
        <f t="shared" si="162"/>
        <v>272</v>
      </c>
      <c r="W702" s="598">
        <f t="shared" si="169"/>
        <v>272</v>
      </c>
    </row>
    <row r="703" spans="2:23" ht="15">
      <c r="B703" s="1043" t="s">
        <v>1987</v>
      </c>
      <c r="C703" s="1043" t="s">
        <v>1988</v>
      </c>
      <c r="D703" s="1046"/>
      <c r="E703" s="1043" t="s">
        <v>584</v>
      </c>
      <c r="F703" s="1032">
        <f>VALUE(Data.Sard!G701)</f>
        <v>-7.9124841558085315E-2</v>
      </c>
      <c r="G703" s="844">
        <f>Data.Sard!J701</f>
        <v>175.83096380355983</v>
      </c>
      <c r="H703" s="1043">
        <v>106931335</v>
      </c>
      <c r="I703" s="264"/>
      <c r="J703" s="904">
        <f>Data.Sard!N701</f>
        <v>5.1245005109481732E-3</v>
      </c>
      <c r="K703" s="595">
        <f t="shared" si="157"/>
        <v>510</v>
      </c>
      <c r="L703" s="591">
        <f t="shared" si="158"/>
        <v>2</v>
      </c>
      <c r="M703" s="591">
        <f t="shared" si="159"/>
        <v>221</v>
      </c>
      <c r="N703" s="591">
        <f t="shared" si="160"/>
        <v>285</v>
      </c>
      <c r="O703" s="591">
        <f t="shared" si="161"/>
        <v>408</v>
      </c>
      <c r="P703" s="315">
        <f t="shared" si="163"/>
        <v>401</v>
      </c>
      <c r="Q703" s="315">
        <f t="shared" si="164"/>
        <v>208</v>
      </c>
      <c r="R703" s="315">
        <f t="shared" si="165"/>
        <v>212</v>
      </c>
      <c r="S703" s="315">
        <f t="shared" si="166"/>
        <v>182</v>
      </c>
      <c r="T703" s="315">
        <f t="shared" si="167"/>
        <v>392</v>
      </c>
      <c r="U703" s="315">
        <f t="shared" si="168"/>
        <v>1395</v>
      </c>
      <c r="V703" s="591">
        <f t="shared" si="162"/>
        <v>406</v>
      </c>
      <c r="W703" s="598">
        <f t="shared" si="169"/>
        <v>406</v>
      </c>
    </row>
    <row r="704" spans="2:23" ht="15">
      <c r="B704" s="1043" t="s">
        <v>1989</v>
      </c>
      <c r="C704" s="1043" t="s">
        <v>1990</v>
      </c>
      <c r="D704" s="1046"/>
      <c r="E704" s="1043" t="s">
        <v>584</v>
      </c>
      <c r="F704" s="1032">
        <f>VALUE(Data.Sard!G702)</f>
        <v>1.2707868246643794E-3</v>
      </c>
      <c r="G704" s="844">
        <f>Data.Sard!J702</f>
        <v>2.7863528955204155</v>
      </c>
      <c r="H704" s="1043">
        <v>131679535</v>
      </c>
      <c r="I704" s="264">
        <f>VALUE(Data.Sard!L702)</f>
        <v>-3.9809999999999999</v>
      </c>
      <c r="J704" s="904">
        <f>Data.Sard!N702</f>
        <v>0.24003834197378759</v>
      </c>
      <c r="K704" s="595">
        <f t="shared" si="157"/>
        <v>441</v>
      </c>
      <c r="L704" s="591">
        <f t="shared" si="158"/>
        <v>193</v>
      </c>
      <c r="M704" s="591">
        <f t="shared" si="159"/>
        <v>204</v>
      </c>
      <c r="N704" s="591">
        <f t="shared" si="160"/>
        <v>510</v>
      </c>
      <c r="O704" s="591">
        <f t="shared" si="161"/>
        <v>32</v>
      </c>
      <c r="P704" s="315">
        <f t="shared" si="163"/>
        <v>332</v>
      </c>
      <c r="Q704" s="315">
        <f t="shared" si="164"/>
        <v>17</v>
      </c>
      <c r="R704" s="315">
        <f t="shared" si="165"/>
        <v>195</v>
      </c>
      <c r="S704" s="315">
        <f t="shared" si="166"/>
        <v>407</v>
      </c>
      <c r="T704" s="315">
        <f t="shared" si="167"/>
        <v>16</v>
      </c>
      <c r="U704" s="315">
        <f t="shared" si="168"/>
        <v>967</v>
      </c>
      <c r="V704" s="591">
        <f t="shared" si="162"/>
        <v>223</v>
      </c>
      <c r="W704" s="598">
        <f t="shared" si="169"/>
        <v>223</v>
      </c>
    </row>
    <row r="705" spans="2:23" ht="15">
      <c r="B705" s="1043" t="s">
        <v>1991</v>
      </c>
      <c r="C705" s="1043" t="s">
        <v>1992</v>
      </c>
      <c r="D705" s="1046"/>
      <c r="E705" s="1043" t="s">
        <v>603</v>
      </c>
      <c r="F705" s="1032">
        <f>VALUE(Data.Sard!G703)</f>
        <v>0.39656002101320581</v>
      </c>
      <c r="G705" s="844"/>
      <c r="H705" s="1043">
        <v>9275132</v>
      </c>
      <c r="I705" s="264"/>
      <c r="J705" s="904">
        <f>Data.Sard!N703</f>
        <v>0.19683850987626983</v>
      </c>
      <c r="K705" s="595">
        <f t="shared" si="157"/>
        <v>40</v>
      </c>
      <c r="L705" s="591">
        <f t="shared" si="158"/>
        <v>397</v>
      </c>
      <c r="M705" s="591">
        <f t="shared" si="159"/>
        <v>477</v>
      </c>
      <c r="N705" s="591">
        <f t="shared" si="160"/>
        <v>285</v>
      </c>
      <c r="O705" s="591">
        <f t="shared" si="161"/>
        <v>52</v>
      </c>
      <c r="P705" s="315">
        <f t="shared" si="163"/>
        <v>69</v>
      </c>
      <c r="Q705" s="315">
        <f t="shared" si="164"/>
        <v>187</v>
      </c>
      <c r="R705" s="315">
        <f t="shared" si="165"/>
        <v>468</v>
      </c>
      <c r="S705" s="315">
        <f t="shared" si="166"/>
        <v>182</v>
      </c>
      <c r="T705" s="315">
        <f t="shared" si="167"/>
        <v>36</v>
      </c>
      <c r="U705" s="315">
        <f t="shared" si="168"/>
        <v>942</v>
      </c>
      <c r="V705" s="591">
        <f t="shared" si="162"/>
        <v>209</v>
      </c>
      <c r="W705" s="598">
        <f t="shared" si="169"/>
        <v>209</v>
      </c>
    </row>
    <row r="706" spans="2:23" ht="15">
      <c r="B706" s="1054" t="s">
        <v>1993</v>
      </c>
      <c r="C706" s="1054" t="s">
        <v>1994</v>
      </c>
      <c r="D706" s="1048"/>
      <c r="E706" s="1055" t="s">
        <v>1995</v>
      </c>
      <c r="F706" s="1032"/>
      <c r="G706" s="1028"/>
      <c r="H706" s="1044">
        <v>57820724</v>
      </c>
      <c r="I706" s="264"/>
      <c r="J706" s="1029"/>
      <c r="K706" s="1030">
        <f t="shared" si="157"/>
        <v>442</v>
      </c>
      <c r="L706" s="592">
        <f t="shared" si="158"/>
        <v>397</v>
      </c>
      <c r="M706" s="592">
        <f t="shared" si="159"/>
        <v>281</v>
      </c>
      <c r="N706" s="592">
        <f t="shared" si="160"/>
        <v>285</v>
      </c>
      <c r="O706" s="592">
        <f t="shared" si="161"/>
        <v>419</v>
      </c>
      <c r="P706" s="1005">
        <f t="shared" si="163"/>
        <v>333</v>
      </c>
      <c r="Q706" s="1005">
        <f t="shared" si="164"/>
        <v>187</v>
      </c>
      <c r="R706" s="1005">
        <f t="shared" si="165"/>
        <v>272</v>
      </c>
      <c r="S706" s="1005">
        <f t="shared" si="166"/>
        <v>182</v>
      </c>
      <c r="T706" s="1005">
        <f t="shared" si="167"/>
        <v>403</v>
      </c>
      <c r="U706" s="1005">
        <f t="shared" si="168"/>
        <v>1377</v>
      </c>
      <c r="V706" s="592">
        <f t="shared" si="162"/>
        <v>398</v>
      </c>
      <c r="W706" s="600">
        <f t="shared" si="169"/>
        <v>398</v>
      </c>
    </row>
    <row r="707" spans="2:23" ht="15">
      <c r="B707" s="1056"/>
      <c r="C707" s="1355"/>
      <c r="D707" s="1355"/>
    </row>
    <row r="708" spans="2:23" ht="15">
      <c r="B708" s="1057"/>
      <c r="C708" s="1057"/>
      <c r="D708" s="1057"/>
    </row>
    <row r="709" spans="2:23" ht="15">
      <c r="B709" s="1057"/>
      <c r="C709" s="1057"/>
      <c r="D709" s="1057"/>
    </row>
    <row r="710" spans="2:23" ht="15">
      <c r="B710" s="1057"/>
      <c r="C710" s="1057"/>
      <c r="D710" s="1057"/>
    </row>
    <row r="711" spans="2:23" ht="15">
      <c r="B711" s="1057"/>
      <c r="C711" s="1057"/>
      <c r="D711" s="1026"/>
    </row>
    <row r="712" spans="2:23">
      <c r="B712" s="1026"/>
    </row>
  </sheetData>
  <mergeCells count="21">
    <mergeCell ref="C707:D707"/>
    <mergeCell ref="AD1:AD12"/>
    <mergeCell ref="F1:J1"/>
    <mergeCell ref="K1:O1"/>
    <mergeCell ref="P1:T1"/>
    <mergeCell ref="U1:W1"/>
    <mergeCell ref="Y1:AB1"/>
    <mergeCell ref="AE14:AI14"/>
    <mergeCell ref="AJ14:AL14"/>
    <mergeCell ref="AM14:AN14"/>
    <mergeCell ref="AE1:AI1"/>
    <mergeCell ref="AJ1:AL1"/>
    <mergeCell ref="AM1:AN1"/>
    <mergeCell ref="AE9:AI9"/>
    <mergeCell ref="AE10:AI10"/>
    <mergeCell ref="AJ10:AN10"/>
    <mergeCell ref="AH11:AI11"/>
    <mergeCell ref="AH12:AI12"/>
    <mergeCell ref="AE13:AI13"/>
    <mergeCell ref="AJ13:AL13"/>
    <mergeCell ref="AM13:AN13"/>
  </mergeCells>
  <phoneticPr fontId="98" type="noConversion"/>
  <conditionalFormatting sqref="AJ14:AN14">
    <cfRule type="cellIs" dxfId="1" priority="1" operator="lessThan">
      <formula>0</formula>
    </cfRule>
    <cfRule type="cellIs" dxfId="0" priority="2" operator="greaterThan">
      <formula>0</formula>
    </cfRule>
  </conditionalFormatting>
  <dataValidations count="1">
    <dataValidation allowBlank="1" showInputMessage="1" showErrorMessage="1" sqref="F4:F706" xr:uid="{33BC6499-356F-477E-991B-139CE3F57D25}"/>
  </dataValidations>
  <hyperlinks>
    <hyperlink ref="B7" r:id="rId1" xr:uid="{6E562DBE-0D56-4AA8-879C-2C63811BB23A}"/>
    <hyperlink ref="B8" r:id="rId2" xr:uid="{D4EABC14-D6CB-44B4-9E87-DC21DED975BE}"/>
    <hyperlink ref="B9" r:id="rId3" xr:uid="{D906E729-2FC6-4441-BF67-C325A74F3FCF}"/>
    <hyperlink ref="B10" r:id="rId4" xr:uid="{00525295-9AC6-4FF5-A2E8-71A235C73BD6}"/>
    <hyperlink ref="B13" r:id="rId5" xr:uid="{60F2F747-A260-45ED-8C59-7DF7B730E4C9}"/>
    <hyperlink ref="B14" r:id="rId6" xr:uid="{7EACFF9A-7CAA-428B-9A6E-126B33CEA07A}"/>
    <hyperlink ref="B16" r:id="rId7" xr:uid="{C54710FA-628F-4922-97A8-2930B30D93DC}"/>
    <hyperlink ref="B18" r:id="rId8" xr:uid="{D4D334AD-6206-4CB4-9778-0CDF4989F793}"/>
    <hyperlink ref="B19" r:id="rId9" xr:uid="{23578F73-14D5-4CC2-936E-EF6B83219542}"/>
    <hyperlink ref="B21" r:id="rId10" xr:uid="{A469F934-3248-4BFE-917C-4B5F5F6AF412}"/>
    <hyperlink ref="B22" r:id="rId11" xr:uid="{962144F6-45D9-4470-8F74-020D3DC44925}"/>
    <hyperlink ref="B23" r:id="rId12" xr:uid="{C4FED986-BD04-447B-BBE1-747594393B13}"/>
    <hyperlink ref="B24" r:id="rId13" xr:uid="{E4269613-0E3E-4259-9DD5-B505FF050656}"/>
    <hyperlink ref="B27" r:id="rId14" xr:uid="{9358B17E-670F-4BE6-B597-3A4AC5674129}"/>
    <hyperlink ref="B28" r:id="rId15" xr:uid="{53711A8C-11A6-4AEC-B08C-E2FA3804B452}"/>
    <hyperlink ref="B48" r:id="rId16" xr:uid="{4F1D4159-30E0-44D8-8CC2-A43DF2D18697}"/>
    <hyperlink ref="B49" r:id="rId17" xr:uid="{AEE49532-48EE-4BAE-9388-E7270F78F0FC}"/>
    <hyperlink ref="B50" r:id="rId18" xr:uid="{5A8BADEC-87C8-46D8-8B75-B39948597594}"/>
    <hyperlink ref="B52" r:id="rId19" xr:uid="{60CA5E62-6BD6-4021-A1C7-8E8E06D12EF5}"/>
    <hyperlink ref="B57" r:id="rId20" xr:uid="{E307FE2B-B2A0-458F-97E2-D7D0817F9112}"/>
    <hyperlink ref="B61" r:id="rId21" xr:uid="{A0D173FB-E0B8-458E-AEFF-A0FAEF1FC475}"/>
    <hyperlink ref="B62" r:id="rId22" xr:uid="{2B5950C8-472C-4BD3-A9F6-B5D5129B927B}"/>
    <hyperlink ref="B64" r:id="rId23" xr:uid="{E9A554F3-AED4-4F00-A404-50E99BCBCC08}"/>
    <hyperlink ref="B71" r:id="rId24" xr:uid="{B5805754-6703-4E31-91E3-AAF1A030C400}"/>
    <hyperlink ref="B72" r:id="rId25" xr:uid="{6D9CE4BB-E212-47A4-A7B9-0B08FC1F0188}"/>
    <hyperlink ref="B73" r:id="rId26" xr:uid="{04D3F778-2F79-4C6E-9440-03038A151B12}"/>
    <hyperlink ref="B75" r:id="rId27" xr:uid="{2DD53622-A85A-4A13-A3E5-9E65834973C9}"/>
    <hyperlink ref="B76" r:id="rId28" xr:uid="{1BFF3B5F-07EC-4494-86F3-7B1DE395065D}"/>
    <hyperlink ref="B77" r:id="rId29" xr:uid="{86B38F2C-2BB1-4777-B95C-DF3B30D01D56}"/>
    <hyperlink ref="B79" r:id="rId30" xr:uid="{C7E9D75B-35E5-4D82-BAB8-FEB4B4243BD2}"/>
    <hyperlink ref="B80" r:id="rId31" xr:uid="{3111B86D-99BE-4D06-9DFE-D1C8356241F6}"/>
    <hyperlink ref="B85" r:id="rId32" xr:uid="{EB8FAF08-2A60-4EA1-A0A0-8D12D4D5DEAD}"/>
    <hyperlink ref="B86" r:id="rId33" xr:uid="{2503A7C7-2502-4E01-893F-0BEBA849E343}"/>
    <hyperlink ref="B87" r:id="rId34" xr:uid="{4873718A-80BE-458D-86B2-084EB69B3AEA}"/>
    <hyperlink ref="B89" r:id="rId35" xr:uid="{2870187E-B90B-4E52-A9E7-9D63C3938D51}"/>
    <hyperlink ref="B90" r:id="rId36" xr:uid="{5002E49C-B098-47B0-AD15-AF46888D9269}"/>
    <hyperlink ref="B91" r:id="rId37" xr:uid="{6EC0534C-C453-47A5-B412-35F8079C8F0C}"/>
    <hyperlink ref="B94" r:id="rId38" xr:uid="{70E10102-6927-4CE8-8B11-53783DFA4CBA}"/>
    <hyperlink ref="B97" r:id="rId39" xr:uid="{329A4DD1-B1D9-410A-BA67-DCB129B201E2}"/>
    <hyperlink ref="B99" r:id="rId40" xr:uid="{9F5617E9-C700-4323-90E7-2AA722FBE626}"/>
    <hyperlink ref="B106" r:id="rId41" xr:uid="{DBC28254-F9FC-4851-877D-4078EC9F0BFB}"/>
    <hyperlink ref="B116" r:id="rId42" xr:uid="{CB88A52F-2C1C-4E43-8105-5575E7F3995E}"/>
    <hyperlink ref="B117" r:id="rId43" xr:uid="{30F7998C-2AC2-4878-A192-02CC56981CA0}"/>
    <hyperlink ref="B119" r:id="rId44" xr:uid="{DD00774F-0E57-4F9D-ACCF-1E616607E455}"/>
    <hyperlink ref="B122" r:id="rId45" xr:uid="{C250F033-5AF4-4B98-A5C3-0A2550091DAF}"/>
    <hyperlink ref="B123" r:id="rId46" xr:uid="{42197868-7084-47BB-9DC6-41702D271D2D}"/>
    <hyperlink ref="B125" r:id="rId47" xr:uid="{7CA3D4B4-DB22-49ED-9F8E-756BCF062C6B}"/>
    <hyperlink ref="B126" r:id="rId48" xr:uid="{BE347115-F255-49BA-8745-812403C61132}"/>
    <hyperlink ref="B127" r:id="rId49" xr:uid="{F671AA9C-68A8-45E4-9CF3-D45DC53B1B85}"/>
    <hyperlink ref="B128" r:id="rId50" xr:uid="{98710547-B01C-430C-8142-EB495032E970}"/>
    <hyperlink ref="B129" r:id="rId51" xr:uid="{A9F644EA-8E63-4669-9868-36C2ECB3EB8B}"/>
    <hyperlink ref="B130" r:id="rId52" xr:uid="{2292A709-6144-46AC-93BE-8ABC5717BF19}"/>
    <hyperlink ref="B131" r:id="rId53" xr:uid="{A5DA8D40-42A2-4D78-BAE2-7E317654BA6D}"/>
    <hyperlink ref="B134" r:id="rId54" xr:uid="{6F75FE95-57ED-4F5C-81AC-951F6B8CD537}"/>
    <hyperlink ref="B135" r:id="rId55" xr:uid="{18A89704-7618-449F-8856-FF695D31F6CC}"/>
    <hyperlink ref="B136" r:id="rId56" xr:uid="{023B2F95-D5A9-4543-B9F8-C1B1A1264FCD}"/>
    <hyperlink ref="B138" r:id="rId57" xr:uid="{A2C15300-3581-44BA-A43E-A816D9DE871D}"/>
    <hyperlink ref="B139" r:id="rId58" xr:uid="{A0683D06-0B0E-47D8-9A26-EFFA4CA013F5}"/>
    <hyperlink ref="B142" r:id="rId59" xr:uid="{CA68D691-22AD-463F-BBCA-5A5127336D35}"/>
    <hyperlink ref="B143" r:id="rId60" xr:uid="{81D716CB-89C0-4681-9F54-4B8CF1547102}"/>
    <hyperlink ref="B144" r:id="rId61" xr:uid="{EDC6A24E-D3F6-4918-923E-8DFC296DDDDE}"/>
    <hyperlink ref="B145" r:id="rId62" xr:uid="{04F59883-5B77-47D5-AEC0-C3FB34AAA493}"/>
    <hyperlink ref="B147" r:id="rId63" xr:uid="{EFEBFC0A-D723-4F29-AEEB-8B7AD7F4E618}"/>
    <hyperlink ref="B148" r:id="rId64" xr:uid="{0F71C650-FD6C-4B0B-8CFB-E608BF2F7D02}"/>
    <hyperlink ref="B149" r:id="rId65" xr:uid="{52FE89FC-DEC8-4DA2-ACE8-AE7D8F13F10F}"/>
    <hyperlink ref="B150" r:id="rId66" xr:uid="{DC37C305-7FD6-434A-9E92-1F43F098A3CA}"/>
    <hyperlink ref="B154" r:id="rId67" xr:uid="{A7E38169-6268-48DB-8A7B-D6B3331E2CC4}"/>
    <hyperlink ref="B156" r:id="rId68" xr:uid="{0FA74D92-650D-4F95-A657-E1D0300D6AD9}"/>
    <hyperlink ref="B161" r:id="rId69" xr:uid="{A9523E61-A215-4422-9C1C-E53FDD02F8A2}"/>
    <hyperlink ref="B162" r:id="rId70" xr:uid="{BFDD88DF-FABC-48AA-931F-362CF0BDF5EF}"/>
    <hyperlink ref="B163" r:id="rId71" xr:uid="{D03E3268-2591-4BAC-85FE-9EB25856260F}"/>
    <hyperlink ref="B171" r:id="rId72" xr:uid="{D090CC80-9A14-4B6E-8E71-24DA1A243448}"/>
    <hyperlink ref="B172" r:id="rId73" xr:uid="{DAD1DD98-1C74-478E-9BC8-FFC82F850DCD}"/>
    <hyperlink ref="B178" r:id="rId74" xr:uid="{714417DD-4473-48E2-880F-5D2359187690}"/>
    <hyperlink ref="B179" r:id="rId75" xr:uid="{DFF6D823-7E17-4762-B232-51002F3F6F2D}"/>
    <hyperlink ref="B182" r:id="rId76" xr:uid="{84466105-FF95-4F76-B106-1347FB14E2F7}"/>
    <hyperlink ref="B188" r:id="rId77" xr:uid="{9BD1B835-2C35-462D-87A9-DEBFB1F27D66}"/>
    <hyperlink ref="B189" r:id="rId78" xr:uid="{48F06291-787B-47C6-8CBB-58B3DA952E88}"/>
    <hyperlink ref="B191" r:id="rId79" xr:uid="{86EE3D5B-FA96-41CF-8FF3-AF20D686E52D}"/>
    <hyperlink ref="B193" r:id="rId80" xr:uid="{B03D1117-6127-4F9A-AE8B-88BFD40E0122}"/>
    <hyperlink ref="B194" r:id="rId81" xr:uid="{9CC9EF88-3593-4E7A-B8D5-9A67F5F4F40E}"/>
    <hyperlink ref="B195" r:id="rId82" xr:uid="{114A2CC8-D45D-4D95-9F7D-BDB3CB2FF4DA}"/>
    <hyperlink ref="B196" r:id="rId83" xr:uid="{D09DDDA8-8801-4F72-B9F3-51310001F55A}"/>
    <hyperlink ref="B197" r:id="rId84" xr:uid="{428D7670-09B1-4A54-B0C1-8B2D9C4E22FF}"/>
    <hyperlink ref="B198" r:id="rId85" xr:uid="{A777FBFC-82BC-4E31-A86E-0FCC5741F9BF}"/>
    <hyperlink ref="B199" r:id="rId86" xr:uid="{E667E609-2F48-4F4F-BA1C-CD8E2F82752D}"/>
    <hyperlink ref="B200" r:id="rId87" xr:uid="{EBDA9831-1BDF-4B13-BCA5-54B83EFC005B}"/>
    <hyperlink ref="B201" r:id="rId88" xr:uid="{113B603A-2233-4FE6-8C13-D3605F036884}"/>
    <hyperlink ref="B205" r:id="rId89" xr:uid="{6B3B1CB1-BB1D-4CA7-9B3C-A75471BD6E0E}"/>
    <hyperlink ref="B206" r:id="rId90" xr:uid="{AF6D7579-4059-4BD7-98B7-7847F38491ED}"/>
    <hyperlink ref="B211" r:id="rId91" xr:uid="{894095A5-81E0-4BA1-85ED-6DE2A068C991}"/>
    <hyperlink ref="B213" r:id="rId92" xr:uid="{1A0B1559-3DCF-42C4-9292-26651D3F5397}"/>
    <hyperlink ref="B214" r:id="rId93" xr:uid="{62A90DAB-86D8-40ED-9496-AB1AB34FD9C5}"/>
    <hyperlink ref="B215" r:id="rId94" xr:uid="{806DB8B7-C7D7-49FA-8212-0FFF3436B6FC}"/>
    <hyperlink ref="B216" r:id="rId95" xr:uid="{450B2234-99DB-492C-BA91-8335E8183C23}"/>
    <hyperlink ref="B218" r:id="rId96" xr:uid="{B9837014-F31B-4C65-91DE-6F559627574A}"/>
    <hyperlink ref="B220" r:id="rId97" xr:uid="{45435171-467D-4E46-A113-7CB8E9BB2FDE}"/>
    <hyperlink ref="B221" r:id="rId98" xr:uid="{C8600B6C-5CB8-4796-ACF8-C9A382C03939}"/>
    <hyperlink ref="B222" r:id="rId99" xr:uid="{2C70390B-420F-4186-8676-8AA8A5153B83}"/>
    <hyperlink ref="B224" r:id="rId100" xr:uid="{B27FAA0E-062D-4E54-9BD7-74A998E3A164}"/>
    <hyperlink ref="B226" r:id="rId101" xr:uid="{D591A3F8-BC3A-463F-A45F-1E4F34CBDFC8}"/>
    <hyperlink ref="B228" r:id="rId102" xr:uid="{C1F7D956-B74E-4A86-AD39-094C3ECC5DB2}"/>
    <hyperlink ref="B231" r:id="rId103" xr:uid="{600906E2-0044-4ABB-87C2-1DD76C879BE7}"/>
    <hyperlink ref="B232" r:id="rId104" xr:uid="{750BF912-4DAA-48CE-BF75-B6FF08073E31}"/>
    <hyperlink ref="B233" r:id="rId105" xr:uid="{08B3A7E8-9658-4642-AB4B-7B9AA5F93A97}"/>
    <hyperlink ref="B234" r:id="rId106" xr:uid="{5D77918D-CCC0-47EC-8BFC-34C927021123}"/>
    <hyperlink ref="B235" r:id="rId107" xr:uid="{AA667708-4F7B-42F0-8021-07A313385007}"/>
    <hyperlink ref="B236" r:id="rId108" xr:uid="{26243F1B-4963-453B-8B52-97E3F41941F8}"/>
    <hyperlink ref="B239" r:id="rId109" xr:uid="{0EB2B1FF-5C75-433B-950D-12510A31568D}"/>
    <hyperlink ref="B241" r:id="rId110" xr:uid="{2F801E2E-8A5F-4B20-A119-67E33F9EDCE4}"/>
    <hyperlink ref="B242" r:id="rId111" xr:uid="{6AD0CBA1-09F3-4B89-AD8F-D327B24E12CC}"/>
    <hyperlink ref="B243" r:id="rId112" xr:uid="{B5C29BBF-D81E-4A3A-955B-C7978621F09F}"/>
    <hyperlink ref="B247" r:id="rId113" xr:uid="{A53372E5-7AF6-4C54-8DEA-A7FD07300BC3}"/>
    <hyperlink ref="B248" r:id="rId114" xr:uid="{D024F6C0-A9F6-4533-AA3E-1F70D5F47E9F}"/>
    <hyperlink ref="B255" r:id="rId115" xr:uid="{903D1C1F-0837-4967-8DEC-F40EC3E42C22}"/>
    <hyperlink ref="B256" r:id="rId116" xr:uid="{BE95874C-E265-4AEB-A5D3-57DB0795F5B6}"/>
    <hyperlink ref="B257" r:id="rId117" xr:uid="{4D7A619F-A5B3-4B28-BE8D-15AA1CA61E0E}"/>
    <hyperlink ref="B262" r:id="rId118" xr:uid="{65887171-1F84-4459-847A-321F1951F343}"/>
    <hyperlink ref="B264" r:id="rId119" xr:uid="{4FB23CD7-F844-4784-A0EC-27F12439E015}"/>
    <hyperlink ref="B266" r:id="rId120" xr:uid="{7F24CA41-FE7E-45D0-B648-1617EC29834C}"/>
    <hyperlink ref="B267" r:id="rId121" xr:uid="{FA08E3CF-E489-4EBC-9E16-2874E86AC21F}"/>
    <hyperlink ref="B268" r:id="rId122" xr:uid="{295537EA-7B6D-4AA5-95A4-95B49CED2E5A}"/>
    <hyperlink ref="B269" r:id="rId123" xr:uid="{44F7BB0D-CBA8-4FE9-B34C-F786FC3B662F}"/>
    <hyperlink ref="B271" r:id="rId124" xr:uid="{B8EC1246-B5AB-49E2-B0AC-FFD06FF5F494}"/>
    <hyperlink ref="B272" r:id="rId125" xr:uid="{FEB0200D-0736-41A1-BB0D-809276A8955C}"/>
    <hyperlink ref="B276" r:id="rId126" xr:uid="{20108C3D-7831-46A4-AFF5-71464DE363D7}"/>
    <hyperlink ref="B277" r:id="rId127" xr:uid="{6488073A-ADC9-46EF-AA11-D5069B0091DE}"/>
    <hyperlink ref="B279" r:id="rId128" xr:uid="{A1EB41C1-6CD0-450C-A0AA-0E9A21CBF8AE}"/>
    <hyperlink ref="B280" r:id="rId129" xr:uid="{96735996-B726-46F9-84C4-3CE7D069E44F}"/>
    <hyperlink ref="B281" r:id="rId130" xr:uid="{1F2B9D73-DA6F-4DC0-A239-21F2FB8D2B09}"/>
    <hyperlink ref="B282" r:id="rId131" xr:uid="{9A242220-C28F-461A-8C04-87EFF435F701}"/>
    <hyperlink ref="B283" r:id="rId132" xr:uid="{6B89F7DE-D776-45DE-B0E8-B494D55609D0}"/>
    <hyperlink ref="B284" r:id="rId133" xr:uid="{E2A73879-98DC-4987-99B0-7B6F851E1AF4}"/>
    <hyperlink ref="B285" r:id="rId134" xr:uid="{6D32BA22-ED44-4228-8CEE-885E8EADEDFB}"/>
    <hyperlink ref="B288" r:id="rId135" xr:uid="{B11381A0-6C5D-4862-8685-131743C955CD}"/>
    <hyperlink ref="B290" r:id="rId136" xr:uid="{6F973F81-04E7-476D-83C3-E9DCAECAD41D}"/>
    <hyperlink ref="B292" r:id="rId137" xr:uid="{E596A15C-6C92-4C9B-B0DF-526DBF531E2A}"/>
    <hyperlink ref="B293" r:id="rId138" xr:uid="{65884230-F326-4D73-B925-D50DE58FEC64}"/>
    <hyperlink ref="B297" r:id="rId139" xr:uid="{6DCCD465-FD92-4900-87CB-9CAA2ADE3391}"/>
    <hyperlink ref="B299" r:id="rId140" xr:uid="{254B117A-6C47-4CEC-B7F0-18542B124593}"/>
    <hyperlink ref="B301" r:id="rId141" xr:uid="{908503C6-A757-4E02-AFF0-76D3051353DE}"/>
    <hyperlink ref="B303" r:id="rId142" xr:uid="{5BA7D458-AB24-4C10-B1B1-5E27BEBEC9D3}"/>
    <hyperlink ref="B305" r:id="rId143" xr:uid="{3B14B519-31D1-40D0-AFC2-FDFB7E63828B}"/>
    <hyperlink ref="B307" r:id="rId144" xr:uid="{C774ABB8-6D4C-491C-A566-AE78A5840083}"/>
    <hyperlink ref="B315" r:id="rId145" xr:uid="{7B7E1290-CBD3-4611-89D1-2C6B97A99AF1}"/>
    <hyperlink ref="B318" r:id="rId146" xr:uid="{0B0B2B6E-CEC2-4179-925A-25339CBB1DB4}"/>
    <hyperlink ref="B319" r:id="rId147" xr:uid="{E8FC6A87-7769-4D99-9FD6-91883A754D1C}"/>
    <hyperlink ref="B320" r:id="rId148" xr:uid="{CDB9C8C1-3113-4525-AEA9-D004C7E07FF5}"/>
    <hyperlink ref="B323" r:id="rId149" xr:uid="{0F2032BE-D652-4BB8-BBD6-D3804C01597A}"/>
    <hyperlink ref="B325" r:id="rId150" xr:uid="{BBC092A8-F960-40C9-910C-BAB93340FF12}"/>
    <hyperlink ref="B326" r:id="rId151" xr:uid="{B88AE5AF-930A-446B-84EB-4527C5A62B12}"/>
    <hyperlink ref="B327" r:id="rId152" xr:uid="{DBF7F359-6135-49E1-8E26-C8B851A9FC8C}"/>
    <hyperlink ref="B328" r:id="rId153" xr:uid="{31431FDE-0ABA-42BF-850B-E88177D34CAD}"/>
    <hyperlink ref="B331" r:id="rId154" xr:uid="{BAEB0E49-F71C-49A3-B046-4E3C6EF0D101}"/>
    <hyperlink ref="B333" r:id="rId155" xr:uid="{669ACF94-998A-440E-A6EA-14C011A5AF4B}"/>
    <hyperlink ref="B334" r:id="rId156" xr:uid="{B3D3DA4E-6973-4920-BC9C-FE7E61019644}"/>
    <hyperlink ref="B335" r:id="rId157" xr:uid="{3F33DD14-6217-4EDF-8222-5385B162D420}"/>
    <hyperlink ref="B341" r:id="rId158" xr:uid="{516D2C7C-2760-4BD0-A4D0-985C0CD34F46}"/>
    <hyperlink ref="B344" r:id="rId159" xr:uid="{F70E27D1-54A8-4BD9-A8A1-4805816B941E}"/>
    <hyperlink ref="B345" r:id="rId160" xr:uid="{42E9718F-5117-4215-AB8E-40E2396E189B}"/>
    <hyperlink ref="B349" r:id="rId161" xr:uid="{B707810C-4EF9-4D68-B177-AF0BDA425B8F}"/>
    <hyperlink ref="B350" r:id="rId162" xr:uid="{47F36434-D58A-4A1F-BEA7-C8503E526AE9}"/>
    <hyperlink ref="B352" r:id="rId163" xr:uid="{C95F84A5-2FE5-4EFC-8B0C-173EE9292DE2}"/>
    <hyperlink ref="B353" r:id="rId164" xr:uid="{16F7673C-97C5-4D78-9A97-FFADE2948B74}"/>
    <hyperlink ref="B354" r:id="rId165" xr:uid="{23E616E8-4E9E-48BF-B194-51A0FFF86E2D}"/>
    <hyperlink ref="B355" r:id="rId166" xr:uid="{95E921DC-2D48-422D-9D8D-C0D456BAACD8}"/>
    <hyperlink ref="B361" r:id="rId167" xr:uid="{A7437FA1-4F57-4EAD-AAB6-B9DC4DA7E082}"/>
    <hyperlink ref="B363" r:id="rId168" xr:uid="{1125F188-DD68-4F80-8842-3D1FC382D380}"/>
    <hyperlink ref="B364" r:id="rId169" xr:uid="{28172642-2FE6-40CF-B2F9-247FCFC1E584}"/>
    <hyperlink ref="B366" r:id="rId170" xr:uid="{0A4B580F-12B3-46FE-AA08-8D9F9DDE53B1}"/>
    <hyperlink ref="B367" r:id="rId171" xr:uid="{B04D6542-26D5-41EA-8869-B48198A3B18B}"/>
    <hyperlink ref="B368" r:id="rId172" xr:uid="{BE0481E4-43E1-4724-9E39-61C221C4C485}"/>
    <hyperlink ref="B371" r:id="rId173" xr:uid="{9DFCB81E-18D3-4A1D-8E0D-3D870F9CEAE5}"/>
    <hyperlink ref="B372" r:id="rId174" xr:uid="{A1A5B184-7417-4593-9DE9-BA18ECC330EA}"/>
    <hyperlink ref="B373" r:id="rId175" xr:uid="{5ED052B6-E527-40CA-86FB-3E5C2B9AA345}"/>
    <hyperlink ref="B375" r:id="rId176" xr:uid="{6C22C0CE-BC20-4D76-9EED-A3E1122FE07C}"/>
    <hyperlink ref="B376" r:id="rId177" xr:uid="{C1347338-163D-445D-A7F9-3B55FA15B04E}"/>
    <hyperlink ref="B378" r:id="rId178" xr:uid="{544B541F-8B27-4343-A170-A41274E776F5}"/>
    <hyperlink ref="B379" r:id="rId179" xr:uid="{14AA167C-FC7B-4548-B603-44E07D15D701}"/>
    <hyperlink ref="B380" r:id="rId180" xr:uid="{B4EEDF54-03B8-423B-95C7-AA5F0B8D7F48}"/>
    <hyperlink ref="B381" r:id="rId181" xr:uid="{08C265A2-CEA0-4BA3-8CDF-F6A6DB135988}"/>
    <hyperlink ref="B382" r:id="rId182" xr:uid="{A779EA84-25C1-4BA6-BC55-1F5FF3741E07}"/>
    <hyperlink ref="B383" r:id="rId183" xr:uid="{2315DE2E-22B3-4208-8DC8-BB8047744E72}"/>
    <hyperlink ref="B384" r:id="rId184" xr:uid="{054AF254-AEA6-4FBF-9CE6-68BEA3F4F136}"/>
    <hyperlink ref="B385" r:id="rId185" xr:uid="{8FB523E5-AFD4-4486-AD59-AB2D8F15B5CE}"/>
    <hyperlink ref="B386" r:id="rId186" xr:uid="{6D52F67E-0814-4341-AAFE-3D582D27217B}"/>
    <hyperlink ref="B387" r:id="rId187" xr:uid="{70535BB0-86F3-45EF-BB30-685CD8C90224}"/>
    <hyperlink ref="B388" r:id="rId188" xr:uid="{222B959C-99C9-4324-B7E4-775160C97FDA}"/>
    <hyperlink ref="B389" r:id="rId189" xr:uid="{850E4D72-D941-4345-AF5A-74A996CF7F24}"/>
    <hyperlink ref="B390" r:id="rId190" xr:uid="{E44767DF-9BA2-4CA1-A58A-FCFDE47AB671}"/>
    <hyperlink ref="B392" r:id="rId191" xr:uid="{93F6A777-700D-4A40-90B9-C9FC7962E3AC}"/>
    <hyperlink ref="B394" r:id="rId192" xr:uid="{5730FF26-F981-459E-8262-80765615EED3}"/>
    <hyperlink ref="B400" r:id="rId193" xr:uid="{506D1796-EC02-4F3B-906A-1720DEC24CBB}"/>
    <hyperlink ref="B403" r:id="rId194" xr:uid="{28E79FFB-D308-4424-B772-9E748816B00A}"/>
    <hyperlink ref="B404" r:id="rId195" xr:uid="{DACBC4F1-0D0D-4B8C-B6FE-5773E351DD55}"/>
    <hyperlink ref="B405" r:id="rId196" xr:uid="{CB17A08A-ECE1-46B0-9549-EEAF2864AF35}"/>
    <hyperlink ref="B406" r:id="rId197" xr:uid="{BE84A7AD-5EE1-4C1B-A9E4-498292E761D7}"/>
    <hyperlink ref="B408" r:id="rId198" xr:uid="{8E116E1F-AE3F-40DD-97B5-41774298D33F}"/>
    <hyperlink ref="B411" r:id="rId199" xr:uid="{E0E28B5B-3AF2-404C-890C-7CAC51D9BBA5}"/>
    <hyperlink ref="B412" r:id="rId200" xr:uid="{078FF826-E661-4F78-89F9-F8396C616330}"/>
    <hyperlink ref="B413" r:id="rId201" xr:uid="{8037EBB9-F6DE-40F9-B9F3-5D0B7999EE08}"/>
    <hyperlink ref="B414" r:id="rId202" xr:uid="{DF811865-B230-41BC-B167-CDD5349F3710}"/>
    <hyperlink ref="B415" r:id="rId203" xr:uid="{4977EE90-7B68-40BA-AE2A-D1EB302D8FE0}"/>
    <hyperlink ref="B416" r:id="rId204" xr:uid="{0F6EB060-AC0E-4A6A-AE19-AED73CF32C3E}"/>
    <hyperlink ref="B417" r:id="rId205" xr:uid="{2E8688A3-2907-4E80-964E-34ABBD579505}"/>
    <hyperlink ref="B419" r:id="rId206" xr:uid="{0BF591BB-7EE1-4279-93F3-64A3E682AC96}"/>
    <hyperlink ref="B420" r:id="rId207" xr:uid="{7F1D5115-DF62-4739-8556-7BB5EC87BAFA}"/>
    <hyperlink ref="B422" r:id="rId208" xr:uid="{B8AC8C4D-CB21-4F3D-80F9-F44D33461687}"/>
    <hyperlink ref="B423" r:id="rId209" xr:uid="{5C599319-13D7-4B87-86C3-1C21852AC1C7}"/>
    <hyperlink ref="B425" r:id="rId210" xr:uid="{04557FC6-6121-4F9F-847E-05A848F47C1E}"/>
    <hyperlink ref="B426" r:id="rId211" xr:uid="{5358C06F-2FDF-4DBE-ADFD-4B16F7F12FA8}"/>
    <hyperlink ref="B427" r:id="rId212" xr:uid="{30F54E0F-A6EA-4F86-9E7A-8C36E4ABF2DB}"/>
    <hyperlink ref="B428" r:id="rId213" xr:uid="{2CBB974F-B35D-49D7-9A75-F60590A2DE0C}"/>
    <hyperlink ref="B432" r:id="rId214" xr:uid="{48A17AC6-B5E3-421E-BFD7-61994A8D7F7B}"/>
    <hyperlink ref="B433" r:id="rId215" xr:uid="{113E430C-7B03-4F73-8AD0-5E9B62EC184F}"/>
    <hyperlink ref="B434" r:id="rId216" xr:uid="{92273E43-C88E-4706-A098-E087EB16FC8E}"/>
    <hyperlink ref="B435" r:id="rId217" xr:uid="{AE09C2F5-D769-45D7-921E-0964FD54BBDB}"/>
    <hyperlink ref="B437" r:id="rId218" xr:uid="{CB5E705E-B1EB-40A4-BCF5-3A6C81E8CC3D}"/>
    <hyperlink ref="B438" r:id="rId219" xr:uid="{8157045A-E183-420D-922C-3BA65142CB06}"/>
    <hyperlink ref="B443" r:id="rId220" xr:uid="{07F72CBA-FE86-4B9C-B35C-2A6D68B8F2A6}"/>
    <hyperlink ref="B444" r:id="rId221" xr:uid="{F3856181-0116-48B9-8C8C-5F0BE6B5FD76}"/>
    <hyperlink ref="B446" r:id="rId222" xr:uid="{7E5BA2BD-8783-4CEC-99CF-20F63EC50164}"/>
    <hyperlink ref="B447" r:id="rId223" xr:uid="{2C19CE5C-C1E2-4F5B-8109-F85B2D2442F3}"/>
    <hyperlink ref="B448" r:id="rId224" xr:uid="{B7416416-DD22-468D-92C1-A36C3CB30F3C}"/>
    <hyperlink ref="B450" r:id="rId225" xr:uid="{0A565516-7D25-4047-B5F4-0A586227CE0E}"/>
    <hyperlink ref="B452" r:id="rId226" xr:uid="{7A6B7E78-D91B-45B2-AEAC-3B91A7D10E8C}"/>
    <hyperlink ref="B453" r:id="rId227" xr:uid="{6034C00F-E16E-4C82-92F7-08F031CD1632}"/>
    <hyperlink ref="B461" r:id="rId228" xr:uid="{B0C0872E-50DE-4B58-B449-8404739553BE}"/>
    <hyperlink ref="B462" r:id="rId229" xr:uid="{3CD81D86-C94E-48A7-BE6E-4575F68ADF6A}"/>
    <hyperlink ref="B463" r:id="rId230" xr:uid="{43CD873E-07E6-4850-B595-196662BC5F3B}"/>
    <hyperlink ref="B465" r:id="rId231" xr:uid="{43384F29-3EDF-4230-A51A-9C4134D953BB}"/>
    <hyperlink ref="B466" r:id="rId232" xr:uid="{21219807-AB8E-4135-A4F5-35B6E4693063}"/>
    <hyperlink ref="B467" r:id="rId233" xr:uid="{7A43461F-CD9C-489E-9022-D765E7346DAE}"/>
    <hyperlink ref="B473" r:id="rId234" xr:uid="{A949B7EC-E3B9-46EB-83E2-22EA97CEB14B}"/>
    <hyperlink ref="B474" r:id="rId235" xr:uid="{8863BD2E-37E1-4635-AFB3-15319C228801}"/>
    <hyperlink ref="B475" r:id="rId236" xr:uid="{8DA9EE09-8664-44AA-A0FE-411B8B298829}"/>
    <hyperlink ref="B480" r:id="rId237" xr:uid="{87B4601C-1350-4E02-9C64-ED81CF43A7D4}"/>
    <hyperlink ref="B481" r:id="rId238" xr:uid="{1E3D64CE-5C21-49DA-84B0-120C8A99F2CA}"/>
    <hyperlink ref="B484" r:id="rId239" xr:uid="{5E080E9F-4185-418C-8558-BC40B1AA018D}"/>
    <hyperlink ref="B485" r:id="rId240" xr:uid="{E9624E8C-D56D-4F3E-8534-FCDCA0CFCE2A}"/>
    <hyperlink ref="B486" r:id="rId241" xr:uid="{C2760E10-B71B-45E2-9F3D-83CC0E3B2AF0}"/>
    <hyperlink ref="B487" r:id="rId242" xr:uid="{30CC9091-2ED8-4C35-9AA0-8EFEB19A281B}"/>
    <hyperlink ref="B488" r:id="rId243" xr:uid="{EF3F2944-FB6A-4487-951E-C5E39DB553B7}"/>
    <hyperlink ref="B490" r:id="rId244" xr:uid="{F3CCD5D6-5D59-4074-8EA9-7CE0241DA9E6}"/>
    <hyperlink ref="B491" r:id="rId245" xr:uid="{11263649-2FF8-4C20-8C4B-8B2DB05DE4E3}"/>
    <hyperlink ref="B493" r:id="rId246" xr:uid="{90DC15B2-898F-4CE7-84BB-499D183406F3}"/>
    <hyperlink ref="B494" r:id="rId247" xr:uid="{4798EC5D-2DDE-4C81-936E-69D61F38AF2A}"/>
    <hyperlink ref="B495" r:id="rId248" xr:uid="{8D7B81F4-4611-4458-A3FB-B98B2D8B6A9E}"/>
    <hyperlink ref="B496" r:id="rId249" xr:uid="{88DF2965-787D-4D49-80B9-6FD0944ACB8C}"/>
    <hyperlink ref="B497" r:id="rId250" xr:uid="{EFAA0ECA-BCBC-43E5-ADB9-5456C487F861}"/>
    <hyperlink ref="B498" r:id="rId251" xr:uid="{C1BE953D-2889-4C2E-856E-E8D59EA29184}"/>
    <hyperlink ref="B499" r:id="rId252" xr:uid="{933EFC38-4C9D-46C6-A10F-6BE54F7FFB95}"/>
    <hyperlink ref="B500" r:id="rId253" xr:uid="{B9526DE4-109A-46BD-825B-500F99D5CEA2}"/>
    <hyperlink ref="B501" r:id="rId254" xr:uid="{4CE39626-26E6-4D2C-9AC3-9D9634FA150A}"/>
    <hyperlink ref="B503" r:id="rId255" xr:uid="{4716BC1B-2603-43DB-90CF-EE1126CB7C8C}"/>
    <hyperlink ref="B506" r:id="rId256" xr:uid="{211CB6B4-C194-4FBD-B011-B526865099DA}"/>
    <hyperlink ref="B507" r:id="rId257" xr:uid="{FC992515-D343-4CD3-8CEB-99EDFCBDEFBC}"/>
    <hyperlink ref="B508" r:id="rId258" xr:uid="{C0C385BD-27D8-4AB6-9D2D-97E01490F692}"/>
    <hyperlink ref="B509" r:id="rId259" xr:uid="{24621410-B43B-4C59-BE16-F5EC2F4B207E}"/>
    <hyperlink ref="B510" r:id="rId260" xr:uid="{10BD7AA4-7AE2-4D50-8A41-349CBA550959}"/>
    <hyperlink ref="B511" r:id="rId261" xr:uid="{6B8D57E2-D620-4642-A4AF-069D5CBF7339}"/>
    <hyperlink ref="B512" r:id="rId262" xr:uid="{91577D22-FFA7-4EA7-992B-665F326643CF}"/>
    <hyperlink ref="B513" r:id="rId263" xr:uid="{B9F11815-5F4E-4CAD-9C95-5D74A412617B}"/>
    <hyperlink ref="B515" r:id="rId264" xr:uid="{2D13E1B9-2BF5-4E25-A7A8-D412016680BA}"/>
    <hyperlink ref="B516" r:id="rId265" xr:uid="{6B8D98DE-B0E0-4A98-8DB3-CF3596CF5821}"/>
    <hyperlink ref="B517" r:id="rId266" xr:uid="{33EF385F-6B44-494B-960F-4E1087CC0631}"/>
    <hyperlink ref="B518" r:id="rId267" xr:uid="{154A749C-402F-4D6E-8A89-8F48624A1237}"/>
    <hyperlink ref="B521" r:id="rId268" xr:uid="{FAE5D222-2AF5-48DD-808C-5D5E7FADA88D}"/>
    <hyperlink ref="B525" r:id="rId269" xr:uid="{3C54D1AA-989E-4AE9-A4B0-58FD6550569D}"/>
    <hyperlink ref="B526" r:id="rId270" xr:uid="{E9E8E104-FCC8-4647-B21E-48B516562479}"/>
    <hyperlink ref="B527" r:id="rId271" xr:uid="{7F9E81F9-93F9-45B3-B107-9E4068CAE0A3}"/>
    <hyperlink ref="B530" r:id="rId272" xr:uid="{D8BFAFAC-4731-48D2-9B94-E294CFEEBD81}"/>
    <hyperlink ref="B532" r:id="rId273" xr:uid="{69B7AC45-DB85-485D-B848-696A2B44F5B6}"/>
    <hyperlink ref="B535" r:id="rId274" xr:uid="{BB0CC00E-7DE4-44A8-B4F9-F44BD8D63E8A}"/>
    <hyperlink ref="B536" r:id="rId275" xr:uid="{0437B821-C89D-49BB-9D8B-3241879F5004}"/>
    <hyperlink ref="B538" r:id="rId276" xr:uid="{2AC1C72D-6FFE-4B76-9BC8-10704EE5C2B6}"/>
    <hyperlink ref="B539" r:id="rId277" xr:uid="{F8BB9683-17CB-4D9F-B8C4-3A8BC474FED5}"/>
    <hyperlink ref="B541" r:id="rId278" xr:uid="{796ACC38-3CF6-466D-87DA-56F405541D6B}"/>
    <hyperlink ref="B542" r:id="rId279" xr:uid="{90E04885-F6E4-47FD-A861-FDCEE7A0492D}"/>
    <hyperlink ref="B545" r:id="rId280" xr:uid="{566616E8-DC9C-45F9-8C91-CBF58FC43C4B}"/>
    <hyperlink ref="B546" r:id="rId281" xr:uid="{3CF47C19-8E27-477F-8D9F-E5D339BE5260}"/>
    <hyperlink ref="B548" r:id="rId282" xr:uid="{1B772A45-9FBC-4CD6-B4B4-E8E2E422EC28}"/>
    <hyperlink ref="B549" r:id="rId283" xr:uid="{E9ABB8BF-DF84-43B8-9FC7-A3ABDE334FA4}"/>
    <hyperlink ref="B550" r:id="rId284" xr:uid="{F6B479BD-C98E-4DBD-A3DB-AC2F0E3B5A9B}"/>
    <hyperlink ref="B551" r:id="rId285" xr:uid="{9EE5BB54-AC81-45AB-A06B-B5E22B54AEE9}"/>
    <hyperlink ref="B552" r:id="rId286" xr:uid="{20457CD3-85BF-47FA-A63F-73618FC3EB26}"/>
    <hyperlink ref="B555" r:id="rId287" xr:uid="{37A1E3AE-7C33-4BAF-92FC-664C53877602}"/>
    <hyperlink ref="B558" r:id="rId288" xr:uid="{2BA5CA41-90B5-4905-A08C-EBD317C71DDE}"/>
    <hyperlink ref="B560" r:id="rId289" xr:uid="{B09C99FD-FF80-4E5F-B961-BA13CA455203}"/>
    <hyperlink ref="B561" r:id="rId290" xr:uid="{22C3616F-3ADA-4929-99F8-C597252DA813}"/>
    <hyperlink ref="B562" r:id="rId291" xr:uid="{96F5347F-4403-4618-B2F2-5BDE0BBFD445}"/>
    <hyperlink ref="B563" r:id="rId292" xr:uid="{8DC46074-2646-43BB-B009-CC6D0D7C45EE}"/>
    <hyperlink ref="B564" r:id="rId293" xr:uid="{F7806AE7-64BA-4C6A-A553-1A266974D5BC}"/>
    <hyperlink ref="B565" r:id="rId294" xr:uid="{3C7E5C2A-B975-45FE-AE64-7EF3043A8BE4}"/>
    <hyperlink ref="B566" r:id="rId295" xr:uid="{6005B8FF-87BF-4BCA-9407-5E0576DA4B97}"/>
    <hyperlink ref="B567" r:id="rId296" xr:uid="{7530080A-5661-4C0C-8097-8244FF0C76DE}"/>
    <hyperlink ref="B569" r:id="rId297" xr:uid="{830841D4-5812-49E6-A84A-8A7DC8559795}"/>
    <hyperlink ref="B572" r:id="rId298" xr:uid="{9A52E943-32D4-4C05-8C94-5DD8CCAE70DD}"/>
    <hyperlink ref="B575" r:id="rId299" xr:uid="{7FA0D55D-4604-49CB-B957-183C72130901}"/>
    <hyperlink ref="B577" r:id="rId300" xr:uid="{29D6EAA9-7129-488B-B223-5B798B99442C}"/>
    <hyperlink ref="B578" r:id="rId301" xr:uid="{D93D815F-EF96-465B-B845-1B131371B955}"/>
    <hyperlink ref="B579" r:id="rId302" xr:uid="{A150168A-3E08-40C0-8DEA-8D8A2EEC77F7}"/>
    <hyperlink ref="B581" r:id="rId303" xr:uid="{D232068E-73FE-4289-8ED9-CC9712BC8261}"/>
    <hyperlink ref="B582" r:id="rId304" xr:uid="{BD9CDFA9-596E-45C6-9B13-266F6EB416D5}"/>
    <hyperlink ref="B583" r:id="rId305" xr:uid="{D36874BF-E908-46FF-B606-0CA77B806D9C}"/>
    <hyperlink ref="B584" r:id="rId306" xr:uid="{E00A2F5D-0B1A-46AE-9DFF-C19A47372D94}"/>
    <hyperlink ref="B589" r:id="rId307" xr:uid="{4A47E698-ED8A-41E9-986C-1B313923FEA9}"/>
    <hyperlink ref="B595" r:id="rId308" xr:uid="{1A65878F-AC4A-4412-A57D-F7CF7934CF26}"/>
    <hyperlink ref="B596" r:id="rId309" xr:uid="{422B5F47-003A-4DBE-8C21-727CEE5A181A}"/>
    <hyperlink ref="B599" r:id="rId310" xr:uid="{B8F89AB7-8BEC-41C9-8986-70CAE3392BA4}"/>
    <hyperlink ref="B600" r:id="rId311" xr:uid="{9A5701D7-28E7-4FEA-9F59-73A53FB2B9B5}"/>
    <hyperlink ref="B601" r:id="rId312" xr:uid="{A68D4E56-E861-4CBC-AFEF-8511F2DC16A6}"/>
    <hyperlink ref="B602" r:id="rId313" xr:uid="{93DD7BFA-B4E3-422D-B827-7733CC4EF498}"/>
    <hyperlink ref="B606" r:id="rId314" xr:uid="{80804AA3-A5DB-4EE6-8EA9-79E674BDF202}"/>
    <hyperlink ref="B607" r:id="rId315" xr:uid="{7FB9A4DA-2D76-4FC9-AEEE-ABE089DDD31A}"/>
    <hyperlink ref="B609" r:id="rId316" xr:uid="{F2A30153-4F77-4837-9517-E8AAE70B82AB}"/>
    <hyperlink ref="B610" r:id="rId317" xr:uid="{913FA944-4DDF-491F-959D-D0BB85FE142C}"/>
    <hyperlink ref="B612" r:id="rId318" xr:uid="{82B868AB-31B5-4E56-A7C4-FBAFEDE28D6B}"/>
    <hyperlink ref="B614" r:id="rId319" xr:uid="{C82F2444-151B-41FA-BAC3-3615079F9E5F}"/>
    <hyperlink ref="B619" r:id="rId320" xr:uid="{50A4E847-50E0-45A6-B5D4-6ED5D13BBB2D}"/>
    <hyperlink ref="B621" r:id="rId321" xr:uid="{B8A66303-6816-469C-8D56-F15CD2A0AE08}"/>
    <hyperlink ref="B625" r:id="rId322" xr:uid="{40A36D92-E668-40A9-851F-01A89707D8D6}"/>
    <hyperlink ref="B626" r:id="rId323" xr:uid="{82776A46-DB9D-42F4-AB5E-BBAE053C8A40}"/>
    <hyperlink ref="B627" r:id="rId324" xr:uid="{97520291-BBB1-432E-BE14-E3CAC44C45C5}"/>
    <hyperlink ref="B628" r:id="rId325" xr:uid="{4C573DD1-2F90-40CE-BFBA-E5BF9E7E5B26}"/>
    <hyperlink ref="B630" r:id="rId326" xr:uid="{0E9EA8F6-A986-4664-8BA9-5C7B537EEF92}"/>
    <hyperlink ref="B631" r:id="rId327" xr:uid="{0011BFE7-F865-442A-8719-89C7854D8EEF}"/>
    <hyperlink ref="B633" r:id="rId328" xr:uid="{D1E6592B-48FF-4E80-B276-F8EBDB6343C4}"/>
    <hyperlink ref="B637" r:id="rId329" xr:uid="{7D0300BD-2E62-460C-8EC1-98F74D01F783}"/>
    <hyperlink ref="B639" r:id="rId330" xr:uid="{771FF751-109C-426B-88CC-44291F3DB40C}"/>
    <hyperlink ref="B642" r:id="rId331" xr:uid="{AD168DA3-A707-4A88-9C67-8BCBC6763D03}"/>
    <hyperlink ref="B644" r:id="rId332" xr:uid="{68E42108-3F51-4C4B-8163-25E73A5AF899}"/>
    <hyperlink ref="B646" r:id="rId333" xr:uid="{C6FE007B-FD4B-4DCD-8173-09604450E424}"/>
    <hyperlink ref="B647" r:id="rId334" xr:uid="{C7563268-9B70-4F88-9B35-831E55E464BB}"/>
    <hyperlink ref="B650" r:id="rId335" xr:uid="{D8F767D1-EB0B-4879-9E8E-ED1D2BAF3F0E}"/>
    <hyperlink ref="B653" r:id="rId336" xr:uid="{EF85C19B-24DA-4710-B37C-43EB2E40523B}"/>
    <hyperlink ref="B654" r:id="rId337" xr:uid="{CC22DB2E-D9E6-4811-B3BF-7823A0B6E335}"/>
    <hyperlink ref="B657" r:id="rId338" xr:uid="{EAB0F152-EC27-4E66-A45D-2141DC564D43}"/>
    <hyperlink ref="B658" r:id="rId339" xr:uid="{6FBB94DF-E1BB-4413-AF35-B064A7574362}"/>
    <hyperlink ref="B659" r:id="rId340" xr:uid="{FF313F5B-1209-4410-9129-1B8A4A031229}"/>
    <hyperlink ref="B660" r:id="rId341" xr:uid="{6C2E3999-0026-4313-AFC5-F66AB197D270}"/>
    <hyperlink ref="B661" r:id="rId342" xr:uid="{4C08827C-DFFD-4376-80C2-4D52BD6BB050}"/>
    <hyperlink ref="B662" r:id="rId343" xr:uid="{03837034-70C3-43FC-9FA5-E7AAA57BD1CB}"/>
    <hyperlink ref="B663" r:id="rId344" xr:uid="{006B7867-FE0F-46EA-85AB-0A5A0C4D6045}"/>
    <hyperlink ref="B664" r:id="rId345" xr:uid="{0404EE0F-3BF5-40FC-9865-0448E7A2FD3E}"/>
    <hyperlink ref="B665" r:id="rId346" xr:uid="{27F03B40-4FDB-4728-8FEB-8E55D75929AE}"/>
    <hyperlink ref="B674" r:id="rId347" xr:uid="{C99275E8-7F88-4C6E-9F4E-58E1E78C3545}"/>
    <hyperlink ref="B676" r:id="rId348" xr:uid="{5CBCF3EE-BDA0-455B-8E2B-5BE59712B6BC}"/>
    <hyperlink ref="B678" r:id="rId349" xr:uid="{5097BE23-DED3-4633-8537-15F94AF4E711}"/>
    <hyperlink ref="B679" r:id="rId350" xr:uid="{23604C7F-59FA-4AC6-A14C-02CB658D2765}"/>
    <hyperlink ref="B681" r:id="rId351" xr:uid="{4ED1A844-EA5D-4728-9A82-A00882BAE28A}"/>
    <hyperlink ref="B682" r:id="rId352" xr:uid="{7CA67E10-5C15-4C90-A401-BC0CED9D3DBF}"/>
    <hyperlink ref="B685" r:id="rId353" xr:uid="{48FFA064-C86A-449D-B5A6-12F4A964BFFF}"/>
    <hyperlink ref="B686" r:id="rId354" xr:uid="{8A1284E7-4117-4CA2-9BE0-A36ED3E8F87C}"/>
    <hyperlink ref="B690" r:id="rId355" xr:uid="{F4FA5FCC-1D30-45E7-88F8-B0FFB055A517}"/>
    <hyperlink ref="B691" r:id="rId356" xr:uid="{7D24829D-4CD0-4248-A5C8-F13BF3CF7295}"/>
    <hyperlink ref="B693" r:id="rId357" xr:uid="{6D869B6E-F8D8-4F7A-945E-92C7422D4BDF}"/>
    <hyperlink ref="B694" r:id="rId358" xr:uid="{7EBA1B3E-5D0D-436F-8A90-A48300EE9857}"/>
    <hyperlink ref="B696" r:id="rId359" xr:uid="{5A8AA6F0-5B0A-4C9B-8AB4-FF870E438208}"/>
    <hyperlink ref="B697" r:id="rId360" xr:uid="{7859B3DF-8603-46CE-A234-CA7A6307B8E5}"/>
    <hyperlink ref="B698" r:id="rId361" xr:uid="{3D754BAE-778E-499F-9EFB-903DE3667353}"/>
    <hyperlink ref="B700" r:id="rId362" xr:uid="{8B67610E-809C-44F7-BF59-15ADE7EC0AB7}"/>
    <hyperlink ref="B702" r:id="rId363" xr:uid="{5AAEBE36-8939-45FE-9CBE-44D6529CD13B}"/>
  </hyperlinks>
  <pageMargins left="0.7" right="0.7" top="0.75" bottom="0.75" header="0.3" footer="0.3"/>
  <ignoredErrors>
    <ignoredError sqref="AG6 AH3" evalErro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A9A6D-DABD-4258-A1AA-88A8C8EC9315}">
  <dimension ref="A1:N705"/>
  <sheetViews>
    <sheetView zoomScale="70" zoomScaleNormal="70" workbookViewId="0">
      <selection activeCell="G59" sqref="G59"/>
    </sheetView>
  </sheetViews>
  <sheetFormatPr defaultRowHeight="12.75"/>
  <cols>
    <col min="1" max="1" width="40.7109375" customWidth="1"/>
    <col min="2" max="2" width="15.7109375" customWidth="1"/>
    <col min="4" max="5" width="14.28515625" customWidth="1"/>
    <col min="6" max="6" width="16.28515625" customWidth="1"/>
    <col min="7" max="7" width="10.140625" bestFit="1" customWidth="1"/>
    <col min="8" max="8" width="16.5703125" customWidth="1"/>
    <col min="9" max="9" width="16.7109375" customWidth="1"/>
    <col min="11" max="11" width="12" bestFit="1" customWidth="1"/>
    <col min="13" max="13" width="16.140625" customWidth="1"/>
  </cols>
  <sheetData>
    <row r="1" spans="1:14" ht="75">
      <c r="B1" s="1058" t="s">
        <v>1996</v>
      </c>
      <c r="C1" s="1058" t="s">
        <v>1997</v>
      </c>
      <c r="E1" t="s">
        <v>1998</v>
      </c>
      <c r="F1" t="s">
        <v>1999</v>
      </c>
      <c r="G1" t="s">
        <v>2000</v>
      </c>
      <c r="H1" t="s">
        <v>2001</v>
      </c>
      <c r="I1" t="s">
        <v>2002</v>
      </c>
      <c r="J1" t="s">
        <v>2003</v>
      </c>
      <c r="K1" t="s">
        <v>2004</v>
      </c>
      <c r="L1" t="s">
        <v>2005</v>
      </c>
      <c r="M1" t="s">
        <v>2006</v>
      </c>
      <c r="N1" t="s">
        <v>2007</v>
      </c>
    </row>
    <row r="2" spans="1:14" ht="15">
      <c r="A2" s="1044" t="s">
        <v>536</v>
      </c>
      <c r="B2" s="1059" t="s">
        <v>2008</v>
      </c>
      <c r="C2" s="1059" t="s">
        <v>2009</v>
      </c>
      <c r="E2" s="1002">
        <v>-2051582</v>
      </c>
      <c r="F2" s="1060" t="s">
        <v>2010</v>
      </c>
      <c r="G2" s="264">
        <f t="shared" ref="G2:G65" si="0">E2/F2</f>
        <v>-3.1796801467265705E-2</v>
      </c>
      <c r="H2" t="s">
        <v>2011</v>
      </c>
      <c r="I2" t="s">
        <v>2012</v>
      </c>
      <c r="J2">
        <f t="shared" ref="J2:J65" si="1">H3/I3</f>
        <v>6.7506166085523782</v>
      </c>
      <c r="K2" s="1045">
        <v>56820724</v>
      </c>
      <c r="L2" s="264" t="s">
        <v>2013</v>
      </c>
      <c r="M2" s="1044" t="s">
        <v>2014</v>
      </c>
      <c r="N2">
        <f t="shared" ref="N2:N15" si="2">I2/M2</f>
        <v>-1.952951139996564E-2</v>
      </c>
    </row>
    <row r="3" spans="1:14" ht="15">
      <c r="A3" s="1043" t="s">
        <v>538</v>
      </c>
      <c r="B3" s="1043" t="s">
        <v>2015</v>
      </c>
      <c r="C3" s="1043" t="s">
        <v>2011</v>
      </c>
      <c r="E3" s="999" t="s">
        <v>2016</v>
      </c>
      <c r="F3" s="1047" t="s">
        <v>2017</v>
      </c>
      <c r="G3" s="264">
        <f t="shared" si="0"/>
        <v>5.8417494634343974E-2</v>
      </c>
      <c r="H3" t="s">
        <v>2018</v>
      </c>
      <c r="I3" t="s">
        <v>2019</v>
      </c>
      <c r="J3">
        <f t="shared" si="1"/>
        <v>-8.4282546709724731</v>
      </c>
      <c r="K3" s="1043" t="s">
        <v>2020</v>
      </c>
      <c r="L3" s="264" t="s">
        <v>2021</v>
      </c>
      <c r="M3" s="1043" t="s">
        <v>2022</v>
      </c>
      <c r="N3">
        <f t="shared" si="2"/>
        <v>5.5994598477963682E-2</v>
      </c>
    </row>
    <row r="4" spans="1:14" ht="15">
      <c r="A4" s="1043" t="s">
        <v>540</v>
      </c>
      <c r="B4" s="1043" t="s">
        <v>2023</v>
      </c>
      <c r="C4" s="1043" t="s">
        <v>2018</v>
      </c>
      <c r="E4" s="999" t="s">
        <v>2024</v>
      </c>
      <c r="F4" s="1047" t="s">
        <v>2025</v>
      </c>
      <c r="G4" s="264">
        <f t="shared" si="0"/>
        <v>-0.19046529047270358</v>
      </c>
      <c r="H4" t="s">
        <v>2026</v>
      </c>
      <c r="I4" t="s">
        <v>2027</v>
      </c>
      <c r="J4">
        <f t="shared" si="1"/>
        <v>2.7395067956181229</v>
      </c>
      <c r="K4" s="1043" t="s">
        <v>2028</v>
      </c>
      <c r="L4" s="264" t="s">
        <v>2029</v>
      </c>
      <c r="M4" s="1043" t="s">
        <v>2030</v>
      </c>
      <c r="N4">
        <f t="shared" si="2"/>
        <v>-3.6947744166394993E-2</v>
      </c>
    </row>
    <row r="5" spans="1:14" ht="15">
      <c r="A5" s="1043" t="s">
        <v>543</v>
      </c>
      <c r="B5" s="1043" t="s">
        <v>2031</v>
      </c>
      <c r="C5" s="1043" t="s">
        <v>2026</v>
      </c>
      <c r="E5" s="999" t="s">
        <v>2032</v>
      </c>
      <c r="F5" s="1047" t="s">
        <v>2033</v>
      </c>
      <c r="G5" s="264">
        <f t="shared" si="0"/>
        <v>0.20870868896284817</v>
      </c>
      <c r="H5" t="s">
        <v>2034</v>
      </c>
      <c r="I5" t="s">
        <v>2035</v>
      </c>
      <c r="J5">
        <f t="shared" si="1"/>
        <v>3.8272459764514664</v>
      </c>
      <c r="K5" s="1043" t="s">
        <v>2036</v>
      </c>
      <c r="L5" s="264" t="s">
        <v>2037</v>
      </c>
      <c r="M5" s="1043" t="s">
        <v>2038</v>
      </c>
      <c r="N5">
        <f t="shared" si="2"/>
        <v>9.7758429564573868E-2</v>
      </c>
    </row>
    <row r="6" spans="1:14" ht="15">
      <c r="A6" s="1043" t="s">
        <v>545</v>
      </c>
      <c r="B6" s="1043" t="s">
        <v>2039</v>
      </c>
      <c r="C6" s="1043" t="s">
        <v>2034</v>
      </c>
      <c r="E6" s="999" t="s">
        <v>2040</v>
      </c>
      <c r="F6" s="1047" t="s">
        <v>2041</v>
      </c>
      <c r="G6" s="264">
        <f t="shared" si="0"/>
        <v>8.5779729913908975E-2</v>
      </c>
      <c r="H6" t="s">
        <v>2042</v>
      </c>
      <c r="I6" t="s">
        <v>2043</v>
      </c>
      <c r="J6">
        <f t="shared" si="1"/>
        <v>-17.405036140775461</v>
      </c>
      <c r="K6" s="1043" t="s">
        <v>2044</v>
      </c>
      <c r="L6" s="264" t="s">
        <v>2045</v>
      </c>
      <c r="M6" s="1043" t="s">
        <v>2046</v>
      </c>
      <c r="N6">
        <f t="shared" si="2"/>
        <v>5.8760447775581821E-2</v>
      </c>
    </row>
    <row r="7" spans="1:14" ht="15">
      <c r="A7" s="1043" t="s">
        <v>548</v>
      </c>
      <c r="B7" s="1043" t="s">
        <v>2047</v>
      </c>
      <c r="C7" s="1043" t="s">
        <v>2042</v>
      </c>
      <c r="E7" s="999" t="s">
        <v>2048</v>
      </c>
      <c r="F7" s="1047" t="s">
        <v>2049</v>
      </c>
      <c r="G7" s="264">
        <f t="shared" si="0"/>
        <v>-5.549211272145687E-2</v>
      </c>
      <c r="H7" t="s">
        <v>2050</v>
      </c>
      <c r="I7" t="s">
        <v>2051</v>
      </c>
      <c r="J7">
        <f t="shared" si="1"/>
        <v>-10.799588281124059</v>
      </c>
      <c r="K7" s="1043" t="s">
        <v>2052</v>
      </c>
      <c r="L7" s="264" t="s">
        <v>2053</v>
      </c>
      <c r="M7" s="1043" t="s">
        <v>2054</v>
      </c>
      <c r="N7">
        <f t="shared" si="2"/>
        <v>-0.13606433594721656</v>
      </c>
    </row>
    <row r="8" spans="1:14" ht="15">
      <c r="A8" s="1043" t="s">
        <v>551</v>
      </c>
      <c r="B8" s="1043" t="s">
        <v>2055</v>
      </c>
      <c r="C8" s="1043" t="s">
        <v>2050</v>
      </c>
      <c r="E8" s="999" t="s">
        <v>2056</v>
      </c>
      <c r="F8" s="1047" t="s">
        <v>2057</v>
      </c>
      <c r="G8" s="264">
        <f t="shared" si="0"/>
        <v>-7.3425815883784384E-2</v>
      </c>
      <c r="H8" t="s">
        <v>2058</v>
      </c>
      <c r="I8" t="s">
        <v>2059</v>
      </c>
      <c r="J8">
        <f t="shared" si="1"/>
        <v>0.29466034455399703</v>
      </c>
      <c r="K8" s="1043" t="s">
        <v>2060</v>
      </c>
      <c r="L8" s="264" t="s">
        <v>2061</v>
      </c>
      <c r="M8" s="1043" t="s">
        <v>2062</v>
      </c>
      <c r="N8">
        <f t="shared" si="2"/>
        <v>-0.8219531284911642</v>
      </c>
    </row>
    <row r="9" spans="1:14" ht="15">
      <c r="A9" s="1043" t="s">
        <v>555</v>
      </c>
      <c r="B9" s="1043" t="s">
        <v>2063</v>
      </c>
      <c r="C9" s="1043" t="s">
        <v>2058</v>
      </c>
      <c r="E9" s="999" t="s">
        <v>2064</v>
      </c>
      <c r="F9" s="1047" t="s">
        <v>2065</v>
      </c>
      <c r="G9" s="264">
        <f t="shared" si="0"/>
        <v>8.2155764125000974E-2</v>
      </c>
      <c r="H9" t="s">
        <v>2066</v>
      </c>
      <c r="I9" t="s">
        <v>2067</v>
      </c>
      <c r="J9">
        <f t="shared" si="1"/>
        <v>7.6262773744192147</v>
      </c>
      <c r="K9" s="1043" t="s">
        <v>2068</v>
      </c>
      <c r="L9" s="264" t="s">
        <v>2069</v>
      </c>
      <c r="M9" s="1043" t="s">
        <v>2070</v>
      </c>
      <c r="N9">
        <f t="shared" si="2"/>
        <v>0.12389211001416012</v>
      </c>
    </row>
    <row r="10" spans="1:14" ht="15">
      <c r="A10" s="1043" t="s">
        <v>561</v>
      </c>
      <c r="B10" s="1043" t="s">
        <v>2071</v>
      </c>
      <c r="C10" s="1043" t="s">
        <v>2066</v>
      </c>
      <c r="E10" s="999" t="s">
        <v>2072</v>
      </c>
      <c r="F10" s="1047" t="s">
        <v>2073</v>
      </c>
      <c r="G10" s="264">
        <f t="shared" si="0"/>
        <v>4.3891912858686898E-2</v>
      </c>
      <c r="H10" t="s">
        <v>2074</v>
      </c>
      <c r="I10" t="s">
        <v>2075</v>
      </c>
      <c r="J10">
        <f t="shared" si="1"/>
        <v>2.3672686670507268</v>
      </c>
      <c r="K10" s="1043" t="s">
        <v>2076</v>
      </c>
      <c r="L10" s="264" t="s">
        <v>2077</v>
      </c>
      <c r="M10" s="1043" t="s">
        <v>2078</v>
      </c>
      <c r="N10">
        <f t="shared" si="2"/>
        <v>4.2501961474595958E-2</v>
      </c>
    </row>
    <row r="11" spans="1:14" ht="15">
      <c r="A11" s="1043" t="s">
        <v>564</v>
      </c>
      <c r="B11" s="1043" t="s">
        <v>2079</v>
      </c>
      <c r="C11" s="1043" t="s">
        <v>2074</v>
      </c>
      <c r="E11" s="999" t="s">
        <v>2080</v>
      </c>
      <c r="F11" s="1047" t="s">
        <v>2081</v>
      </c>
      <c r="G11" s="264">
        <f t="shared" si="0"/>
        <v>4.5092042932941022E-2</v>
      </c>
      <c r="H11" t="s">
        <v>2082</v>
      </c>
      <c r="I11" t="s">
        <v>2083</v>
      </c>
      <c r="J11">
        <f t="shared" si="1"/>
        <v>3.9491932839547366E-3</v>
      </c>
      <c r="K11" s="1043" t="s">
        <v>2084</v>
      </c>
      <c r="L11" s="264" t="s">
        <v>2085</v>
      </c>
      <c r="M11" s="1043" t="s">
        <v>2086</v>
      </c>
      <c r="N11">
        <f t="shared" si="2"/>
        <v>3.5653877900814375E-2</v>
      </c>
    </row>
    <row r="12" spans="1:14" ht="15">
      <c r="A12" s="1043" t="s">
        <v>567</v>
      </c>
      <c r="B12" s="1043" t="s">
        <v>2087</v>
      </c>
      <c r="C12" s="1043" t="s">
        <v>2082</v>
      </c>
      <c r="E12" s="999" t="s">
        <v>2088</v>
      </c>
      <c r="F12" s="1047" t="s">
        <v>2089</v>
      </c>
      <c r="G12" s="264">
        <f t="shared" si="0"/>
        <v>-2.0979349091339677E-2</v>
      </c>
      <c r="H12" t="s">
        <v>2090</v>
      </c>
      <c r="I12" t="s">
        <v>2091</v>
      </c>
      <c r="J12">
        <f t="shared" si="1"/>
        <v>1.4746543941441999</v>
      </c>
      <c r="K12" s="1043" t="s">
        <v>2092</v>
      </c>
      <c r="L12" s="264" t="s">
        <v>2093</v>
      </c>
      <c r="M12" s="1043" t="s">
        <v>2094</v>
      </c>
      <c r="N12">
        <f t="shared" si="2"/>
        <v>5.1230174939988611E-2</v>
      </c>
    </row>
    <row r="13" spans="1:14" ht="15">
      <c r="A13" s="1043" t="s">
        <v>569</v>
      </c>
      <c r="B13" s="1043" t="s">
        <v>2095</v>
      </c>
      <c r="C13" s="1043" t="s">
        <v>2090</v>
      </c>
      <c r="E13" t="s">
        <v>2096</v>
      </c>
      <c r="F13" s="1043" t="s">
        <v>2097</v>
      </c>
      <c r="G13" s="264">
        <f t="shared" si="0"/>
        <v>0.11271657657425206</v>
      </c>
      <c r="H13" t="s">
        <v>2098</v>
      </c>
      <c r="I13" t="s">
        <v>2099</v>
      </c>
      <c r="J13">
        <f t="shared" si="1"/>
        <v>2.0667218589188239</v>
      </c>
      <c r="K13" s="1043" t="s">
        <v>2100</v>
      </c>
      <c r="L13" s="264" t="s">
        <v>2101</v>
      </c>
      <c r="M13" s="1043" t="s">
        <v>2102</v>
      </c>
      <c r="N13">
        <f t="shared" si="2"/>
        <v>9.1452830347016151E-2</v>
      </c>
    </row>
    <row r="14" spans="1:14" ht="15">
      <c r="A14" s="1043" t="s">
        <v>572</v>
      </c>
      <c r="B14" s="1043" t="s">
        <v>2103</v>
      </c>
      <c r="C14" s="1043" t="s">
        <v>2098</v>
      </c>
      <c r="E14" t="s">
        <v>2104</v>
      </c>
      <c r="F14" s="1043" t="s">
        <v>2105</v>
      </c>
      <c r="G14" s="264">
        <f t="shared" si="0"/>
        <v>0.28460793304729337</v>
      </c>
      <c r="H14" t="s">
        <v>2106</v>
      </c>
      <c r="I14" t="s">
        <v>2107</v>
      </c>
      <c r="J14">
        <f t="shared" si="1"/>
        <v>21.883842868127608</v>
      </c>
      <c r="K14" s="1043" t="s">
        <v>2108</v>
      </c>
      <c r="L14" s="264" t="s">
        <v>2109</v>
      </c>
      <c r="M14" s="1043" t="s">
        <v>2110</v>
      </c>
      <c r="N14">
        <f t="shared" si="2"/>
        <v>0.20764793516129251</v>
      </c>
    </row>
    <row r="15" spans="1:14" ht="15">
      <c r="A15" s="1043" t="s">
        <v>575</v>
      </c>
      <c r="B15" s="1043" t="s">
        <v>2111</v>
      </c>
      <c r="C15" s="1043" t="s">
        <v>2106</v>
      </c>
      <c r="E15" t="s">
        <v>2112</v>
      </c>
      <c r="F15" s="1043" t="s">
        <v>2113</v>
      </c>
      <c r="G15" s="264">
        <f t="shared" si="0"/>
        <v>-0.12491817158234594</v>
      </c>
      <c r="H15" t="s">
        <v>2114</v>
      </c>
      <c r="I15" t="s">
        <v>2115</v>
      </c>
      <c r="J15">
        <f t="shared" si="1"/>
        <v>5.1340355941953977</v>
      </c>
      <c r="K15" s="1043" t="s">
        <v>2116</v>
      </c>
      <c r="L15" s="264" t="s">
        <v>2117</v>
      </c>
      <c r="M15" s="1043" t="s">
        <v>2118</v>
      </c>
      <c r="N15">
        <f t="shared" si="2"/>
        <v>5.2457065197414769E-2</v>
      </c>
    </row>
    <row r="16" spans="1:14" ht="15">
      <c r="A16" s="1043" t="s">
        <v>578</v>
      </c>
      <c r="B16" s="1043" t="s">
        <v>2119</v>
      </c>
      <c r="C16" s="1043" t="s">
        <v>2114</v>
      </c>
      <c r="E16" t="s">
        <v>2120</v>
      </c>
      <c r="F16" s="1061" t="s">
        <v>2121</v>
      </c>
      <c r="G16" s="264">
        <f t="shared" si="0"/>
        <v>-5.3400781788916989E-2</v>
      </c>
      <c r="H16" t="s">
        <v>2122</v>
      </c>
      <c r="I16" t="s">
        <v>2120</v>
      </c>
      <c r="J16">
        <f t="shared" si="1"/>
        <v>-2.813447145987177</v>
      </c>
      <c r="K16" s="1043" t="s">
        <v>2123</v>
      </c>
      <c r="L16" s="264" t="s">
        <v>2124</v>
      </c>
      <c r="M16" s="1043">
        <v>0</v>
      </c>
    </row>
    <row r="17" spans="1:14" ht="15">
      <c r="A17" s="1043" t="s">
        <v>581</v>
      </c>
      <c r="B17" s="1053"/>
      <c r="C17" s="1043" t="s">
        <v>2122</v>
      </c>
      <c r="E17" t="s">
        <v>2125</v>
      </c>
      <c r="F17" s="1043" t="s">
        <v>2126</v>
      </c>
      <c r="G17" s="264">
        <f t="shared" si="0"/>
        <v>0.36956315675095208</v>
      </c>
      <c r="H17" t="s">
        <v>2127</v>
      </c>
      <c r="I17" t="s">
        <v>2128</v>
      </c>
      <c r="J17">
        <f t="shared" si="1"/>
        <v>8.371046109674241</v>
      </c>
      <c r="K17" s="1043" t="s">
        <v>2129</v>
      </c>
      <c r="L17" s="264" t="s">
        <v>2130</v>
      </c>
      <c r="M17" s="1043" t="s">
        <v>2131</v>
      </c>
      <c r="N17">
        <f t="shared" ref="N17:N80" si="3">I17/M17</f>
        <v>-0.10966763684583684</v>
      </c>
    </row>
    <row r="18" spans="1:14" ht="15">
      <c r="A18" s="1043" t="s">
        <v>583</v>
      </c>
      <c r="B18" s="1043" t="s">
        <v>2132</v>
      </c>
      <c r="C18" s="1043" t="s">
        <v>2127</v>
      </c>
      <c r="E18" t="s">
        <v>2133</v>
      </c>
      <c r="F18" s="1043" t="s">
        <v>2134</v>
      </c>
      <c r="G18" s="264">
        <f t="shared" si="0"/>
        <v>2.9006376051300228E-2</v>
      </c>
      <c r="H18" t="s">
        <v>2135</v>
      </c>
      <c r="I18" t="s">
        <v>2136</v>
      </c>
      <c r="J18">
        <f t="shared" si="1"/>
        <v>-6.6132949466451905</v>
      </c>
      <c r="K18" s="1043" t="s">
        <v>2137</v>
      </c>
      <c r="L18" s="264" t="s">
        <v>2138</v>
      </c>
      <c r="M18" s="1043" t="s">
        <v>2139</v>
      </c>
      <c r="N18">
        <f t="shared" si="3"/>
        <v>4.5936877545599164E-2</v>
      </c>
    </row>
    <row r="19" spans="1:14" ht="15">
      <c r="A19" s="1043" t="s">
        <v>586</v>
      </c>
      <c r="B19" s="1043" t="s">
        <v>2140</v>
      </c>
      <c r="C19" s="1043" t="s">
        <v>2135</v>
      </c>
      <c r="E19" t="s">
        <v>2141</v>
      </c>
      <c r="F19" s="1043" t="s">
        <v>2142</v>
      </c>
      <c r="G19" s="264">
        <f t="shared" si="0"/>
        <v>-0.48018715661627237</v>
      </c>
      <c r="H19" s="1070">
        <v>43637615.079999998</v>
      </c>
      <c r="I19" t="s">
        <v>2143</v>
      </c>
      <c r="J19">
        <f t="shared" si="1"/>
        <v>-0.31735108303249099</v>
      </c>
      <c r="K19" s="1043" t="s">
        <v>2144</v>
      </c>
      <c r="L19" s="264" t="s">
        <v>2145</v>
      </c>
      <c r="M19" s="1043" t="s">
        <v>2146</v>
      </c>
      <c r="N19">
        <f t="shared" si="3"/>
        <v>-8.6474482951356971E-2</v>
      </c>
    </row>
    <row r="20" spans="1:14" ht="15">
      <c r="A20" s="1043" t="s">
        <v>589</v>
      </c>
      <c r="B20" s="1043" t="s">
        <v>2147</v>
      </c>
      <c r="C20" s="1043" t="s">
        <v>2148</v>
      </c>
      <c r="E20" t="s">
        <v>2149</v>
      </c>
      <c r="F20" s="1061" t="s">
        <v>2150</v>
      </c>
      <c r="G20" s="264">
        <f t="shared" si="0"/>
        <v>2.3192461931069297</v>
      </c>
      <c r="H20" t="s">
        <v>2151</v>
      </c>
      <c r="I20" t="s">
        <v>2152</v>
      </c>
      <c r="J20">
        <f t="shared" si="1"/>
        <v>22.706082014187245</v>
      </c>
      <c r="K20" s="1043" t="s">
        <v>2153</v>
      </c>
      <c r="L20" s="264" t="s">
        <v>2154</v>
      </c>
      <c r="M20" s="1043" t="s">
        <v>2155</v>
      </c>
      <c r="N20">
        <f t="shared" si="3"/>
        <v>-105.02369668246446</v>
      </c>
    </row>
    <row r="21" spans="1:14" ht="15">
      <c r="A21" s="1043" t="s">
        <v>591</v>
      </c>
      <c r="B21" s="1053"/>
      <c r="C21" s="1043" t="s">
        <v>2151</v>
      </c>
      <c r="E21" t="s">
        <v>2156</v>
      </c>
      <c r="F21" s="1043" t="s">
        <v>2157</v>
      </c>
      <c r="G21" s="264">
        <f t="shared" si="0"/>
        <v>1.9193697015175273E-2</v>
      </c>
      <c r="H21" t="s">
        <v>2158</v>
      </c>
      <c r="I21" t="s">
        <v>2159</v>
      </c>
      <c r="J21">
        <f t="shared" si="1"/>
        <v>-0.11602763420188995</v>
      </c>
      <c r="K21" s="1043" t="s">
        <v>2160</v>
      </c>
      <c r="L21" s="264"/>
      <c r="M21" s="1043" t="s">
        <v>2161</v>
      </c>
      <c r="N21">
        <f t="shared" si="3"/>
        <v>0.43174616783584918</v>
      </c>
    </row>
    <row r="22" spans="1:14" ht="15">
      <c r="A22" s="1043" t="s">
        <v>593</v>
      </c>
      <c r="B22" s="1043" t="s">
        <v>2162</v>
      </c>
      <c r="C22" s="1043" t="s">
        <v>2158</v>
      </c>
      <c r="E22" t="s">
        <v>2163</v>
      </c>
      <c r="F22" s="1043" t="s">
        <v>2164</v>
      </c>
      <c r="G22" s="264">
        <f t="shared" si="0"/>
        <v>-0.18296592398427261</v>
      </c>
      <c r="H22" t="s">
        <v>2165</v>
      </c>
      <c r="I22" t="s">
        <v>2166</v>
      </c>
      <c r="J22">
        <f t="shared" si="1"/>
        <v>3.3333333315163109</v>
      </c>
      <c r="K22" s="1043" t="s">
        <v>2167</v>
      </c>
      <c r="L22" s="264" t="s">
        <v>2168</v>
      </c>
      <c r="M22" s="1043" t="s">
        <v>2169</v>
      </c>
      <c r="N22">
        <f t="shared" si="3"/>
        <v>-0.30518300422912836</v>
      </c>
    </row>
    <row r="23" spans="1:14" ht="15">
      <c r="A23" s="1043" t="s">
        <v>595</v>
      </c>
      <c r="B23" s="1043" t="s">
        <v>2170</v>
      </c>
      <c r="C23" s="1043" t="s">
        <v>2165</v>
      </c>
      <c r="E23" t="s">
        <v>2171</v>
      </c>
      <c r="F23" s="1061" t="s">
        <v>2172</v>
      </c>
      <c r="G23" s="264">
        <f t="shared" si="0"/>
        <v>5.5555554293734578E-2</v>
      </c>
      <c r="H23" t="s">
        <v>2173</v>
      </c>
      <c r="I23" t="s">
        <v>2174</v>
      </c>
      <c r="J23">
        <f t="shared" si="1"/>
        <v>0.17170031703654262</v>
      </c>
      <c r="K23" s="1043" t="s">
        <v>2175</v>
      </c>
      <c r="L23" s="264"/>
      <c r="M23" s="1043" t="s">
        <v>2176</v>
      </c>
      <c r="N23">
        <f t="shared" si="3"/>
        <v>8.2079343419726933E-2</v>
      </c>
    </row>
    <row r="24" spans="1:14" ht="15">
      <c r="A24" s="1043" t="s">
        <v>598</v>
      </c>
      <c r="B24" s="1053"/>
      <c r="C24" s="1043" t="s">
        <v>2173</v>
      </c>
      <c r="E24" t="s">
        <v>2177</v>
      </c>
      <c r="F24" s="1043" t="s">
        <v>2178</v>
      </c>
      <c r="G24" s="264">
        <f t="shared" si="0"/>
        <v>4.3953017415957876E-2</v>
      </c>
      <c r="H24" t="s">
        <v>2179</v>
      </c>
      <c r="I24" t="s">
        <v>2180</v>
      </c>
      <c r="J24">
        <f t="shared" si="1"/>
        <v>0.9070382412580883</v>
      </c>
      <c r="K24" s="1043" t="s">
        <v>2181</v>
      </c>
      <c r="L24" s="264" t="s">
        <v>2182</v>
      </c>
      <c r="M24" s="1043" t="s">
        <v>2183</v>
      </c>
      <c r="N24">
        <f t="shared" si="3"/>
        <v>4.8063967663287563E-2</v>
      </c>
    </row>
    <row r="25" spans="1:14" ht="15">
      <c r="A25" s="1043" t="s">
        <v>600</v>
      </c>
      <c r="B25" s="1043" t="s">
        <v>2184</v>
      </c>
      <c r="C25" s="1043" t="s">
        <v>2179</v>
      </c>
      <c r="E25" t="s">
        <v>2185</v>
      </c>
      <c r="F25" s="1043" t="s">
        <v>2186</v>
      </c>
      <c r="G25" s="264">
        <f t="shared" si="0"/>
        <v>0.15266297857525071</v>
      </c>
      <c r="H25" t="s">
        <v>2187</v>
      </c>
      <c r="I25" t="s">
        <v>2188</v>
      </c>
      <c r="J25">
        <f t="shared" si="1"/>
        <v>-34.245279948721766</v>
      </c>
      <c r="K25" s="1043" t="s">
        <v>2189</v>
      </c>
      <c r="L25" s="264" t="s">
        <v>2190</v>
      </c>
      <c r="M25" s="1043" t="s">
        <v>2191</v>
      </c>
      <c r="N25">
        <f t="shared" si="3"/>
        <v>7.3108715647989736E-2</v>
      </c>
    </row>
    <row r="26" spans="1:14" ht="15">
      <c r="A26" s="1043" t="s">
        <v>602</v>
      </c>
      <c r="B26" s="1043" t="s">
        <v>2192</v>
      </c>
      <c r="C26" s="1043" t="s">
        <v>2187</v>
      </c>
      <c r="E26" t="s">
        <v>2193</v>
      </c>
      <c r="F26" s="1061" t="s">
        <v>2194</v>
      </c>
      <c r="G26" s="264">
        <f t="shared" si="0"/>
        <v>1.4760964569861217</v>
      </c>
      <c r="H26" t="s">
        <v>2195</v>
      </c>
      <c r="I26" t="s">
        <v>2196</v>
      </c>
      <c r="J26">
        <f t="shared" si="1"/>
        <v>-1.3365111764412978</v>
      </c>
      <c r="K26" s="1043" t="s">
        <v>2197</v>
      </c>
      <c r="L26" s="264" t="s">
        <v>2198</v>
      </c>
      <c r="M26" s="1043">
        <v>0</v>
      </c>
      <c r="N26" t="e">
        <f t="shared" si="3"/>
        <v>#DIV/0!</v>
      </c>
    </row>
    <row r="27" spans="1:14" ht="15">
      <c r="A27" s="1043" t="s">
        <v>605</v>
      </c>
      <c r="B27" s="1053"/>
      <c r="C27" s="1043" t="s">
        <v>2195</v>
      </c>
      <c r="E27" t="s">
        <v>2199</v>
      </c>
      <c r="F27" s="1043" t="s">
        <v>2200</v>
      </c>
      <c r="G27" s="264">
        <f t="shared" si="0"/>
        <v>-0.39094725634264932</v>
      </c>
      <c r="H27" t="s">
        <v>2201</v>
      </c>
      <c r="I27" t="s">
        <v>2202</v>
      </c>
      <c r="J27">
        <f t="shared" si="1"/>
        <v>3.1148876962830632</v>
      </c>
      <c r="K27" s="1043" t="s">
        <v>2203</v>
      </c>
      <c r="L27" s="264"/>
      <c r="M27" s="1043" t="s">
        <v>2204</v>
      </c>
      <c r="N27">
        <f t="shared" si="3"/>
        <v>-0.13196552222767466</v>
      </c>
    </row>
    <row r="28" spans="1:14" ht="15">
      <c r="A28" s="1043" t="s">
        <v>608</v>
      </c>
      <c r="B28" s="1043" t="s">
        <v>2205</v>
      </c>
      <c r="C28" s="1043" t="s">
        <v>2201</v>
      </c>
      <c r="E28" t="s">
        <v>2206</v>
      </c>
      <c r="F28" s="1043" t="s">
        <v>2207</v>
      </c>
      <c r="G28" s="264">
        <f t="shared" si="0"/>
        <v>0.20628725143732135</v>
      </c>
      <c r="H28" t="s">
        <v>2208</v>
      </c>
      <c r="I28" t="s">
        <v>2209</v>
      </c>
      <c r="J28">
        <f t="shared" si="1"/>
        <v>-0.61234458224055799</v>
      </c>
      <c r="K28" s="1043" t="s">
        <v>2210</v>
      </c>
      <c r="L28" s="264" t="s">
        <v>2211</v>
      </c>
      <c r="M28" s="1043" t="s">
        <v>2212</v>
      </c>
      <c r="N28">
        <f t="shared" si="3"/>
        <v>0.25214253495704292</v>
      </c>
    </row>
    <row r="29" spans="1:14" ht="15">
      <c r="A29" s="1043" t="s">
        <v>610</v>
      </c>
      <c r="B29" s="1043" t="s">
        <v>2213</v>
      </c>
      <c r="C29" s="1043" t="s">
        <v>2208</v>
      </c>
      <c r="E29" t="s">
        <v>2214</v>
      </c>
      <c r="F29" s="1043" t="s">
        <v>2215</v>
      </c>
      <c r="G29" s="264">
        <f t="shared" si="0"/>
        <v>-3.9247381362107023E-2</v>
      </c>
      <c r="H29" t="s">
        <v>2216</v>
      </c>
      <c r="I29" t="s">
        <v>2217</v>
      </c>
      <c r="J29">
        <f t="shared" si="1"/>
        <v>3.5853670859890645</v>
      </c>
      <c r="K29" s="1043" t="s">
        <v>2218</v>
      </c>
      <c r="L29" s="264" t="s">
        <v>2219</v>
      </c>
      <c r="M29" s="1043" t="s">
        <v>2220</v>
      </c>
      <c r="N29">
        <f t="shared" si="3"/>
        <v>-0.10983758476860998</v>
      </c>
    </row>
    <row r="30" spans="1:14" ht="15">
      <c r="A30" s="1043" t="s">
        <v>613</v>
      </c>
      <c r="B30" s="1043" t="s">
        <v>2221</v>
      </c>
      <c r="C30" s="1043" t="s">
        <v>2216</v>
      </c>
      <c r="E30" t="s">
        <v>2222</v>
      </c>
      <c r="F30" s="1043" t="s">
        <v>2223</v>
      </c>
      <c r="G30" s="264">
        <f t="shared" si="0"/>
        <v>9.3808965155004573E-2</v>
      </c>
      <c r="H30" t="s">
        <v>2224</v>
      </c>
      <c r="I30" t="s">
        <v>2225</v>
      </c>
      <c r="J30">
        <f t="shared" si="1"/>
        <v>-15.756324903959102</v>
      </c>
      <c r="K30" s="1043" t="s">
        <v>2226</v>
      </c>
      <c r="L30" s="264" t="s">
        <v>2227</v>
      </c>
      <c r="M30" s="1043" t="s">
        <v>2228</v>
      </c>
      <c r="N30">
        <f t="shared" si="3"/>
        <v>6.5670978147366041E-2</v>
      </c>
    </row>
    <row r="31" spans="1:14" ht="15">
      <c r="A31" s="1043" t="s">
        <v>615</v>
      </c>
      <c r="B31" s="1043" t="s">
        <v>2229</v>
      </c>
      <c r="C31" s="1043" t="s">
        <v>2224</v>
      </c>
      <c r="E31" t="s">
        <v>2230</v>
      </c>
      <c r="F31" s="1043" t="s">
        <v>2231</v>
      </c>
      <c r="G31" s="264">
        <f t="shared" si="0"/>
        <v>0.4859718715606226</v>
      </c>
      <c r="H31" t="s">
        <v>2232</v>
      </c>
      <c r="I31" t="s">
        <v>2233</v>
      </c>
      <c r="J31">
        <f t="shared" si="1"/>
        <v>2.2350238636404405</v>
      </c>
      <c r="K31" s="1043" t="s">
        <v>2234</v>
      </c>
      <c r="L31" s="264" t="s">
        <v>2235</v>
      </c>
      <c r="M31" s="1043" t="s">
        <v>2236</v>
      </c>
      <c r="N31">
        <f t="shared" si="3"/>
        <v>-2.6614217868104244E-2</v>
      </c>
    </row>
    <row r="32" spans="1:14" ht="15">
      <c r="A32" s="1043" t="s">
        <v>617</v>
      </c>
      <c r="B32" s="1043" t="s">
        <v>2237</v>
      </c>
      <c r="C32" s="1043" t="s">
        <v>2232</v>
      </c>
      <c r="E32" t="s">
        <v>2238</v>
      </c>
      <c r="F32" s="1043" t="s">
        <v>2239</v>
      </c>
      <c r="G32" s="264">
        <f t="shared" si="0"/>
        <v>6.594774637350935E-2</v>
      </c>
      <c r="H32" t="s">
        <v>2240</v>
      </c>
      <c r="I32" t="s">
        <v>2241</v>
      </c>
      <c r="J32">
        <f t="shared" si="1"/>
        <v>0.62153470841239222</v>
      </c>
      <c r="K32" s="1043" t="s">
        <v>2242</v>
      </c>
      <c r="L32" s="264" t="s">
        <v>2243</v>
      </c>
      <c r="M32" s="1043" t="s">
        <v>2244</v>
      </c>
      <c r="N32">
        <f t="shared" si="3"/>
        <v>0.12578227533836098</v>
      </c>
    </row>
    <row r="33" spans="1:14" ht="15">
      <c r="A33" s="1043" t="s">
        <v>619</v>
      </c>
      <c r="B33" s="1043" t="s">
        <v>2245</v>
      </c>
      <c r="C33" s="1043" t="s">
        <v>2240</v>
      </c>
      <c r="E33" t="s">
        <v>2246</v>
      </c>
      <c r="F33" s="1043" t="s">
        <v>2247</v>
      </c>
      <c r="G33" s="264">
        <f t="shared" si="0"/>
        <v>0.10294265240413386</v>
      </c>
      <c r="H33" t="s">
        <v>2248</v>
      </c>
      <c r="I33" t="s">
        <v>2249</v>
      </c>
      <c r="J33">
        <f t="shared" si="1"/>
        <v>0.18360791149557457</v>
      </c>
      <c r="K33" s="1043" t="s">
        <v>2250</v>
      </c>
      <c r="L33" s="264" t="s">
        <v>2251</v>
      </c>
      <c r="M33" s="1043" t="s">
        <v>2252</v>
      </c>
      <c r="N33">
        <f t="shared" si="3"/>
        <v>7.4767439930229412E-2</v>
      </c>
    </row>
    <row r="34" spans="1:14" ht="15">
      <c r="A34" s="1043" t="s">
        <v>621</v>
      </c>
      <c r="B34" s="1043" t="s">
        <v>2253</v>
      </c>
      <c r="C34" s="1043" t="s">
        <v>2248</v>
      </c>
      <c r="E34" t="s">
        <v>2254</v>
      </c>
      <c r="F34" s="1043" t="s">
        <v>2255</v>
      </c>
      <c r="G34" s="264">
        <f t="shared" si="0"/>
        <v>0.26316711505750123</v>
      </c>
      <c r="H34" t="s">
        <v>2256</v>
      </c>
      <c r="I34" t="s">
        <v>2257</v>
      </c>
      <c r="J34">
        <f t="shared" si="1"/>
        <v>3.1255971338860138</v>
      </c>
      <c r="K34" s="1043" t="s">
        <v>2258</v>
      </c>
      <c r="L34" s="264" t="s">
        <v>2259</v>
      </c>
      <c r="M34" s="1043" t="s">
        <v>2260</v>
      </c>
      <c r="N34">
        <f t="shared" si="3"/>
        <v>0.18940131418682982</v>
      </c>
    </row>
    <row r="35" spans="1:14" ht="15">
      <c r="A35" s="1043" t="s">
        <v>623</v>
      </c>
      <c r="B35" s="1043" t="s">
        <v>2261</v>
      </c>
      <c r="C35" s="1043" t="s">
        <v>2256</v>
      </c>
      <c r="E35" t="s">
        <v>2262</v>
      </c>
      <c r="F35" s="1043" t="s">
        <v>2263</v>
      </c>
      <c r="G35" s="264">
        <f t="shared" si="0"/>
        <v>3.9082522887291846E-2</v>
      </c>
      <c r="H35" t="s">
        <v>2264</v>
      </c>
      <c r="I35" t="s">
        <v>2265</v>
      </c>
      <c r="J35">
        <f t="shared" si="1"/>
        <v>13.951934583034635</v>
      </c>
      <c r="K35" s="1043" t="s">
        <v>2266</v>
      </c>
      <c r="L35" s="264" t="s">
        <v>2267</v>
      </c>
      <c r="M35" s="1043" t="s">
        <v>2268</v>
      </c>
      <c r="N35">
        <f t="shared" si="3"/>
        <v>3.6933029478602851E-2</v>
      </c>
    </row>
    <row r="36" spans="1:14" ht="15">
      <c r="A36" s="1043" t="s">
        <v>625</v>
      </c>
      <c r="B36" s="1043" t="s">
        <v>2269</v>
      </c>
      <c r="C36" s="1043" t="s">
        <v>2264</v>
      </c>
      <c r="E36" t="s">
        <v>2270</v>
      </c>
      <c r="F36" s="1043" t="s">
        <v>2271</v>
      </c>
      <c r="G36" s="264">
        <f t="shared" si="0"/>
        <v>4.0803747530218544E-2</v>
      </c>
      <c r="H36" t="s">
        <v>2272</v>
      </c>
      <c r="I36" t="s">
        <v>2273</v>
      </c>
      <c r="J36">
        <f t="shared" si="1"/>
        <v>6.123357663907071</v>
      </c>
      <c r="K36" s="1043" t="s">
        <v>2274</v>
      </c>
      <c r="L36" s="264" t="s">
        <v>2275</v>
      </c>
      <c r="M36" s="1043" t="s">
        <v>2276</v>
      </c>
      <c r="N36">
        <f t="shared" si="3"/>
        <v>3.8494610447801093E-2</v>
      </c>
    </row>
    <row r="37" spans="1:14" ht="15">
      <c r="A37" s="1043" t="s">
        <v>627</v>
      </c>
      <c r="B37" s="1043" t="s">
        <v>2277</v>
      </c>
      <c r="C37" s="1043" t="s">
        <v>2272</v>
      </c>
      <c r="E37" t="s">
        <v>2278</v>
      </c>
      <c r="F37" s="1043" t="s">
        <v>2279</v>
      </c>
      <c r="G37" s="264">
        <f t="shared" si="0"/>
        <v>8.6099182450245365E-2</v>
      </c>
      <c r="H37" t="s">
        <v>2280</v>
      </c>
      <c r="I37" t="s">
        <v>2281</v>
      </c>
      <c r="J37">
        <f t="shared" si="1"/>
        <v>-8.1152953521228266</v>
      </c>
      <c r="K37" s="1043" t="s">
        <v>2282</v>
      </c>
      <c r="L37" s="264" t="s">
        <v>2283</v>
      </c>
      <c r="M37" s="1043" t="s">
        <v>2284</v>
      </c>
      <c r="N37">
        <f t="shared" si="3"/>
        <v>3.6123166817224044E-2</v>
      </c>
    </row>
    <row r="38" spans="1:14" ht="15">
      <c r="A38" s="1043" t="s">
        <v>629</v>
      </c>
      <c r="B38" s="1043" t="s">
        <v>2285</v>
      </c>
      <c r="C38" s="1043" t="s">
        <v>2280</v>
      </c>
      <c r="E38" t="s">
        <v>2286</v>
      </c>
      <c r="F38" s="1043" t="s">
        <v>2287</v>
      </c>
      <c r="G38" s="264">
        <f t="shared" si="0"/>
        <v>-6.7380460414684</v>
      </c>
      <c r="H38" t="s">
        <v>2288</v>
      </c>
      <c r="I38" t="s">
        <v>2289</v>
      </c>
      <c r="J38">
        <f t="shared" si="1"/>
        <v>0.45197740052241586</v>
      </c>
      <c r="K38" s="1043" t="s">
        <v>2290</v>
      </c>
      <c r="L38" s="264" t="s">
        <v>2291</v>
      </c>
      <c r="M38" s="1043" t="s">
        <v>2292</v>
      </c>
      <c r="N38">
        <f t="shared" si="3"/>
        <v>-0.23245785389643039</v>
      </c>
    </row>
    <row r="39" spans="1:14" ht="15">
      <c r="A39" s="1043" t="s">
        <v>631</v>
      </c>
      <c r="B39" s="1043" t="s">
        <v>2293</v>
      </c>
      <c r="C39" s="1043" t="s">
        <v>2288</v>
      </c>
      <c r="E39" t="s">
        <v>2294</v>
      </c>
      <c r="F39" s="1043" t="s">
        <v>2295</v>
      </c>
      <c r="G39" s="264">
        <f t="shared" si="0"/>
        <v>3.5856573710950489E-2</v>
      </c>
      <c r="H39" t="s">
        <v>2296</v>
      </c>
      <c r="I39" t="s">
        <v>2297</v>
      </c>
      <c r="J39">
        <f t="shared" si="1"/>
        <v>-4.8522927306092747</v>
      </c>
      <c r="K39" s="1043" t="s">
        <v>2298</v>
      </c>
      <c r="L39" s="264" t="s">
        <v>2299</v>
      </c>
      <c r="M39" s="1043" t="s">
        <v>2300</v>
      </c>
      <c r="N39">
        <f t="shared" si="3"/>
        <v>0.12609831394200322</v>
      </c>
    </row>
    <row r="40" spans="1:14" ht="15">
      <c r="A40" s="1043" t="s">
        <v>633</v>
      </c>
      <c r="B40" s="1043" t="s">
        <v>2301</v>
      </c>
      <c r="C40" s="1043" t="s">
        <v>2296</v>
      </c>
      <c r="E40" t="s">
        <v>2302</v>
      </c>
      <c r="F40" s="1043" t="s">
        <v>2303</v>
      </c>
      <c r="G40" s="264">
        <f t="shared" si="0"/>
        <v>-0.35005523829246937</v>
      </c>
      <c r="H40" t="s">
        <v>2304</v>
      </c>
      <c r="I40" t="s">
        <v>2305</v>
      </c>
      <c r="J40">
        <f t="shared" si="1"/>
        <v>0</v>
      </c>
      <c r="K40" s="1043" t="s">
        <v>2306</v>
      </c>
      <c r="L40" s="264" t="s">
        <v>2307</v>
      </c>
      <c r="M40" s="1043" t="s">
        <v>2308</v>
      </c>
      <c r="N40">
        <f t="shared" si="3"/>
        <v>-0.14380016815205274</v>
      </c>
    </row>
    <row r="41" spans="1:14" ht="15">
      <c r="A41" s="1043" t="s">
        <v>635</v>
      </c>
      <c r="B41" s="1043" t="s">
        <v>2309</v>
      </c>
      <c r="C41" s="1043" t="s">
        <v>2304</v>
      </c>
      <c r="E41" t="s">
        <v>2310</v>
      </c>
      <c r="F41" s="1043" t="s">
        <v>2311</v>
      </c>
      <c r="G41" s="264">
        <f t="shared" si="0"/>
        <v>-2.5800711314422388E-2</v>
      </c>
      <c r="H41">
        <v>0</v>
      </c>
      <c r="I41" t="s">
        <v>2312</v>
      </c>
      <c r="J41">
        <f t="shared" si="1"/>
        <v>25.498197622825078</v>
      </c>
      <c r="K41" s="1043" t="s">
        <v>2313</v>
      </c>
      <c r="L41" s="264" t="s">
        <v>2314</v>
      </c>
      <c r="M41" s="1043" t="s">
        <v>2315</v>
      </c>
      <c r="N41">
        <f t="shared" si="3"/>
        <v>-3.1582153716714439E-2</v>
      </c>
    </row>
    <row r="42" spans="1:14" ht="15">
      <c r="A42" s="1043" t="s">
        <v>637</v>
      </c>
      <c r="B42" s="1043" t="s">
        <v>2095</v>
      </c>
      <c r="C42" s="1043">
        <v>0</v>
      </c>
      <c r="E42" t="s">
        <v>2316</v>
      </c>
      <c r="F42" s="1043" t="s">
        <v>2317</v>
      </c>
      <c r="G42" s="264">
        <f t="shared" si="0"/>
        <v>3.0853074605930675E-2</v>
      </c>
      <c r="H42" t="s">
        <v>2318</v>
      </c>
      <c r="I42" t="s">
        <v>2319</v>
      </c>
      <c r="J42">
        <f t="shared" si="1"/>
        <v>54.113590114244573</v>
      </c>
      <c r="K42" s="1043" t="s">
        <v>2320</v>
      </c>
      <c r="L42" s="264" t="s">
        <v>2321</v>
      </c>
      <c r="M42" s="1043" t="s">
        <v>2322</v>
      </c>
      <c r="N42">
        <f t="shared" si="3"/>
        <v>1.2768939935904181E-2</v>
      </c>
    </row>
    <row r="43" spans="1:14" ht="15">
      <c r="A43" s="1043" t="s">
        <v>639</v>
      </c>
      <c r="B43" s="1043" t="s">
        <v>2323</v>
      </c>
      <c r="C43" s="1043" t="s">
        <v>2318</v>
      </c>
      <c r="E43" t="s">
        <v>2324</v>
      </c>
      <c r="F43" s="1043" t="s">
        <v>2325</v>
      </c>
      <c r="G43" s="264">
        <f t="shared" si="0"/>
        <v>5.0111623299682216E-3</v>
      </c>
      <c r="H43" t="s">
        <v>2326</v>
      </c>
      <c r="I43" t="s">
        <v>2327</v>
      </c>
      <c r="J43">
        <f t="shared" si="1"/>
        <v>-283.66668886186847</v>
      </c>
      <c r="K43" s="1043" t="s">
        <v>2328</v>
      </c>
      <c r="L43" s="264" t="s">
        <v>2329</v>
      </c>
      <c r="M43" s="1043" t="s">
        <v>2330</v>
      </c>
      <c r="N43">
        <f t="shared" si="3"/>
        <v>9.8633195505035149E-3</v>
      </c>
    </row>
    <row r="44" spans="1:14" ht="15">
      <c r="A44" s="1043" t="s">
        <v>641</v>
      </c>
      <c r="B44" s="1043" t="s">
        <v>2331</v>
      </c>
      <c r="C44" s="1043" t="s">
        <v>2326</v>
      </c>
      <c r="E44" t="s">
        <v>2332</v>
      </c>
      <c r="F44" s="1043" t="s">
        <v>2333</v>
      </c>
      <c r="G44" s="264">
        <f t="shared" si="0"/>
        <v>1.949956854576616E-2</v>
      </c>
      <c r="H44" t="s">
        <v>2334</v>
      </c>
      <c r="I44" t="s">
        <v>2335</v>
      </c>
      <c r="J44">
        <f t="shared" si="1"/>
        <v>0.36185819070904646</v>
      </c>
      <c r="K44" s="1043" t="s">
        <v>2336</v>
      </c>
      <c r="L44" s="264" t="s">
        <v>2337</v>
      </c>
      <c r="M44" s="1043" t="s">
        <v>2338</v>
      </c>
      <c r="N44">
        <f t="shared" si="3"/>
        <v>-4.6079406570165163E-4</v>
      </c>
    </row>
    <row r="45" spans="1:14" ht="15">
      <c r="A45" s="1043" t="s">
        <v>643</v>
      </c>
      <c r="B45" s="1043" t="s">
        <v>2339</v>
      </c>
      <c r="C45" s="1043" t="s">
        <v>2334</v>
      </c>
      <c r="E45" t="s">
        <v>2340</v>
      </c>
      <c r="F45" s="1043" t="s">
        <v>2341</v>
      </c>
      <c r="G45" s="264">
        <f t="shared" si="0"/>
        <v>0.10822158120496191</v>
      </c>
      <c r="H45" t="s">
        <v>2342</v>
      </c>
      <c r="I45" t="s">
        <v>2343</v>
      </c>
      <c r="J45">
        <f t="shared" si="1"/>
        <v>0</v>
      </c>
      <c r="K45" s="1043" t="s">
        <v>2344</v>
      </c>
      <c r="L45" s="264" t="s">
        <v>2345</v>
      </c>
      <c r="M45" s="1043" t="s">
        <v>2346</v>
      </c>
      <c r="N45">
        <f t="shared" si="3"/>
        <v>5.15324774495299E-2</v>
      </c>
    </row>
    <row r="46" spans="1:14" ht="15">
      <c r="A46" s="1043" t="s">
        <v>645</v>
      </c>
      <c r="B46" s="1043" t="s">
        <v>2347</v>
      </c>
      <c r="C46" s="1043" t="s">
        <v>2342</v>
      </c>
      <c r="E46" t="s">
        <v>2348</v>
      </c>
      <c r="F46" s="1053"/>
      <c r="G46" s="264"/>
      <c r="I46" t="s">
        <v>2349</v>
      </c>
      <c r="J46">
        <f t="shared" si="1"/>
        <v>2.2970200478492422E-2</v>
      </c>
      <c r="K46" s="1043" t="s">
        <v>2350</v>
      </c>
      <c r="L46" s="264" t="s">
        <v>2351</v>
      </c>
      <c r="M46" s="1043" t="s">
        <v>2352</v>
      </c>
      <c r="N46">
        <f t="shared" si="3"/>
        <v>0.1053831609387165</v>
      </c>
    </row>
    <row r="47" spans="1:14" ht="15">
      <c r="A47" s="1043" t="s">
        <v>647</v>
      </c>
      <c r="B47" s="1053"/>
      <c r="C47" s="1053"/>
      <c r="E47" t="s">
        <v>2353</v>
      </c>
      <c r="F47" s="1043" t="s">
        <v>2354</v>
      </c>
      <c r="G47" s="264">
        <f t="shared" si="0"/>
        <v>0.2666273518555678</v>
      </c>
      <c r="H47" t="s">
        <v>2355</v>
      </c>
      <c r="I47" t="s">
        <v>2356</v>
      </c>
      <c r="J47">
        <f t="shared" si="1"/>
        <v>-3.8331328923631989</v>
      </c>
      <c r="K47" s="1043" t="s">
        <v>2357</v>
      </c>
      <c r="L47" s="264"/>
      <c r="M47" s="1043" t="s">
        <v>2358</v>
      </c>
      <c r="N47">
        <f t="shared" si="3"/>
        <v>0.35712620809705564</v>
      </c>
    </row>
    <row r="48" spans="1:14" ht="15">
      <c r="A48" s="1043" t="s">
        <v>650</v>
      </c>
      <c r="B48" s="1043" t="s">
        <v>2359</v>
      </c>
      <c r="C48" s="1043" t="s">
        <v>2355</v>
      </c>
      <c r="E48" t="s">
        <v>2360</v>
      </c>
      <c r="F48" s="1061" t="s">
        <v>2361</v>
      </c>
      <c r="G48" s="264">
        <f t="shared" si="0"/>
        <v>0.59848258557858891</v>
      </c>
      <c r="H48" t="s">
        <v>2362</v>
      </c>
      <c r="I48" t="s">
        <v>2363</v>
      </c>
      <c r="J48">
        <f t="shared" si="1"/>
        <v>2.3459302325581395</v>
      </c>
      <c r="K48" s="1043">
        <v>69</v>
      </c>
      <c r="L48" s="264" t="s">
        <v>2364</v>
      </c>
      <c r="M48" s="1043" t="s">
        <v>2365</v>
      </c>
      <c r="N48">
        <f t="shared" si="3"/>
        <v>-0.12204310281562661</v>
      </c>
    </row>
    <row r="49" spans="1:14" ht="15">
      <c r="A49" s="1043" t="s">
        <v>652</v>
      </c>
      <c r="B49" s="1053"/>
      <c r="C49" s="1043" t="s">
        <v>2362</v>
      </c>
      <c r="E49" t="s">
        <v>2366</v>
      </c>
      <c r="F49" s="1043" t="s">
        <v>2367</v>
      </c>
      <c r="G49" s="264">
        <f t="shared" si="0"/>
        <v>0.12963722674793413</v>
      </c>
      <c r="H49" t="s">
        <v>2368</v>
      </c>
      <c r="I49" t="s">
        <v>2369</v>
      </c>
      <c r="J49">
        <f t="shared" si="1"/>
        <v>6.5897309917091373</v>
      </c>
      <c r="K49" s="1043" t="s">
        <v>2370</v>
      </c>
      <c r="L49" s="264"/>
      <c r="M49" s="1043" t="s">
        <v>2371</v>
      </c>
      <c r="N49">
        <f t="shared" si="3"/>
        <v>0.10076266313722512</v>
      </c>
    </row>
    <row r="50" spans="1:14" ht="15">
      <c r="A50" s="1043" t="s">
        <v>654</v>
      </c>
      <c r="B50" s="1043" t="s">
        <v>2372</v>
      </c>
      <c r="C50" s="1043" t="s">
        <v>2368</v>
      </c>
      <c r="E50" t="s">
        <v>2373</v>
      </c>
      <c r="F50" s="1043" t="s">
        <v>2374</v>
      </c>
      <c r="G50" s="264">
        <f t="shared" si="0"/>
        <v>1.9865103616121073E-2</v>
      </c>
      <c r="H50" t="s">
        <v>2375</v>
      </c>
      <c r="I50" t="s">
        <v>2376</v>
      </c>
      <c r="J50">
        <f t="shared" si="1"/>
        <v>0.74037872742015021</v>
      </c>
      <c r="K50" s="1043" t="s">
        <v>2377</v>
      </c>
      <c r="L50" s="264" t="s">
        <v>2378</v>
      </c>
      <c r="M50" s="1043" t="s">
        <v>2379</v>
      </c>
      <c r="N50">
        <f t="shared" si="3"/>
        <v>5.9579918020948676E-2</v>
      </c>
    </row>
    <row r="51" spans="1:14" ht="15">
      <c r="A51" s="1043" t="s">
        <v>657</v>
      </c>
      <c r="B51" s="1043" t="s">
        <v>2380</v>
      </c>
      <c r="C51" s="1043" t="s">
        <v>2375</v>
      </c>
      <c r="E51" t="s">
        <v>2381</v>
      </c>
      <c r="F51" s="1043" t="s">
        <v>2382</v>
      </c>
      <c r="G51" s="264">
        <f t="shared" si="0"/>
        <v>5.7674188170463117E-2</v>
      </c>
      <c r="H51" t="s">
        <v>2383</v>
      </c>
      <c r="I51" t="s">
        <v>2384</v>
      </c>
      <c r="J51">
        <f t="shared" si="1"/>
        <v>0.85755636759246356</v>
      </c>
      <c r="K51" s="1043" t="s">
        <v>2385</v>
      </c>
      <c r="L51" s="264" t="s">
        <v>2386</v>
      </c>
      <c r="M51" s="1043" t="s">
        <v>2387</v>
      </c>
      <c r="N51">
        <f t="shared" si="3"/>
        <v>5.2524975395520701E-2</v>
      </c>
    </row>
    <row r="52" spans="1:14" ht="15">
      <c r="A52" s="1043" t="s">
        <v>659</v>
      </c>
      <c r="B52" s="1043" t="s">
        <v>2388</v>
      </c>
      <c r="C52" s="1043" t="s">
        <v>2383</v>
      </c>
      <c r="E52" t="s">
        <v>2389</v>
      </c>
      <c r="F52" s="1043" t="s">
        <v>2390</v>
      </c>
      <c r="G52" s="264">
        <f t="shared" si="0"/>
        <v>0.293829182920119</v>
      </c>
      <c r="H52" t="s">
        <v>2391</v>
      </c>
      <c r="I52" t="s">
        <v>2392</v>
      </c>
      <c r="J52">
        <f t="shared" si="1"/>
        <v>0.12078138190184559</v>
      </c>
      <c r="K52" s="1043" t="s">
        <v>2393</v>
      </c>
      <c r="L52" s="264" t="s">
        <v>2394</v>
      </c>
      <c r="M52" s="1043" t="s">
        <v>2395</v>
      </c>
      <c r="N52">
        <f t="shared" si="3"/>
        <v>0.1345385746661715</v>
      </c>
    </row>
    <row r="53" spans="1:14" ht="15">
      <c r="A53" s="1043" t="s">
        <v>661</v>
      </c>
      <c r="B53" s="1043" t="s">
        <v>2396</v>
      </c>
      <c r="C53" s="1043" t="s">
        <v>2391</v>
      </c>
      <c r="E53" t="s">
        <v>2397</v>
      </c>
      <c r="F53" s="1043" t="s">
        <v>2398</v>
      </c>
      <c r="G53" s="264">
        <f t="shared" si="0"/>
        <v>4.8135264866803529E-2</v>
      </c>
      <c r="H53" t="s">
        <v>2399</v>
      </c>
      <c r="I53" t="s">
        <v>2400</v>
      </c>
      <c r="J53">
        <f t="shared" si="1"/>
        <v>5.7212783094981567</v>
      </c>
      <c r="K53" s="1043" t="s">
        <v>2401</v>
      </c>
      <c r="L53" s="264" t="s">
        <v>2235</v>
      </c>
      <c r="M53" s="1043" t="s">
        <v>2402</v>
      </c>
      <c r="N53">
        <f t="shared" si="3"/>
        <v>8.9212217497316296E-2</v>
      </c>
    </row>
    <row r="54" spans="1:14" ht="15">
      <c r="A54" s="1043" t="s">
        <v>663</v>
      </c>
      <c r="B54" s="1043" t="s">
        <v>2403</v>
      </c>
      <c r="C54" s="1043" t="s">
        <v>2399</v>
      </c>
      <c r="E54" t="s">
        <v>2404</v>
      </c>
      <c r="F54" s="1043" t="s">
        <v>2405</v>
      </c>
      <c r="G54" s="264">
        <f t="shared" si="0"/>
        <v>7.4679562123315557E-2</v>
      </c>
      <c r="H54" t="s">
        <v>2406</v>
      </c>
      <c r="I54" t="s">
        <v>2407</v>
      </c>
      <c r="J54" t="e">
        <f t="shared" si="1"/>
        <v>#DIV/0!</v>
      </c>
      <c r="K54" s="1043" t="s">
        <v>2408</v>
      </c>
      <c r="L54" s="264" t="s">
        <v>2409</v>
      </c>
      <c r="M54" s="1043" t="s">
        <v>2410</v>
      </c>
      <c r="N54">
        <f t="shared" si="3"/>
        <v>6.4378270214268549E-2</v>
      </c>
    </row>
    <row r="55" spans="1:14" ht="15">
      <c r="A55" s="1043" t="s">
        <v>665</v>
      </c>
      <c r="B55" s="1043" t="s">
        <v>2411</v>
      </c>
      <c r="C55" s="1043" t="s">
        <v>2406</v>
      </c>
      <c r="F55" s="1053"/>
      <c r="G55" s="264"/>
      <c r="J55">
        <f t="shared" si="1"/>
        <v>1.5491446413597325</v>
      </c>
      <c r="K55" s="1043" t="s">
        <v>2412</v>
      </c>
      <c r="L55" s="264" t="s">
        <v>2413</v>
      </c>
      <c r="M55" s="1003"/>
      <c r="N55" t="e">
        <f t="shared" si="3"/>
        <v>#DIV/0!</v>
      </c>
    </row>
    <row r="56" spans="1:14" ht="15">
      <c r="A56" s="1043" t="s">
        <v>667</v>
      </c>
      <c r="B56" s="1053"/>
      <c r="C56" s="1053"/>
      <c r="E56" t="s">
        <v>2414</v>
      </c>
      <c r="F56" s="1043" t="s">
        <v>2415</v>
      </c>
      <c r="G56" s="264">
        <f t="shared" si="0"/>
        <v>0.23740435409071661</v>
      </c>
      <c r="H56" t="s">
        <v>2416</v>
      </c>
      <c r="I56" t="s">
        <v>2417</v>
      </c>
      <c r="J56">
        <f t="shared" si="1"/>
        <v>4.7968902345153177</v>
      </c>
      <c r="K56" s="1043" t="s">
        <v>2418</v>
      </c>
      <c r="L56" s="264"/>
      <c r="M56" s="1043" t="s">
        <v>2419</v>
      </c>
      <c r="N56">
        <f t="shared" si="3"/>
        <v>0.10920031504483844</v>
      </c>
    </row>
    <row r="57" spans="1:14" ht="15">
      <c r="A57" s="1043" t="s">
        <v>669</v>
      </c>
      <c r="B57" s="1043" t="s">
        <v>2420</v>
      </c>
      <c r="C57" s="1043" t="s">
        <v>2416</v>
      </c>
      <c r="E57" t="s">
        <v>2421</v>
      </c>
      <c r="F57" s="1043" t="s">
        <v>2422</v>
      </c>
      <c r="G57" s="264">
        <f t="shared" si="0"/>
        <v>4.438417713192807E-2</v>
      </c>
      <c r="H57" t="s">
        <v>2423</v>
      </c>
      <c r="I57" t="s">
        <v>2424</v>
      </c>
      <c r="J57">
        <f t="shared" si="1"/>
        <v>27.418874358829644</v>
      </c>
      <c r="K57" s="1043" t="s">
        <v>2425</v>
      </c>
      <c r="L57" s="264" t="s">
        <v>2426</v>
      </c>
      <c r="M57" s="1043" t="s">
        <v>2427</v>
      </c>
      <c r="N57">
        <f t="shared" si="3"/>
        <v>3.5867712616555802E-2</v>
      </c>
    </row>
    <row r="58" spans="1:14" ht="15">
      <c r="A58" s="1043" t="s">
        <v>671</v>
      </c>
      <c r="B58" s="1043" t="s">
        <v>2428</v>
      </c>
      <c r="C58" s="1043" t="s">
        <v>2423</v>
      </c>
      <c r="E58" t="s">
        <v>2429</v>
      </c>
      <c r="F58" s="1043" t="s">
        <v>2430</v>
      </c>
      <c r="G58" s="264">
        <f t="shared" si="0"/>
        <v>0.1201612710790978</v>
      </c>
      <c r="H58" t="s">
        <v>2431</v>
      </c>
      <c r="I58" t="s">
        <v>2432</v>
      </c>
      <c r="J58" t="e">
        <f t="shared" si="1"/>
        <v>#DIV/0!</v>
      </c>
      <c r="K58" s="1043" t="s">
        <v>2433</v>
      </c>
      <c r="L58" s="264" t="s">
        <v>2434</v>
      </c>
      <c r="M58" s="1043" t="s">
        <v>2435</v>
      </c>
      <c r="N58">
        <f t="shared" si="3"/>
        <v>1.7674721378702143E-2</v>
      </c>
    </row>
    <row r="59" spans="1:14" ht="15">
      <c r="A59" s="1043" t="s">
        <v>673</v>
      </c>
      <c r="B59" s="1043" t="s">
        <v>2436</v>
      </c>
      <c r="C59" s="1043" t="s">
        <v>2431</v>
      </c>
      <c r="F59" s="1053"/>
      <c r="G59" s="264"/>
      <c r="J59">
        <f t="shared" si="1"/>
        <v>2.8779715511944968</v>
      </c>
      <c r="K59" s="1043" t="s">
        <v>2437</v>
      </c>
      <c r="L59" s="264" t="s">
        <v>2438</v>
      </c>
      <c r="M59" s="1003"/>
      <c r="N59" t="e">
        <f t="shared" si="3"/>
        <v>#DIV/0!</v>
      </c>
    </row>
    <row r="60" spans="1:14" ht="15">
      <c r="A60" s="1043" t="s">
        <v>675</v>
      </c>
      <c r="B60" s="1053"/>
      <c r="C60" s="1053"/>
      <c r="E60" t="s">
        <v>2439</v>
      </c>
      <c r="F60" s="1043" t="s">
        <v>2440</v>
      </c>
      <c r="G60" s="264">
        <f t="shared" si="0"/>
        <v>0.12813679512365381</v>
      </c>
      <c r="H60" t="s">
        <v>2441</v>
      </c>
      <c r="I60" t="s">
        <v>2442</v>
      </c>
      <c r="J60" t="e">
        <f t="shared" si="1"/>
        <v>#DIV/0!</v>
      </c>
      <c r="K60" s="1043" t="s">
        <v>2443</v>
      </c>
      <c r="L60" s="264"/>
      <c r="M60" s="1043" t="s">
        <v>2444</v>
      </c>
      <c r="N60">
        <f t="shared" si="3"/>
        <v>6.2639247781702365E-2</v>
      </c>
    </row>
    <row r="61" spans="1:14" ht="15">
      <c r="A61" s="1043" t="s">
        <v>677</v>
      </c>
      <c r="B61" s="1043" t="s">
        <v>2445</v>
      </c>
      <c r="C61" s="1043" t="s">
        <v>2441</v>
      </c>
      <c r="F61" s="1053"/>
      <c r="G61" s="264" t="e">
        <f t="shared" si="0"/>
        <v>#DIV/0!</v>
      </c>
      <c r="J61">
        <f t="shared" si="1"/>
        <v>-2.2393226853582795</v>
      </c>
      <c r="K61" s="1003"/>
      <c r="L61" s="264" t="s">
        <v>2446</v>
      </c>
      <c r="M61" s="1003"/>
      <c r="N61" t="e">
        <f t="shared" si="3"/>
        <v>#DIV/0!</v>
      </c>
    </row>
    <row r="62" spans="1:14" ht="15">
      <c r="A62" s="1043" t="s">
        <v>680</v>
      </c>
      <c r="B62" s="1053"/>
      <c r="C62" s="1053"/>
      <c r="E62" t="s">
        <v>2447</v>
      </c>
      <c r="F62" s="1043" t="s">
        <v>2448</v>
      </c>
      <c r="G62" s="264">
        <f t="shared" si="0"/>
        <v>-5.7868720130865511E-2</v>
      </c>
      <c r="H62" t="s">
        <v>2449</v>
      </c>
      <c r="I62" t="s">
        <v>2450</v>
      </c>
      <c r="J62">
        <f t="shared" si="1"/>
        <v>3.7889162578570788</v>
      </c>
      <c r="K62" s="1043" t="s">
        <v>2451</v>
      </c>
      <c r="L62" s="264"/>
      <c r="M62" s="1043" t="s">
        <v>2452</v>
      </c>
      <c r="N62">
        <f t="shared" si="3"/>
        <v>-8.4973495944045879E-2</v>
      </c>
    </row>
    <row r="63" spans="1:14" ht="15">
      <c r="A63" s="1043" t="s">
        <v>682</v>
      </c>
      <c r="B63" s="1043" t="s">
        <v>2453</v>
      </c>
      <c r="C63" s="1043" t="s">
        <v>2449</v>
      </c>
      <c r="E63" t="s">
        <v>2454</v>
      </c>
      <c r="F63" s="1043" t="s">
        <v>2455</v>
      </c>
      <c r="G63" s="264">
        <f t="shared" si="0"/>
        <v>0.11565607695497679</v>
      </c>
      <c r="H63" t="s">
        <v>2456</v>
      </c>
      <c r="I63" t="s">
        <v>2457</v>
      </c>
      <c r="J63">
        <f t="shared" si="1"/>
        <v>0</v>
      </c>
      <c r="K63" s="1043" t="s">
        <v>2458</v>
      </c>
      <c r="L63" s="264"/>
      <c r="M63" s="1043" t="s">
        <v>2459</v>
      </c>
      <c r="N63">
        <f t="shared" si="3"/>
        <v>7.801819687115448E-2</v>
      </c>
    </row>
    <row r="64" spans="1:14" ht="15">
      <c r="A64" s="1043" t="s">
        <v>685</v>
      </c>
      <c r="B64" s="1043" t="s">
        <v>2460</v>
      </c>
      <c r="C64" s="1043" t="s">
        <v>2456</v>
      </c>
      <c r="E64" t="s">
        <v>2461</v>
      </c>
      <c r="F64" s="1043" t="s">
        <v>2462</v>
      </c>
      <c r="G64" s="264">
        <f t="shared" si="0"/>
        <v>1.3677217658922488E-2</v>
      </c>
      <c r="H64">
        <v>0</v>
      </c>
      <c r="I64" t="s">
        <v>2463</v>
      </c>
      <c r="J64">
        <f t="shared" si="1"/>
        <v>28.406020692926713</v>
      </c>
      <c r="K64" s="1043" t="s">
        <v>2464</v>
      </c>
      <c r="L64" s="264" t="s">
        <v>2465</v>
      </c>
      <c r="M64" s="1043" t="s">
        <v>2466</v>
      </c>
      <c r="N64">
        <f t="shared" si="3"/>
        <v>7.7377338723246133E-2</v>
      </c>
    </row>
    <row r="65" spans="1:14" ht="15">
      <c r="A65" s="1043" t="s">
        <v>687</v>
      </c>
      <c r="B65" s="1043" t="s">
        <v>2095</v>
      </c>
      <c r="C65" s="1043">
        <v>0</v>
      </c>
      <c r="E65" t="s">
        <v>2467</v>
      </c>
      <c r="F65" s="1043" t="s">
        <v>2468</v>
      </c>
      <c r="G65" s="264">
        <f t="shared" si="0"/>
        <v>8.1447397939954924E-3</v>
      </c>
      <c r="H65" t="s">
        <v>2469</v>
      </c>
      <c r="I65" t="s">
        <v>2470</v>
      </c>
      <c r="J65">
        <f t="shared" si="1"/>
        <v>-47.613333308152413</v>
      </c>
      <c r="K65" s="1043" t="s">
        <v>2471</v>
      </c>
      <c r="L65" s="264" t="s">
        <v>2472</v>
      </c>
      <c r="M65" s="1043" t="s">
        <v>2473</v>
      </c>
      <c r="N65">
        <f t="shared" si="3"/>
        <v>2.0150140258644259E-2</v>
      </c>
    </row>
    <row r="66" spans="1:14" ht="15">
      <c r="A66" s="1043" t="s">
        <v>689</v>
      </c>
      <c r="B66" s="1043" t="s">
        <v>2474</v>
      </c>
      <c r="C66" s="1043" t="s">
        <v>2469</v>
      </c>
      <c r="E66" t="s">
        <v>2475</v>
      </c>
      <c r="F66" s="1043" t="s">
        <v>2476</v>
      </c>
      <c r="G66" s="264">
        <f t="shared" ref="G66:G129" si="4">E66/F66</f>
        <v>6.5392719640273876E-3</v>
      </c>
      <c r="H66" t="s">
        <v>2477</v>
      </c>
      <c r="I66" t="s">
        <v>2478</v>
      </c>
      <c r="J66">
        <f t="shared" ref="J66:J129" si="5">H67/I67</f>
        <v>-11.852885626965953</v>
      </c>
      <c r="K66" s="1043" t="s">
        <v>2479</v>
      </c>
      <c r="L66" s="264" t="s">
        <v>2480</v>
      </c>
      <c r="M66" s="1043" t="s">
        <v>2481</v>
      </c>
      <c r="N66">
        <f t="shared" si="3"/>
        <v>-7.59442400882176E-3</v>
      </c>
    </row>
    <row r="67" spans="1:14" ht="15">
      <c r="A67" s="1043" t="s">
        <v>691</v>
      </c>
      <c r="B67" s="1043" t="s">
        <v>2331</v>
      </c>
      <c r="C67" s="1043" t="s">
        <v>2477</v>
      </c>
      <c r="E67" t="s">
        <v>2482</v>
      </c>
      <c r="F67" s="1043" t="s">
        <v>2483</v>
      </c>
      <c r="G67" s="264">
        <f t="shared" si="4"/>
        <v>-8.377463597677999E-2</v>
      </c>
      <c r="H67" t="s">
        <v>2484</v>
      </c>
      <c r="I67" t="s">
        <v>2485</v>
      </c>
      <c r="J67">
        <f t="shared" si="5"/>
        <v>0.44691379149125565</v>
      </c>
      <c r="K67" s="1043" t="s">
        <v>2486</v>
      </c>
      <c r="L67" s="264" t="s">
        <v>2487</v>
      </c>
      <c r="M67" s="1043" t="s">
        <v>2488</v>
      </c>
      <c r="N67">
        <f t="shared" si="3"/>
        <v>-3.8728551445205602E-2</v>
      </c>
    </row>
    <row r="68" spans="1:14" ht="15">
      <c r="A68" s="1043" t="s">
        <v>693</v>
      </c>
      <c r="B68" s="1043" t="s">
        <v>2489</v>
      </c>
      <c r="C68" s="1043" t="s">
        <v>2484</v>
      </c>
      <c r="E68" t="s">
        <v>2490</v>
      </c>
      <c r="F68" s="1043" t="s">
        <v>2491</v>
      </c>
      <c r="G68" s="264">
        <f t="shared" si="4"/>
        <v>6.6317701804926341E-2</v>
      </c>
      <c r="H68" t="s">
        <v>2492</v>
      </c>
      <c r="I68" t="s">
        <v>2493</v>
      </c>
      <c r="J68">
        <f t="shared" si="5"/>
        <v>1.3599740604583812</v>
      </c>
      <c r="K68" s="1043" t="s">
        <v>2494</v>
      </c>
      <c r="L68" s="264" t="s">
        <v>2495</v>
      </c>
      <c r="M68" s="1043" t="s">
        <v>2496</v>
      </c>
      <c r="N68">
        <f t="shared" si="3"/>
        <v>0.10043025487817248</v>
      </c>
    </row>
    <row r="69" spans="1:14" ht="15">
      <c r="A69" s="1043" t="s">
        <v>695</v>
      </c>
      <c r="B69" s="1043" t="s">
        <v>2071</v>
      </c>
      <c r="C69" s="1043" t="s">
        <v>2492</v>
      </c>
      <c r="E69" t="s">
        <v>2497</v>
      </c>
      <c r="F69" s="1043" t="s">
        <v>2498</v>
      </c>
      <c r="G69" s="264">
        <f t="shared" si="4"/>
        <v>0.14966169819399849</v>
      </c>
      <c r="H69" t="s">
        <v>2499</v>
      </c>
      <c r="I69" t="s">
        <v>2500</v>
      </c>
      <c r="J69">
        <f t="shared" si="5"/>
        <v>10.1568447779274</v>
      </c>
      <c r="K69" s="1043" t="s">
        <v>2501</v>
      </c>
      <c r="L69" s="264" t="s">
        <v>2502</v>
      </c>
      <c r="M69" s="1043" t="s">
        <v>2503</v>
      </c>
      <c r="N69">
        <f t="shared" si="3"/>
        <v>0.25962434454818129</v>
      </c>
    </row>
    <row r="70" spans="1:14" ht="15">
      <c r="A70" s="1043" t="s">
        <v>698</v>
      </c>
      <c r="B70" s="1043" t="s">
        <v>2504</v>
      </c>
      <c r="C70" s="1043" t="s">
        <v>2499</v>
      </c>
      <c r="E70" t="s">
        <v>2505</v>
      </c>
      <c r="F70" s="1043" t="s">
        <v>2506</v>
      </c>
      <c r="G70" s="264">
        <f t="shared" si="4"/>
        <v>1.9245687519934197E-2</v>
      </c>
      <c r="H70" t="s">
        <v>2507</v>
      </c>
      <c r="I70" t="s">
        <v>2508</v>
      </c>
      <c r="J70" t="e">
        <f t="shared" si="5"/>
        <v>#DIV/0!</v>
      </c>
      <c r="K70" s="1043" t="s">
        <v>2509</v>
      </c>
      <c r="L70" s="264" t="s">
        <v>2510</v>
      </c>
      <c r="M70" s="1043" t="s">
        <v>2511</v>
      </c>
      <c r="N70">
        <f t="shared" si="3"/>
        <v>1.0914322819011613E-2</v>
      </c>
    </row>
    <row r="71" spans="1:14" ht="15">
      <c r="A71" s="1043" t="s">
        <v>700</v>
      </c>
      <c r="B71" s="1043" t="s">
        <v>2512</v>
      </c>
      <c r="C71" s="1043" t="s">
        <v>2507</v>
      </c>
      <c r="F71" s="1053"/>
      <c r="G71" s="264" t="e">
        <f t="shared" si="4"/>
        <v>#DIV/0!</v>
      </c>
      <c r="J71">
        <f t="shared" si="5"/>
        <v>13.134003305636266</v>
      </c>
      <c r="K71" s="1043">
        <v>897</v>
      </c>
      <c r="L71" s="264" t="s">
        <v>2513</v>
      </c>
      <c r="M71" s="1003"/>
      <c r="N71" t="e">
        <f t="shared" si="3"/>
        <v>#DIV/0!</v>
      </c>
    </row>
    <row r="72" spans="1:14" ht="15">
      <c r="A72" s="1043" t="s">
        <v>702</v>
      </c>
      <c r="B72" s="1053"/>
      <c r="C72" s="1053"/>
      <c r="E72" t="s">
        <v>2514</v>
      </c>
      <c r="F72" s="1043" t="s">
        <v>2515</v>
      </c>
      <c r="G72" s="264">
        <f t="shared" si="4"/>
        <v>-1.2624306081232294E-2</v>
      </c>
      <c r="H72" t="s">
        <v>2516</v>
      </c>
      <c r="I72" t="s">
        <v>2517</v>
      </c>
      <c r="J72">
        <f t="shared" si="5"/>
        <v>-3.8261048580517145</v>
      </c>
      <c r="K72" s="1043" t="s">
        <v>2518</v>
      </c>
      <c r="L72" s="264"/>
      <c r="M72" s="1043" t="s">
        <v>2519</v>
      </c>
      <c r="N72">
        <f t="shared" si="3"/>
        <v>4.2764822610028848E-2</v>
      </c>
    </row>
    <row r="73" spans="1:14" ht="15">
      <c r="A73" s="1043" t="s">
        <v>705</v>
      </c>
      <c r="B73" s="1043" t="s">
        <v>2520</v>
      </c>
      <c r="C73" s="1043" t="s">
        <v>2516</v>
      </c>
      <c r="E73" t="s">
        <v>2521</v>
      </c>
      <c r="F73" s="1043" t="s">
        <v>2522</v>
      </c>
      <c r="G73" s="264">
        <f t="shared" si="4"/>
        <v>-0.61679382293778218</v>
      </c>
      <c r="H73" t="s">
        <v>2523</v>
      </c>
      <c r="I73" t="s">
        <v>2524</v>
      </c>
      <c r="J73">
        <f t="shared" si="5"/>
        <v>-105.1120111344039</v>
      </c>
      <c r="K73" s="1043" t="s">
        <v>2525</v>
      </c>
      <c r="L73" s="264" t="s">
        <v>2526</v>
      </c>
      <c r="M73" s="1043" t="s">
        <v>2527</v>
      </c>
      <c r="N73">
        <f t="shared" si="3"/>
        <v>-0.18178108521222172</v>
      </c>
    </row>
    <row r="74" spans="1:14" ht="15">
      <c r="A74" s="1043" t="s">
        <v>708</v>
      </c>
      <c r="B74" s="1043" t="s">
        <v>2528</v>
      </c>
      <c r="C74" s="1043" t="s">
        <v>2523</v>
      </c>
      <c r="E74" t="s">
        <v>2529</v>
      </c>
      <c r="F74" s="1061" t="s">
        <v>2530</v>
      </c>
      <c r="G74" s="264">
        <f t="shared" si="4"/>
        <v>2.3775047901313014E-2</v>
      </c>
      <c r="H74" t="s">
        <v>2531</v>
      </c>
      <c r="I74" t="s">
        <v>2532</v>
      </c>
      <c r="J74">
        <f t="shared" si="5"/>
        <v>6.353579584689034E-3</v>
      </c>
      <c r="K74" s="1043" t="s">
        <v>2533</v>
      </c>
      <c r="L74" s="264" t="s">
        <v>2534</v>
      </c>
      <c r="M74" s="1043">
        <v>0</v>
      </c>
      <c r="N74" t="e">
        <f t="shared" si="3"/>
        <v>#DIV/0!</v>
      </c>
    </row>
    <row r="75" spans="1:14" ht="15">
      <c r="A75" s="1043" t="s">
        <v>710</v>
      </c>
      <c r="B75" s="1053"/>
      <c r="C75" s="1043" t="s">
        <v>2531</v>
      </c>
      <c r="E75" t="s">
        <v>2535</v>
      </c>
      <c r="F75" s="1043" t="s">
        <v>2536</v>
      </c>
      <c r="G75" s="264">
        <f t="shared" si="4"/>
        <v>0.23003673142812761</v>
      </c>
      <c r="H75" t="s">
        <v>2537</v>
      </c>
      <c r="I75" t="s">
        <v>2538</v>
      </c>
      <c r="J75">
        <f t="shared" si="5"/>
        <v>4.9581713205124069</v>
      </c>
      <c r="K75" s="1043" t="s">
        <v>2539</v>
      </c>
      <c r="L75" s="264" t="s">
        <v>2540</v>
      </c>
      <c r="M75" s="1043">
        <v>0</v>
      </c>
      <c r="N75" t="e">
        <f t="shared" si="3"/>
        <v>#DIV/0!</v>
      </c>
    </row>
    <row r="76" spans="1:14" ht="15">
      <c r="A76" s="1043" t="s">
        <v>712</v>
      </c>
      <c r="B76" s="1043" t="s">
        <v>2541</v>
      </c>
      <c r="C76" s="1043" t="s">
        <v>2537</v>
      </c>
      <c r="E76" t="s">
        <v>2542</v>
      </c>
      <c r="F76" s="1043" t="s">
        <v>2543</v>
      </c>
      <c r="G76" s="264">
        <f t="shared" si="4"/>
        <v>0.21420113891647191</v>
      </c>
      <c r="H76" t="s">
        <v>2544</v>
      </c>
      <c r="I76" t="s">
        <v>2545</v>
      </c>
      <c r="J76" t="e">
        <f t="shared" si="5"/>
        <v>#DIV/0!</v>
      </c>
      <c r="K76" s="1043" t="s">
        <v>2546</v>
      </c>
      <c r="L76" s="264" t="s">
        <v>2547</v>
      </c>
      <c r="M76" s="1043" t="s">
        <v>2548</v>
      </c>
      <c r="N76">
        <f t="shared" si="3"/>
        <v>0.10666817488007019</v>
      </c>
    </row>
    <row r="77" spans="1:14" ht="15">
      <c r="A77" s="1043" t="s">
        <v>714</v>
      </c>
      <c r="B77" s="1043" t="s">
        <v>2549</v>
      </c>
      <c r="C77" s="1043" t="s">
        <v>2544</v>
      </c>
      <c r="F77" s="1053"/>
      <c r="G77" s="264" t="e">
        <f t="shared" si="4"/>
        <v>#DIV/0!</v>
      </c>
      <c r="J77" t="e">
        <f t="shared" si="5"/>
        <v>#DIV/0!</v>
      </c>
      <c r="K77" s="1043" t="s">
        <v>2550</v>
      </c>
      <c r="L77" s="264" t="s">
        <v>2551</v>
      </c>
      <c r="M77" s="1003"/>
      <c r="N77" t="e">
        <f t="shared" si="3"/>
        <v>#DIV/0!</v>
      </c>
    </row>
    <row r="78" spans="1:14" ht="15">
      <c r="A78" s="1043" t="s">
        <v>716</v>
      </c>
      <c r="B78" s="1053"/>
      <c r="C78" s="1053"/>
      <c r="F78" s="1053"/>
      <c r="G78" s="264" t="e">
        <f t="shared" si="4"/>
        <v>#DIV/0!</v>
      </c>
      <c r="J78">
        <f t="shared" si="5"/>
        <v>3.3864217984625888</v>
      </c>
      <c r="K78" s="1043" t="s">
        <v>2552</v>
      </c>
      <c r="L78" s="264"/>
      <c r="M78" s="1003"/>
      <c r="N78" t="e">
        <f t="shared" si="3"/>
        <v>#DIV/0!</v>
      </c>
    </row>
    <row r="79" spans="1:14" ht="15">
      <c r="A79" s="1043" t="s">
        <v>718</v>
      </c>
      <c r="B79" s="1053"/>
      <c r="C79" s="1053"/>
      <c r="E79" t="s">
        <v>2553</v>
      </c>
      <c r="F79" s="1043" t="s">
        <v>2554</v>
      </c>
      <c r="G79" s="264">
        <f t="shared" si="4"/>
        <v>5.7242158034818816E-2</v>
      </c>
      <c r="H79" t="s">
        <v>2555</v>
      </c>
      <c r="I79" t="s">
        <v>2556</v>
      </c>
      <c r="J79">
        <f t="shared" si="5"/>
        <v>0.80796871700299844</v>
      </c>
      <c r="K79" s="1043" t="s">
        <v>2557</v>
      </c>
      <c r="L79" s="264"/>
      <c r="M79" s="1043" t="s">
        <v>2558</v>
      </c>
      <c r="N79">
        <f t="shared" si="3"/>
        <v>0.10842652550997743</v>
      </c>
    </row>
    <row r="80" spans="1:14" ht="15">
      <c r="A80" s="1043" t="s">
        <v>720</v>
      </c>
      <c r="B80" s="1043" t="s">
        <v>2559</v>
      </c>
      <c r="C80" s="1043" t="s">
        <v>2555</v>
      </c>
      <c r="E80" t="s">
        <v>2560</v>
      </c>
      <c r="F80" s="1043" t="s">
        <v>2561</v>
      </c>
      <c r="G80" s="264">
        <f t="shared" si="4"/>
        <v>1.447360645177234E-2</v>
      </c>
      <c r="H80" t="s">
        <v>2562</v>
      </c>
      <c r="I80" t="s">
        <v>2563</v>
      </c>
      <c r="J80">
        <f t="shared" si="5"/>
        <v>1.8202818500589477</v>
      </c>
      <c r="K80" s="1043" t="s">
        <v>2564</v>
      </c>
      <c r="L80" s="264" t="s">
        <v>2565</v>
      </c>
      <c r="M80" s="1043" t="s">
        <v>2566</v>
      </c>
      <c r="N80">
        <f t="shared" si="3"/>
        <v>2.0561765603933694E-2</v>
      </c>
    </row>
    <row r="81" spans="1:14" ht="15">
      <c r="A81" s="1043" t="s">
        <v>722</v>
      </c>
      <c r="B81" s="1043" t="s">
        <v>2567</v>
      </c>
      <c r="C81" s="1043" t="s">
        <v>2562</v>
      </c>
      <c r="E81" t="s">
        <v>2568</v>
      </c>
      <c r="F81" s="1043" t="s">
        <v>2569</v>
      </c>
      <c r="G81" s="264">
        <f t="shared" si="4"/>
        <v>0.10307861152201842</v>
      </c>
      <c r="H81" t="s">
        <v>2570</v>
      </c>
      <c r="I81" t="s">
        <v>2571</v>
      </c>
      <c r="J81">
        <f t="shared" si="5"/>
        <v>2.2028910243182498</v>
      </c>
      <c r="K81" s="1043" t="s">
        <v>2572</v>
      </c>
      <c r="L81" s="264" t="s">
        <v>2573</v>
      </c>
      <c r="M81" s="1043" t="s">
        <v>2574</v>
      </c>
      <c r="N81">
        <f t="shared" ref="N81:N144" si="6">I81/M81</f>
        <v>7.7180483663278177E-2</v>
      </c>
    </row>
    <row r="82" spans="1:14" ht="15">
      <c r="A82" s="1043" t="s">
        <v>724</v>
      </c>
      <c r="B82" s="1043" t="s">
        <v>2575</v>
      </c>
      <c r="C82" s="1043" t="s">
        <v>2570</v>
      </c>
      <c r="E82" t="s">
        <v>2576</v>
      </c>
      <c r="F82" s="1043" t="s">
        <v>2577</v>
      </c>
      <c r="G82" s="264">
        <f t="shared" si="4"/>
        <v>0.1687096772156525</v>
      </c>
      <c r="H82" t="s">
        <v>2578</v>
      </c>
      <c r="I82" t="s">
        <v>2579</v>
      </c>
      <c r="J82">
        <f t="shared" si="5"/>
        <v>-17.849043787444693</v>
      </c>
      <c r="K82" s="1043" t="s">
        <v>2580</v>
      </c>
      <c r="L82" s="264" t="s">
        <v>2581</v>
      </c>
      <c r="M82" s="1043" t="s">
        <v>2582</v>
      </c>
      <c r="N82">
        <f t="shared" si="6"/>
        <v>9.9939961338303532E-2</v>
      </c>
    </row>
    <row r="83" spans="1:14" ht="15">
      <c r="A83" s="1043" t="s">
        <v>726</v>
      </c>
      <c r="B83" s="1043" t="s">
        <v>2583</v>
      </c>
      <c r="C83" s="1043" t="s">
        <v>2578</v>
      </c>
      <c r="E83" t="s">
        <v>2584</v>
      </c>
      <c r="F83" s="1043" t="s">
        <v>2585</v>
      </c>
      <c r="G83" s="264">
        <f t="shared" si="4"/>
        <v>-0.69661572339787314</v>
      </c>
      <c r="H83" t="s">
        <v>2586</v>
      </c>
      <c r="I83" t="s">
        <v>2587</v>
      </c>
      <c r="J83">
        <f t="shared" si="5"/>
        <v>1.7058953900707687</v>
      </c>
      <c r="K83" s="1043" t="s">
        <v>2588</v>
      </c>
      <c r="L83" s="264" t="s">
        <v>2087</v>
      </c>
      <c r="M83" s="1043" t="s">
        <v>2589</v>
      </c>
      <c r="N83">
        <f t="shared" si="6"/>
        <v>-9.4810282924206582E-2</v>
      </c>
    </row>
    <row r="84" spans="1:14" ht="15">
      <c r="A84" s="1043" t="s">
        <v>729</v>
      </c>
      <c r="B84" s="1043" t="s">
        <v>2590</v>
      </c>
      <c r="C84" s="1043" t="s">
        <v>2586</v>
      </c>
      <c r="E84" t="s">
        <v>2591</v>
      </c>
      <c r="F84" s="1043" t="s">
        <v>2592</v>
      </c>
      <c r="G84" s="264">
        <f t="shared" si="4"/>
        <v>0.26143533769273219</v>
      </c>
      <c r="H84" t="s">
        <v>2593</v>
      </c>
      <c r="I84" t="s">
        <v>2594</v>
      </c>
      <c r="J84">
        <f t="shared" si="5"/>
        <v>1.7070586148794902</v>
      </c>
      <c r="K84" s="1043" t="s">
        <v>2595</v>
      </c>
      <c r="L84" s="264" t="s">
        <v>2596</v>
      </c>
      <c r="M84" s="1043" t="s">
        <v>2597</v>
      </c>
      <c r="N84">
        <f t="shared" si="6"/>
        <v>0.26185971469364855</v>
      </c>
    </row>
    <row r="85" spans="1:14" ht="15">
      <c r="A85" s="1043" t="s">
        <v>731</v>
      </c>
      <c r="B85" s="1043" t="s">
        <v>2598</v>
      </c>
      <c r="C85" s="1043" t="s">
        <v>2593</v>
      </c>
      <c r="E85" t="s">
        <v>2599</v>
      </c>
      <c r="F85" s="1043" t="s">
        <v>2600</v>
      </c>
      <c r="G85" s="264">
        <f t="shared" si="4"/>
        <v>0.73958284944524133</v>
      </c>
      <c r="H85" t="s">
        <v>2601</v>
      </c>
      <c r="I85" t="s">
        <v>2602</v>
      </c>
      <c r="J85">
        <f t="shared" si="5"/>
        <v>0</v>
      </c>
      <c r="K85" s="1043" t="s">
        <v>2603</v>
      </c>
      <c r="L85" s="264" t="s">
        <v>2604</v>
      </c>
      <c r="M85" s="1043" t="s">
        <v>2597</v>
      </c>
      <c r="N85">
        <f t="shared" si="6"/>
        <v>0.26179007115252662</v>
      </c>
    </row>
    <row r="86" spans="1:14" ht="15">
      <c r="A86" s="1043" t="s">
        <v>733</v>
      </c>
      <c r="B86" s="1043" t="s">
        <v>2605</v>
      </c>
      <c r="C86" s="1043" t="s">
        <v>2601</v>
      </c>
      <c r="E86" t="s">
        <v>2606</v>
      </c>
      <c r="F86" s="1043" t="s">
        <v>2607</v>
      </c>
      <c r="G86" s="264">
        <f t="shared" si="4"/>
        <v>0.11742975169979086</v>
      </c>
      <c r="H86">
        <v>0</v>
      </c>
      <c r="I86" t="s">
        <v>2608</v>
      </c>
      <c r="J86">
        <f t="shared" si="5"/>
        <v>3.0184877571974313</v>
      </c>
      <c r="K86" s="1043" t="s">
        <v>2609</v>
      </c>
      <c r="L86" s="264" t="s">
        <v>2610</v>
      </c>
      <c r="M86" s="1043" t="s">
        <v>2611</v>
      </c>
      <c r="N86">
        <f t="shared" si="6"/>
        <v>0.10392012384260166</v>
      </c>
    </row>
    <row r="87" spans="1:14" ht="15">
      <c r="A87" s="1043" t="s">
        <v>735</v>
      </c>
      <c r="B87" s="1043" t="s">
        <v>2095</v>
      </c>
      <c r="C87" s="1043">
        <v>0</v>
      </c>
      <c r="E87" t="s">
        <v>2612</v>
      </c>
      <c r="F87" s="1043" t="s">
        <v>2613</v>
      </c>
      <c r="G87" s="264">
        <f t="shared" si="4"/>
        <v>0.22391752672403037</v>
      </c>
      <c r="H87" t="s">
        <v>2614</v>
      </c>
      <c r="I87" t="s">
        <v>2615</v>
      </c>
      <c r="J87">
        <f t="shared" si="5"/>
        <v>2.2920969279820675</v>
      </c>
      <c r="K87" s="1043" t="s">
        <v>2616</v>
      </c>
      <c r="L87" s="264" t="s">
        <v>2617</v>
      </c>
      <c r="M87" s="1043" t="s">
        <v>2618</v>
      </c>
      <c r="N87">
        <f t="shared" si="6"/>
        <v>4.7876892496068899E-2</v>
      </c>
    </row>
    <row r="88" spans="1:14" ht="15">
      <c r="A88" s="1043" t="s">
        <v>738</v>
      </c>
      <c r="B88" s="1043" t="s">
        <v>2619</v>
      </c>
      <c r="C88" s="1043" t="s">
        <v>2614</v>
      </c>
      <c r="E88" t="s">
        <v>2620</v>
      </c>
      <c r="F88" s="1043" t="s">
        <v>2621</v>
      </c>
      <c r="G88" s="264">
        <f t="shared" si="4"/>
        <v>8.4206550746309852E-2</v>
      </c>
      <c r="H88" t="s">
        <v>2622</v>
      </c>
      <c r="I88" t="s">
        <v>2623</v>
      </c>
      <c r="J88">
        <f t="shared" si="5"/>
        <v>4.9278980781775168</v>
      </c>
      <c r="K88" s="1043" t="s">
        <v>2624</v>
      </c>
      <c r="L88" s="264" t="s">
        <v>2625</v>
      </c>
      <c r="M88" s="1043" t="s">
        <v>2626</v>
      </c>
      <c r="N88">
        <f t="shared" si="6"/>
        <v>4.3998740069596247E-2</v>
      </c>
    </row>
    <row r="89" spans="1:14" ht="15">
      <c r="A89" s="1043" t="s">
        <v>740</v>
      </c>
      <c r="B89" s="1043" t="s">
        <v>2627</v>
      </c>
      <c r="C89" s="1043" t="s">
        <v>2622</v>
      </c>
      <c r="E89" t="s">
        <v>2628</v>
      </c>
      <c r="F89" s="1043" t="s">
        <v>2629</v>
      </c>
      <c r="G89" s="264">
        <f t="shared" si="4"/>
        <v>1.518203854924768E-2</v>
      </c>
      <c r="H89" t="s">
        <v>2630</v>
      </c>
      <c r="I89" t="s">
        <v>2631</v>
      </c>
      <c r="J89">
        <f t="shared" si="5"/>
        <v>16.393341073832072</v>
      </c>
      <c r="K89" s="1043" t="s">
        <v>2632</v>
      </c>
      <c r="L89" s="264" t="s">
        <v>2633</v>
      </c>
      <c r="M89" s="1043" t="s">
        <v>2634</v>
      </c>
      <c r="N89">
        <f t="shared" si="6"/>
        <v>9.0968467089088276E-2</v>
      </c>
    </row>
    <row r="90" spans="1:14" ht="15">
      <c r="A90" s="1043" t="s">
        <v>742</v>
      </c>
      <c r="B90" s="1043" t="s">
        <v>2635</v>
      </c>
      <c r="C90" s="1043" t="s">
        <v>2630</v>
      </c>
      <c r="E90" t="s">
        <v>2636</v>
      </c>
      <c r="F90" s="1043" t="s">
        <v>2637</v>
      </c>
      <c r="G90" s="264">
        <f t="shared" si="4"/>
        <v>0.15970452631923923</v>
      </c>
      <c r="H90" t="s">
        <v>2638</v>
      </c>
      <c r="I90" t="s">
        <v>2639</v>
      </c>
      <c r="J90">
        <f t="shared" si="5"/>
        <v>1.5862704444208269</v>
      </c>
      <c r="K90" s="1043" t="s">
        <v>2640</v>
      </c>
      <c r="L90" s="264" t="s">
        <v>2641</v>
      </c>
      <c r="M90" s="1043" t="s">
        <v>2642</v>
      </c>
      <c r="N90">
        <f t="shared" si="6"/>
        <v>4.7421728753972811E-2</v>
      </c>
    </row>
    <row r="91" spans="1:14" ht="15">
      <c r="A91" s="1043" t="s">
        <v>744</v>
      </c>
      <c r="B91" s="1043" t="s">
        <v>2643</v>
      </c>
      <c r="C91" s="1043" t="s">
        <v>2638</v>
      </c>
      <c r="E91" t="s">
        <v>2644</v>
      </c>
      <c r="F91" s="1043" t="s">
        <v>2645</v>
      </c>
      <c r="G91" s="264">
        <f t="shared" si="4"/>
        <v>8.7520373875315569E-2</v>
      </c>
      <c r="H91" t="s">
        <v>2646</v>
      </c>
      <c r="I91" t="s">
        <v>2647</v>
      </c>
      <c r="J91">
        <f t="shared" si="5"/>
        <v>-22.724173179751222</v>
      </c>
      <c r="K91" s="1043" t="s">
        <v>2648</v>
      </c>
      <c r="L91" s="264" t="s">
        <v>2649</v>
      </c>
      <c r="M91" s="1043" t="s">
        <v>2650</v>
      </c>
      <c r="N91">
        <f t="shared" si="6"/>
        <v>4.5291035642974785E-2</v>
      </c>
    </row>
    <row r="92" spans="1:14" ht="15">
      <c r="A92" s="1043" t="s">
        <v>746</v>
      </c>
      <c r="B92" s="1043" t="s">
        <v>2651</v>
      </c>
      <c r="C92" s="1043" t="s">
        <v>2646</v>
      </c>
      <c r="E92" t="s">
        <v>2652</v>
      </c>
      <c r="F92" s="1043" t="s">
        <v>2653</v>
      </c>
      <c r="G92" s="264">
        <f t="shared" si="4"/>
        <v>-5.977580859145408E-2</v>
      </c>
      <c r="H92" t="s">
        <v>2654</v>
      </c>
      <c r="I92" t="s">
        <v>2655</v>
      </c>
      <c r="J92">
        <f t="shared" si="5"/>
        <v>7.0043000436167926</v>
      </c>
      <c r="K92" s="1043" t="s">
        <v>2656</v>
      </c>
      <c r="L92" s="264" t="s">
        <v>2657</v>
      </c>
      <c r="M92" s="1043" t="s">
        <v>2658</v>
      </c>
      <c r="N92">
        <f t="shared" si="6"/>
        <v>-4.0801027190903678E-2</v>
      </c>
    </row>
    <row r="93" spans="1:14" ht="15">
      <c r="A93" s="1043" t="s">
        <v>748</v>
      </c>
      <c r="B93" s="1043" t="s">
        <v>2659</v>
      </c>
      <c r="C93" s="1043" t="s">
        <v>2654</v>
      </c>
      <c r="E93" t="s">
        <v>2660</v>
      </c>
      <c r="F93" s="1043" t="s">
        <v>2661</v>
      </c>
      <c r="G93" s="264">
        <f t="shared" si="4"/>
        <v>1.0390205688053001E-2</v>
      </c>
      <c r="H93" t="s">
        <v>2662</v>
      </c>
      <c r="I93" t="s">
        <v>2663</v>
      </c>
      <c r="J93">
        <f t="shared" si="5"/>
        <v>-5.4366262106522125</v>
      </c>
      <c r="K93" s="1043" t="s">
        <v>2664</v>
      </c>
      <c r="L93" s="264" t="s">
        <v>2665</v>
      </c>
      <c r="M93" s="1043" t="s">
        <v>2666</v>
      </c>
      <c r="N93">
        <f t="shared" si="6"/>
        <v>2.2218919536144202E-2</v>
      </c>
    </row>
    <row r="94" spans="1:14" ht="15">
      <c r="A94" s="1043" t="s">
        <v>750</v>
      </c>
      <c r="B94" s="1043" t="s">
        <v>2667</v>
      </c>
      <c r="C94" s="1043" t="s">
        <v>2662</v>
      </c>
      <c r="E94" t="s">
        <v>2668</v>
      </c>
      <c r="F94" s="1043" t="s">
        <v>2669</v>
      </c>
      <c r="G94" s="264">
        <f t="shared" si="4"/>
        <v>-7.6771533384751081E-2</v>
      </c>
      <c r="H94" t="s">
        <v>2670</v>
      </c>
      <c r="I94" t="s">
        <v>2671</v>
      </c>
      <c r="J94">
        <f t="shared" si="5"/>
        <v>-1.9673230817155813</v>
      </c>
      <c r="K94" s="1043" t="s">
        <v>2672</v>
      </c>
      <c r="L94" s="264" t="s">
        <v>2673</v>
      </c>
      <c r="M94" s="1043" t="s">
        <v>2674</v>
      </c>
      <c r="N94">
        <f t="shared" si="6"/>
        <v>-3.0671182554953613E-2</v>
      </c>
    </row>
    <row r="95" spans="1:14" ht="15">
      <c r="A95" s="1043" t="s">
        <v>752</v>
      </c>
      <c r="B95" s="1043" t="s">
        <v>2675</v>
      </c>
      <c r="C95" s="1043" t="s">
        <v>2670</v>
      </c>
      <c r="E95" t="s">
        <v>2676</v>
      </c>
      <c r="F95" s="1043" t="s">
        <v>2677</v>
      </c>
      <c r="G95" s="264">
        <f t="shared" si="4"/>
        <v>-8.9252547840687591E-2</v>
      </c>
      <c r="H95" t="s">
        <v>2678</v>
      </c>
      <c r="I95" t="s">
        <v>2679</v>
      </c>
      <c r="J95">
        <f t="shared" si="5"/>
        <v>-3.8080518380978092</v>
      </c>
      <c r="K95" s="1043" t="s">
        <v>2680</v>
      </c>
      <c r="L95" s="264" t="s">
        <v>2681</v>
      </c>
      <c r="M95" s="1043" t="s">
        <v>2682</v>
      </c>
      <c r="N95">
        <f t="shared" si="6"/>
        <v>-9.7682777827046027E-2</v>
      </c>
    </row>
    <row r="96" spans="1:14" ht="15">
      <c r="A96" s="1043" t="s">
        <v>754</v>
      </c>
      <c r="B96" s="1043" t="s">
        <v>2683</v>
      </c>
      <c r="C96" s="1043" t="s">
        <v>2678</v>
      </c>
      <c r="E96" t="s">
        <v>2684</v>
      </c>
      <c r="F96" s="1043" t="s">
        <v>2685</v>
      </c>
      <c r="G96" s="264">
        <f t="shared" si="4"/>
        <v>-1.9657859279049276E-2</v>
      </c>
      <c r="H96" t="s">
        <v>2686</v>
      </c>
      <c r="I96" t="s">
        <v>2687</v>
      </c>
      <c r="J96">
        <f t="shared" si="5"/>
        <v>4.6521398157183711</v>
      </c>
      <c r="K96" s="1043" t="s">
        <v>2688</v>
      </c>
      <c r="L96" s="264" t="s">
        <v>2689</v>
      </c>
      <c r="M96" s="1043" t="s">
        <v>2690</v>
      </c>
      <c r="N96">
        <f t="shared" si="6"/>
        <v>-1.1933351364835434E-2</v>
      </c>
    </row>
    <row r="97" spans="1:14" ht="15">
      <c r="A97" s="1043" t="s">
        <v>756</v>
      </c>
      <c r="B97" s="1043" t="s">
        <v>2691</v>
      </c>
      <c r="C97" s="1043" t="s">
        <v>2686</v>
      </c>
      <c r="E97" t="s">
        <v>2692</v>
      </c>
      <c r="F97" s="1043" t="s">
        <v>2693</v>
      </c>
      <c r="G97" s="264">
        <f t="shared" si="4"/>
        <v>5.7819301769633159E-2</v>
      </c>
      <c r="H97" t="s">
        <v>2694</v>
      </c>
      <c r="I97" t="s">
        <v>2695</v>
      </c>
      <c r="J97">
        <f t="shared" si="5"/>
        <v>0.39362370010819947</v>
      </c>
      <c r="K97" s="1043" t="s">
        <v>2696</v>
      </c>
      <c r="L97" s="264" t="s">
        <v>2697</v>
      </c>
      <c r="M97" s="1043" t="s">
        <v>2698</v>
      </c>
      <c r="N97">
        <f t="shared" si="6"/>
        <v>3.0154023285509614E-2</v>
      </c>
    </row>
    <row r="98" spans="1:14" ht="15">
      <c r="A98" s="1043" t="s">
        <v>758</v>
      </c>
      <c r="B98" s="1043" t="s">
        <v>2699</v>
      </c>
      <c r="C98" s="1043" t="s">
        <v>2694</v>
      </c>
      <c r="E98" t="s">
        <v>2700</v>
      </c>
      <c r="F98" s="1043" t="s">
        <v>2701</v>
      </c>
      <c r="G98" s="264">
        <f t="shared" si="4"/>
        <v>1.738455263412253E-2</v>
      </c>
      <c r="H98" t="s">
        <v>2702</v>
      </c>
      <c r="I98" t="s">
        <v>2703</v>
      </c>
      <c r="J98">
        <f t="shared" si="5"/>
        <v>2.7011496499655938</v>
      </c>
      <c r="K98" s="1043" t="s">
        <v>2704</v>
      </c>
      <c r="L98" s="264" t="s">
        <v>2705</v>
      </c>
      <c r="M98" s="1043" t="s">
        <v>2706</v>
      </c>
      <c r="N98">
        <f t="shared" si="6"/>
        <v>3.8098853632287946E-2</v>
      </c>
    </row>
    <row r="99" spans="1:14" ht="15">
      <c r="A99" s="1043" t="s">
        <v>760</v>
      </c>
      <c r="B99" s="1043" t="s">
        <v>2359</v>
      </c>
      <c r="C99" s="1043" t="s">
        <v>2702</v>
      </c>
      <c r="E99" t="s">
        <v>2707</v>
      </c>
      <c r="F99" s="1043" t="s">
        <v>2708</v>
      </c>
      <c r="G99" s="264">
        <f t="shared" si="4"/>
        <v>3.4516033715061754E-2</v>
      </c>
      <c r="H99" t="s">
        <v>2709</v>
      </c>
      <c r="I99" t="s">
        <v>2710</v>
      </c>
      <c r="J99">
        <f t="shared" si="5"/>
        <v>0</v>
      </c>
      <c r="K99" s="1043" t="s">
        <v>2711</v>
      </c>
      <c r="L99" s="264" t="s">
        <v>2712</v>
      </c>
      <c r="M99" s="1043" t="s">
        <v>2713</v>
      </c>
      <c r="N99">
        <f t="shared" si="6"/>
        <v>3.077285593325043E-2</v>
      </c>
    </row>
    <row r="100" spans="1:14" ht="15">
      <c r="A100" s="1043" t="s">
        <v>762</v>
      </c>
      <c r="B100" s="1043" t="s">
        <v>2714</v>
      </c>
      <c r="C100" s="1043" t="s">
        <v>2709</v>
      </c>
      <c r="E100" t="s">
        <v>2715</v>
      </c>
      <c r="F100" s="1043" t="s">
        <v>2716</v>
      </c>
      <c r="G100" s="264">
        <f t="shared" si="4"/>
        <v>-4.4024518017786653E-2</v>
      </c>
      <c r="H100">
        <v>0</v>
      </c>
      <c r="I100" t="s">
        <v>2717</v>
      </c>
      <c r="J100">
        <f t="shared" si="5"/>
        <v>3.0956766278372334</v>
      </c>
      <c r="K100" s="1043" t="s">
        <v>2718</v>
      </c>
      <c r="L100" s="264" t="s">
        <v>2719</v>
      </c>
      <c r="M100" s="1043" t="s">
        <v>2720</v>
      </c>
      <c r="N100">
        <f t="shared" si="6"/>
        <v>-0.11091024603345513</v>
      </c>
    </row>
    <row r="101" spans="1:14" ht="15">
      <c r="A101" s="1043" t="s">
        <v>764</v>
      </c>
      <c r="B101" s="1043" t="s">
        <v>2095</v>
      </c>
      <c r="C101" s="1043">
        <v>0</v>
      </c>
      <c r="E101" t="s">
        <v>2721</v>
      </c>
      <c r="F101" s="1043" t="s">
        <v>2722</v>
      </c>
      <c r="G101" s="264">
        <f t="shared" si="4"/>
        <v>0.19674930987442488</v>
      </c>
      <c r="H101" t="s">
        <v>2723</v>
      </c>
      <c r="I101" t="s">
        <v>2724</v>
      </c>
      <c r="J101">
        <f t="shared" si="5"/>
        <v>9.5730193827794423</v>
      </c>
      <c r="K101" s="1043" t="s">
        <v>2725</v>
      </c>
      <c r="L101" s="264" t="s">
        <v>2307</v>
      </c>
      <c r="M101" s="1043" t="s">
        <v>2726</v>
      </c>
      <c r="N101">
        <f t="shared" si="6"/>
        <v>9.1553242724416048E-2</v>
      </c>
    </row>
    <row r="102" spans="1:14" ht="15">
      <c r="A102" s="1043" t="s">
        <v>766</v>
      </c>
      <c r="B102" s="1043" t="s">
        <v>2727</v>
      </c>
      <c r="C102" s="1043" t="s">
        <v>2723</v>
      </c>
      <c r="E102" t="s">
        <v>2728</v>
      </c>
      <c r="F102" s="1043" t="s">
        <v>2729</v>
      </c>
      <c r="G102" s="264">
        <f t="shared" si="4"/>
        <v>2.7071078664496848E-2</v>
      </c>
      <c r="H102" t="s">
        <v>2730</v>
      </c>
      <c r="I102" t="s">
        <v>2731</v>
      </c>
      <c r="J102">
        <f t="shared" si="5"/>
        <v>2.355486165258398</v>
      </c>
      <c r="K102" s="1043" t="s">
        <v>2732</v>
      </c>
      <c r="L102" s="264" t="s">
        <v>2733</v>
      </c>
      <c r="M102" s="1043" t="s">
        <v>2734</v>
      </c>
      <c r="N102">
        <f t="shared" si="6"/>
        <v>2.6598319978996126E-2</v>
      </c>
    </row>
    <row r="103" spans="1:14" ht="15">
      <c r="A103" s="1043" t="s">
        <v>768</v>
      </c>
      <c r="B103" s="1043" t="s">
        <v>2735</v>
      </c>
      <c r="C103" s="1043" t="s">
        <v>2730</v>
      </c>
      <c r="E103" t="s">
        <v>2736</v>
      </c>
      <c r="F103" s="1043" t="s">
        <v>2737</v>
      </c>
      <c r="G103" s="264">
        <f t="shared" si="4"/>
        <v>4.9047508614135059E-2</v>
      </c>
      <c r="H103" t="s">
        <v>2738</v>
      </c>
      <c r="I103" t="s">
        <v>2739</v>
      </c>
      <c r="J103">
        <f t="shared" si="5"/>
        <v>42.794802272862285</v>
      </c>
      <c r="K103" s="1043" t="s">
        <v>2740</v>
      </c>
      <c r="L103" s="264" t="s">
        <v>2741</v>
      </c>
      <c r="M103" s="1043" t="s">
        <v>2742</v>
      </c>
      <c r="N103">
        <f t="shared" si="6"/>
        <v>0.5688810965728105</v>
      </c>
    </row>
    <row r="104" spans="1:14" ht="15">
      <c r="A104" s="1043" t="s">
        <v>770</v>
      </c>
      <c r="B104" s="1043" t="s">
        <v>2743</v>
      </c>
      <c r="C104" s="1043" t="s">
        <v>2738</v>
      </c>
      <c r="E104" t="s">
        <v>2744</v>
      </c>
      <c r="F104" s="1043" t="s">
        <v>2745</v>
      </c>
      <c r="G104" s="264">
        <f t="shared" si="4"/>
        <v>5.4368220857901415E-3</v>
      </c>
      <c r="H104" t="s">
        <v>2746</v>
      </c>
      <c r="I104" t="s">
        <v>2747</v>
      </c>
      <c r="J104">
        <f t="shared" si="5"/>
        <v>-5.6023600436545884</v>
      </c>
      <c r="K104" s="1043" t="s">
        <v>2748</v>
      </c>
      <c r="L104" s="264" t="s">
        <v>2749</v>
      </c>
      <c r="M104" s="1043" t="s">
        <v>2750</v>
      </c>
      <c r="N104">
        <f t="shared" si="6"/>
        <v>8.5306886079393619E-3</v>
      </c>
    </row>
    <row r="105" spans="1:14" ht="15">
      <c r="A105" s="1043" t="s">
        <v>772</v>
      </c>
      <c r="B105" s="1043" t="s">
        <v>2751</v>
      </c>
      <c r="C105" s="1043" t="s">
        <v>2746</v>
      </c>
      <c r="E105" t="s">
        <v>2752</v>
      </c>
      <c r="F105" s="1043" t="s">
        <v>2753</v>
      </c>
      <c r="G105" s="264">
        <f t="shared" si="4"/>
        <v>-8.2494041273949766E-3</v>
      </c>
      <c r="H105" t="s">
        <v>2754</v>
      </c>
      <c r="I105" t="s">
        <v>2755</v>
      </c>
      <c r="J105">
        <f t="shared" si="5"/>
        <v>1.6528926012515082E-2</v>
      </c>
      <c r="K105" s="1043" t="s">
        <v>2756</v>
      </c>
      <c r="L105" s="264" t="s">
        <v>2610</v>
      </c>
      <c r="M105" s="1043" t="s">
        <v>2757</v>
      </c>
      <c r="N105">
        <f t="shared" si="6"/>
        <v>-1.9322134556015242E-2</v>
      </c>
    </row>
    <row r="106" spans="1:14" ht="15">
      <c r="A106" s="1043" t="s">
        <v>774</v>
      </c>
      <c r="B106" s="1043" t="s">
        <v>2394</v>
      </c>
      <c r="C106" s="1043" t="s">
        <v>2754</v>
      </c>
      <c r="E106" t="s">
        <v>2758</v>
      </c>
      <c r="F106" s="1043" t="s">
        <v>2759</v>
      </c>
      <c r="G106" s="264">
        <f t="shared" si="4"/>
        <v>3.3708156277518594E-2</v>
      </c>
      <c r="H106" t="s">
        <v>2760</v>
      </c>
      <c r="I106" t="s">
        <v>2761</v>
      </c>
      <c r="J106">
        <f t="shared" si="5"/>
        <v>6.8896404860328193</v>
      </c>
      <c r="K106" s="1043" t="s">
        <v>2762</v>
      </c>
      <c r="L106" s="264" t="s">
        <v>2763</v>
      </c>
      <c r="M106" s="1043" t="s">
        <v>2764</v>
      </c>
      <c r="N106">
        <f t="shared" si="6"/>
        <v>3.6799553949802395E-2</v>
      </c>
    </row>
    <row r="107" spans="1:14" ht="15">
      <c r="A107" s="1043" t="s">
        <v>776</v>
      </c>
      <c r="B107" s="1043" t="s">
        <v>2541</v>
      </c>
      <c r="C107" s="1043" t="s">
        <v>2760</v>
      </c>
      <c r="E107" t="s">
        <v>2765</v>
      </c>
      <c r="F107" s="1043" t="s">
        <v>2766</v>
      </c>
      <c r="G107" s="264">
        <f t="shared" si="4"/>
        <v>6.0643819803842126E-2</v>
      </c>
      <c r="H107" t="s">
        <v>2767</v>
      </c>
      <c r="I107" t="s">
        <v>2768</v>
      </c>
      <c r="J107">
        <f t="shared" si="5"/>
        <v>1.7683641275198396</v>
      </c>
      <c r="K107" s="1043" t="s">
        <v>2769</v>
      </c>
      <c r="L107" s="264" t="s">
        <v>2770</v>
      </c>
      <c r="M107" s="1043" t="s">
        <v>2771</v>
      </c>
      <c r="N107">
        <f t="shared" si="6"/>
        <v>4.3517948905250747E-3</v>
      </c>
    </row>
    <row r="108" spans="1:14" ht="15">
      <c r="A108" s="1043" t="s">
        <v>778</v>
      </c>
      <c r="B108" s="1043" t="s">
        <v>2772</v>
      </c>
      <c r="C108" s="1043" t="s">
        <v>2767</v>
      </c>
      <c r="E108" t="s">
        <v>2773</v>
      </c>
      <c r="F108" s="1043" t="s">
        <v>2774</v>
      </c>
      <c r="G108" s="264">
        <f t="shared" si="4"/>
        <v>5.5861012770876572E-2</v>
      </c>
      <c r="H108" t="s">
        <v>2775</v>
      </c>
      <c r="I108" t="s">
        <v>2776</v>
      </c>
      <c r="J108">
        <f t="shared" si="5"/>
        <v>3.2356096060771882</v>
      </c>
      <c r="K108" s="1043" t="s">
        <v>2777</v>
      </c>
      <c r="L108" s="264" t="s">
        <v>2778</v>
      </c>
      <c r="M108" s="1043" t="s">
        <v>2779</v>
      </c>
      <c r="N108">
        <f t="shared" si="6"/>
        <v>0.1139936299388639</v>
      </c>
    </row>
    <row r="109" spans="1:14" ht="15">
      <c r="A109" s="1043" t="s">
        <v>780</v>
      </c>
      <c r="B109" s="1043" t="s">
        <v>2780</v>
      </c>
      <c r="C109" s="1043" t="s">
        <v>2775</v>
      </c>
      <c r="E109" t="s">
        <v>2781</v>
      </c>
      <c r="F109" s="1043" t="s">
        <v>2782</v>
      </c>
      <c r="G109" s="264">
        <f t="shared" si="4"/>
        <v>3.3544279278838712E-2</v>
      </c>
      <c r="H109" t="s">
        <v>2783</v>
      </c>
      <c r="I109" t="s">
        <v>2784</v>
      </c>
      <c r="J109">
        <f t="shared" si="5"/>
        <v>-13.654222109465488</v>
      </c>
      <c r="K109" s="1043" t="s">
        <v>2785</v>
      </c>
      <c r="L109" s="264" t="s">
        <v>2786</v>
      </c>
      <c r="M109" s="1043" t="s">
        <v>2787</v>
      </c>
      <c r="N109">
        <f t="shared" si="6"/>
        <v>1.4448885080017683E-2</v>
      </c>
    </row>
    <row r="110" spans="1:14" ht="15">
      <c r="A110" s="1043" t="s">
        <v>782</v>
      </c>
      <c r="B110" s="1043" t="s">
        <v>2788</v>
      </c>
      <c r="C110" s="1043" t="s">
        <v>2783</v>
      </c>
      <c r="E110" t="s">
        <v>2789</v>
      </c>
      <c r="F110" s="1043" t="s">
        <v>2790</v>
      </c>
      <c r="G110" s="264">
        <f t="shared" si="4"/>
        <v>4.9370774471387227E-2</v>
      </c>
      <c r="H110" t="s">
        <v>2791</v>
      </c>
      <c r="I110" t="s">
        <v>2792</v>
      </c>
      <c r="J110">
        <f t="shared" si="5"/>
        <v>2.4989525140723488</v>
      </c>
      <c r="K110" s="1043" t="s">
        <v>2793</v>
      </c>
      <c r="L110" s="264" t="s">
        <v>2794</v>
      </c>
      <c r="M110" s="1043" t="s">
        <v>2795</v>
      </c>
      <c r="N110">
        <f t="shared" si="6"/>
        <v>-1.0875370808666995E-2</v>
      </c>
    </row>
    <row r="111" spans="1:14" ht="15">
      <c r="A111" s="1043" t="s">
        <v>784</v>
      </c>
      <c r="B111" s="1043" t="s">
        <v>2796</v>
      </c>
      <c r="C111" s="1043" t="s">
        <v>2791</v>
      </c>
      <c r="E111" t="s">
        <v>2797</v>
      </c>
      <c r="F111" s="1043" t="s">
        <v>2798</v>
      </c>
      <c r="G111" s="264">
        <f t="shared" si="4"/>
        <v>6.7649483533816654E-2</v>
      </c>
      <c r="H111" t="s">
        <v>2799</v>
      </c>
      <c r="I111" t="s">
        <v>2800</v>
      </c>
      <c r="J111">
        <f t="shared" si="5"/>
        <v>2.5965371664780066</v>
      </c>
      <c r="K111" s="1043" t="s">
        <v>2801</v>
      </c>
      <c r="L111" s="264" t="s">
        <v>2802</v>
      </c>
      <c r="M111" s="1043" t="s">
        <v>2803</v>
      </c>
      <c r="N111">
        <f t="shared" si="6"/>
        <v>4.6680683909964583E-2</v>
      </c>
    </row>
    <row r="112" spans="1:14" ht="15">
      <c r="A112" s="1043" t="s">
        <v>786</v>
      </c>
      <c r="B112" s="1043" t="s">
        <v>2804</v>
      </c>
      <c r="C112" s="1043" t="s">
        <v>2799</v>
      </c>
      <c r="E112" t="s">
        <v>2805</v>
      </c>
      <c r="F112" s="1043" t="s">
        <v>2806</v>
      </c>
      <c r="G112" s="264">
        <f t="shared" si="4"/>
        <v>8.5278617519037453E-2</v>
      </c>
      <c r="H112" t="s">
        <v>2807</v>
      </c>
      <c r="I112" t="s">
        <v>2808</v>
      </c>
      <c r="J112">
        <f t="shared" si="5"/>
        <v>-222.09045101038504</v>
      </c>
      <c r="K112" s="1043" t="s">
        <v>2809</v>
      </c>
      <c r="L112" s="264" t="s">
        <v>2733</v>
      </c>
      <c r="M112" s="1043" t="s">
        <v>2810</v>
      </c>
      <c r="N112">
        <f t="shared" si="6"/>
        <v>2.3918049211843869E-2</v>
      </c>
    </row>
    <row r="113" spans="1:14" ht="15">
      <c r="A113" s="1043" t="s">
        <v>788</v>
      </c>
      <c r="B113" s="1043" t="s">
        <v>2811</v>
      </c>
      <c r="C113" s="1043" t="s">
        <v>2807</v>
      </c>
      <c r="E113" t="s">
        <v>2812</v>
      </c>
      <c r="F113" s="1043" t="s">
        <v>2813</v>
      </c>
      <c r="G113" s="264">
        <f t="shared" si="4"/>
        <v>5.4649680980206981E-3</v>
      </c>
      <c r="H113" t="s">
        <v>2814</v>
      </c>
      <c r="I113" t="s">
        <v>2815</v>
      </c>
      <c r="J113">
        <f t="shared" si="5"/>
        <v>-2.2097446714063902</v>
      </c>
      <c r="K113" s="1043" t="s">
        <v>2816</v>
      </c>
      <c r="L113" s="264" t="s">
        <v>2817</v>
      </c>
      <c r="M113" s="1043" t="s">
        <v>2818</v>
      </c>
      <c r="N113">
        <f t="shared" si="6"/>
        <v>-2.8266819909232594E-3</v>
      </c>
    </row>
    <row r="114" spans="1:14" ht="15">
      <c r="A114" s="1043" t="s">
        <v>790</v>
      </c>
      <c r="B114" s="1043" t="s">
        <v>2819</v>
      </c>
      <c r="C114" s="1043" t="s">
        <v>2814</v>
      </c>
      <c r="E114" t="s">
        <v>2820</v>
      </c>
      <c r="F114" s="1043" t="s">
        <v>2821</v>
      </c>
      <c r="G114" s="264">
        <f t="shared" si="4"/>
        <v>-0.18972296632799793</v>
      </c>
      <c r="H114" t="s">
        <v>2822</v>
      </c>
      <c r="I114" t="s">
        <v>2823</v>
      </c>
      <c r="J114">
        <f t="shared" si="5"/>
        <v>-5.2520402403668021</v>
      </c>
      <c r="K114" s="1043" t="s">
        <v>2824</v>
      </c>
      <c r="L114" s="264" t="s">
        <v>2825</v>
      </c>
      <c r="M114" s="1043" t="s">
        <v>2826</v>
      </c>
      <c r="N114">
        <f t="shared" si="6"/>
        <v>-0.28089509136826124</v>
      </c>
    </row>
    <row r="115" spans="1:14" ht="15">
      <c r="A115" s="1043" t="s">
        <v>792</v>
      </c>
      <c r="B115" s="1043" t="s">
        <v>2372</v>
      </c>
      <c r="C115" s="1043" t="s">
        <v>2822</v>
      </c>
      <c r="E115" t="s">
        <v>2827</v>
      </c>
      <c r="F115" s="1043" t="s">
        <v>2828</v>
      </c>
      <c r="G115" s="264">
        <f t="shared" si="4"/>
        <v>-2.5568786475717292E-2</v>
      </c>
      <c r="H115" t="s">
        <v>2829</v>
      </c>
      <c r="I115" t="s">
        <v>2830</v>
      </c>
      <c r="J115">
        <f t="shared" si="5"/>
        <v>2.3428638204929184</v>
      </c>
      <c r="K115" s="1043" t="s">
        <v>2831</v>
      </c>
      <c r="L115" s="264" t="s">
        <v>2832</v>
      </c>
      <c r="M115" s="1043" t="s">
        <v>2833</v>
      </c>
      <c r="N115">
        <f t="shared" si="6"/>
        <v>-7.182501007443888E-2</v>
      </c>
    </row>
    <row r="116" spans="1:14" ht="15">
      <c r="A116" s="1043" t="s">
        <v>794</v>
      </c>
      <c r="B116" s="1043" t="s">
        <v>2796</v>
      </c>
      <c r="C116" s="1043" t="s">
        <v>2829</v>
      </c>
      <c r="E116" t="s">
        <v>2834</v>
      </c>
      <c r="F116" s="1043" t="s">
        <v>2835</v>
      </c>
      <c r="G116" s="264">
        <f t="shared" si="4"/>
        <v>7.1692327890085797E-2</v>
      </c>
      <c r="H116" t="s">
        <v>2836</v>
      </c>
      <c r="I116" t="s">
        <v>2837</v>
      </c>
      <c r="J116">
        <f t="shared" si="5"/>
        <v>7.2173114492222048</v>
      </c>
      <c r="K116" s="1043" t="s">
        <v>2838</v>
      </c>
      <c r="L116" s="264" t="s">
        <v>2839</v>
      </c>
      <c r="M116" s="1043" t="s">
        <v>2840</v>
      </c>
      <c r="N116">
        <f t="shared" si="6"/>
        <v>9.4417025046380262E-2</v>
      </c>
    </row>
    <row r="117" spans="1:14" ht="15">
      <c r="A117" s="1043" t="s">
        <v>796</v>
      </c>
      <c r="B117" s="1043" t="s">
        <v>2841</v>
      </c>
      <c r="C117" s="1043" t="s">
        <v>2836</v>
      </c>
      <c r="E117" t="s">
        <v>2842</v>
      </c>
      <c r="F117" s="1043" t="s">
        <v>2843</v>
      </c>
      <c r="G117" s="264">
        <f t="shared" si="4"/>
        <v>0.10620882625769654</v>
      </c>
      <c r="H117" t="s">
        <v>2844</v>
      </c>
      <c r="I117" t="s">
        <v>2845</v>
      </c>
      <c r="J117">
        <f t="shared" si="5"/>
        <v>0.63392134572513148</v>
      </c>
      <c r="K117" s="1043" t="s">
        <v>2846</v>
      </c>
      <c r="L117" s="264" t="s">
        <v>2847</v>
      </c>
      <c r="M117" s="1043" t="s">
        <v>2848</v>
      </c>
      <c r="N117">
        <f t="shared" si="6"/>
        <v>5.6888301739891421E-2</v>
      </c>
    </row>
    <row r="118" spans="1:14" ht="15">
      <c r="A118" s="1043" t="s">
        <v>798</v>
      </c>
      <c r="B118" s="1043" t="s">
        <v>2849</v>
      </c>
      <c r="C118" s="1043" t="s">
        <v>2844</v>
      </c>
      <c r="E118" t="s">
        <v>2850</v>
      </c>
      <c r="F118" s="1043" t="s">
        <v>2851</v>
      </c>
      <c r="G118" s="264">
        <f t="shared" si="4"/>
        <v>3.0823801941091737E-2</v>
      </c>
      <c r="H118" t="s">
        <v>2852</v>
      </c>
      <c r="I118" t="s">
        <v>2853</v>
      </c>
      <c r="J118">
        <f t="shared" si="5"/>
        <v>-8.207934280612264E-2</v>
      </c>
      <c r="K118" s="1043" t="s">
        <v>2854</v>
      </c>
      <c r="L118" s="264" t="s">
        <v>2855</v>
      </c>
      <c r="M118" s="1043" t="s">
        <v>2856</v>
      </c>
      <c r="N118">
        <f t="shared" si="6"/>
        <v>0.10762360989146934</v>
      </c>
    </row>
    <row r="119" spans="1:14" ht="15">
      <c r="A119" s="1043" t="s">
        <v>800</v>
      </c>
      <c r="B119" s="1043" t="s">
        <v>2857</v>
      </c>
      <c r="C119" s="1043" t="s">
        <v>2852</v>
      </c>
      <c r="E119" t="s">
        <v>2858</v>
      </c>
      <c r="F119" s="1043" t="s">
        <v>2859</v>
      </c>
      <c r="G119" s="264">
        <f t="shared" si="4"/>
        <v>-4.1559025059354923E-2</v>
      </c>
      <c r="H119" t="s">
        <v>2860</v>
      </c>
      <c r="I119" t="s">
        <v>2861</v>
      </c>
      <c r="J119">
        <f t="shared" si="5"/>
        <v>17.135418719787069</v>
      </c>
      <c r="K119" s="1043" t="s">
        <v>2862</v>
      </c>
      <c r="L119" s="264" t="s">
        <v>2863</v>
      </c>
      <c r="M119" s="1043" t="s">
        <v>2864</v>
      </c>
      <c r="N119">
        <f t="shared" si="6"/>
        <v>-5.5149000373059254E-2</v>
      </c>
    </row>
    <row r="120" spans="1:14" ht="15">
      <c r="A120" s="1043" t="s">
        <v>802</v>
      </c>
      <c r="B120" s="1043" t="s">
        <v>2865</v>
      </c>
      <c r="C120" s="1043" t="s">
        <v>2860</v>
      </c>
      <c r="E120" t="s">
        <v>2866</v>
      </c>
      <c r="F120" s="1043" t="s">
        <v>2867</v>
      </c>
      <c r="G120" s="264">
        <f t="shared" si="4"/>
        <v>9.2185125924825525E-3</v>
      </c>
      <c r="H120" t="s">
        <v>2868</v>
      </c>
      <c r="I120" t="s">
        <v>2869</v>
      </c>
      <c r="J120" t="e">
        <f t="shared" si="5"/>
        <v>#DIV/0!</v>
      </c>
      <c r="K120" s="1043" t="s">
        <v>2870</v>
      </c>
      <c r="L120" s="264" t="s">
        <v>2871</v>
      </c>
      <c r="M120" s="1043" t="s">
        <v>2872</v>
      </c>
      <c r="N120">
        <f t="shared" si="6"/>
        <v>2.5926691110804884E-2</v>
      </c>
    </row>
    <row r="121" spans="1:14" ht="15">
      <c r="A121" s="1043" t="s">
        <v>804</v>
      </c>
      <c r="B121" s="1043" t="s">
        <v>2873</v>
      </c>
      <c r="C121" s="1043" t="s">
        <v>2868</v>
      </c>
      <c r="F121" s="1053"/>
      <c r="G121" s="264" t="e">
        <f t="shared" si="4"/>
        <v>#DIV/0!</v>
      </c>
      <c r="J121">
        <f t="shared" si="5"/>
        <v>-1.450546761382705</v>
      </c>
      <c r="K121" s="1043" t="s">
        <v>2874</v>
      </c>
      <c r="L121" s="264" t="s">
        <v>2875</v>
      </c>
      <c r="M121" s="1043" t="s">
        <v>2876</v>
      </c>
      <c r="N121">
        <f t="shared" si="6"/>
        <v>0</v>
      </c>
    </row>
    <row r="122" spans="1:14" ht="15">
      <c r="A122" s="1043" t="s">
        <v>807</v>
      </c>
      <c r="B122" s="1053"/>
      <c r="C122" s="1053"/>
      <c r="E122" t="s">
        <v>2877</v>
      </c>
      <c r="F122" s="1043" t="s">
        <v>2878</v>
      </c>
      <c r="G122" s="264">
        <f t="shared" si="4"/>
        <v>-0.61620488372824822</v>
      </c>
      <c r="H122" t="s">
        <v>2879</v>
      </c>
      <c r="I122" t="s">
        <v>2880</v>
      </c>
      <c r="J122">
        <f t="shared" si="5"/>
        <v>-2.293537262814934</v>
      </c>
      <c r="K122" s="1043" t="s">
        <v>2881</v>
      </c>
      <c r="L122" s="264"/>
      <c r="M122" s="1043" t="s">
        <v>2882</v>
      </c>
      <c r="N122">
        <f t="shared" si="6"/>
        <v>-0.10126424541767678</v>
      </c>
    </row>
    <row r="123" spans="1:14" ht="15">
      <c r="A123" s="1043" t="s">
        <v>809</v>
      </c>
      <c r="B123" s="1043" t="s">
        <v>2883</v>
      </c>
      <c r="C123" s="1043" t="s">
        <v>2879</v>
      </c>
      <c r="E123" t="s">
        <v>2884</v>
      </c>
      <c r="F123" s="1043" t="s">
        <v>2885</v>
      </c>
      <c r="G123" s="264">
        <f t="shared" si="4"/>
        <v>-0.21052067172036759</v>
      </c>
      <c r="H123" t="s">
        <v>2886</v>
      </c>
      <c r="I123" t="s">
        <v>2887</v>
      </c>
      <c r="J123">
        <f t="shared" si="5"/>
        <v>1.0120956391025098</v>
      </c>
      <c r="K123" s="1043" t="s">
        <v>2888</v>
      </c>
      <c r="L123" s="264" t="s">
        <v>2889</v>
      </c>
      <c r="M123" s="1043" t="s">
        <v>2890</v>
      </c>
      <c r="N123">
        <f t="shared" si="6"/>
        <v>-6.6225362816394087E-2</v>
      </c>
    </row>
    <row r="124" spans="1:14" ht="15">
      <c r="A124" s="1043" t="s">
        <v>811</v>
      </c>
      <c r="B124" s="1043" t="s">
        <v>2891</v>
      </c>
      <c r="C124" s="1043" t="s">
        <v>2886</v>
      </c>
      <c r="E124" t="s">
        <v>2892</v>
      </c>
      <c r="F124" s="1043" t="s">
        <v>2893</v>
      </c>
      <c r="G124" s="264">
        <f t="shared" si="4"/>
        <v>0.76867151366319308</v>
      </c>
      <c r="H124" t="s">
        <v>2894</v>
      </c>
      <c r="I124" t="s">
        <v>2895</v>
      </c>
      <c r="J124">
        <f t="shared" si="5"/>
        <v>0.43489496310512843</v>
      </c>
      <c r="K124" s="1043" t="s">
        <v>2896</v>
      </c>
      <c r="L124" s="264" t="s">
        <v>2897</v>
      </c>
      <c r="M124" s="1043" t="s">
        <v>2898</v>
      </c>
      <c r="N124">
        <f t="shared" si="6"/>
        <v>9.2710914142328613E-2</v>
      </c>
    </row>
    <row r="125" spans="1:14" ht="15">
      <c r="A125" s="1043" t="s">
        <v>813</v>
      </c>
      <c r="B125" s="1043" t="s">
        <v>2899</v>
      </c>
      <c r="C125" s="1043" t="s">
        <v>2894</v>
      </c>
      <c r="E125" t="s">
        <v>2900</v>
      </c>
      <c r="F125" s="1043" t="s">
        <v>2901</v>
      </c>
      <c r="G125" s="264">
        <f t="shared" si="4"/>
        <v>2.6372355026395691E-2</v>
      </c>
      <c r="H125" t="s">
        <v>2902</v>
      </c>
      <c r="I125" t="s">
        <v>2903</v>
      </c>
      <c r="J125">
        <f t="shared" si="5"/>
        <v>7.4077263612230988</v>
      </c>
      <c r="K125" s="1043" t="s">
        <v>2904</v>
      </c>
      <c r="L125" s="264" t="s">
        <v>2905</v>
      </c>
      <c r="M125" s="1043" t="s">
        <v>2906</v>
      </c>
      <c r="N125">
        <f t="shared" si="6"/>
        <v>7.6438124868240795E-2</v>
      </c>
    </row>
    <row r="126" spans="1:14" ht="15">
      <c r="A126" s="1043" t="s">
        <v>815</v>
      </c>
      <c r="B126" s="1043" t="s">
        <v>2907</v>
      </c>
      <c r="C126" s="1043" t="s">
        <v>2902</v>
      </c>
      <c r="E126" t="s">
        <v>2908</v>
      </c>
      <c r="F126" s="1043" t="s">
        <v>2909</v>
      </c>
      <c r="G126" s="264">
        <f t="shared" si="4"/>
        <v>3.6118891759710746E-2</v>
      </c>
      <c r="H126" t="s">
        <v>2910</v>
      </c>
      <c r="I126" t="s">
        <v>2911</v>
      </c>
      <c r="J126">
        <f t="shared" si="5"/>
        <v>-9.9524764024700688E-2</v>
      </c>
      <c r="K126" s="1043" t="s">
        <v>2912</v>
      </c>
      <c r="L126" s="264" t="s">
        <v>2913</v>
      </c>
      <c r="M126" s="1043" t="s">
        <v>2914</v>
      </c>
      <c r="N126">
        <f t="shared" si="6"/>
        <v>6.7420307107042485E-2</v>
      </c>
    </row>
    <row r="127" spans="1:14" ht="15">
      <c r="A127" s="1043" t="s">
        <v>817</v>
      </c>
      <c r="B127" s="1043" t="s">
        <v>2915</v>
      </c>
      <c r="C127" s="1043" t="s">
        <v>2910</v>
      </c>
      <c r="E127" t="s">
        <v>2916</v>
      </c>
      <c r="F127" s="1043" t="s">
        <v>2917</v>
      </c>
      <c r="G127" s="264">
        <f t="shared" si="4"/>
        <v>-5.2515015627325849E-2</v>
      </c>
      <c r="H127" t="s">
        <v>2918</v>
      </c>
      <c r="I127" t="s">
        <v>2919</v>
      </c>
      <c r="J127" t="e">
        <f t="shared" si="5"/>
        <v>#DIV/0!</v>
      </c>
      <c r="K127" s="1043" t="s">
        <v>2920</v>
      </c>
      <c r="L127" s="264" t="s">
        <v>2921</v>
      </c>
      <c r="M127" s="1043" t="s">
        <v>2922</v>
      </c>
      <c r="N127">
        <f t="shared" si="6"/>
        <v>-7.3264268051692671E-2</v>
      </c>
    </row>
    <row r="128" spans="1:14" ht="15">
      <c r="A128" s="1043" t="s">
        <v>819</v>
      </c>
      <c r="B128" s="1043" t="s">
        <v>2359</v>
      </c>
      <c r="C128" s="1043" t="s">
        <v>2918</v>
      </c>
      <c r="F128" s="1053"/>
      <c r="G128" s="264" t="e">
        <f t="shared" si="4"/>
        <v>#DIV/0!</v>
      </c>
      <c r="J128">
        <f t="shared" si="5"/>
        <v>2.8507322922173404</v>
      </c>
      <c r="K128" s="1043" t="s">
        <v>2923</v>
      </c>
      <c r="L128" s="264" t="s">
        <v>2924</v>
      </c>
      <c r="M128" s="1003"/>
      <c r="N128" t="e">
        <f t="shared" si="6"/>
        <v>#DIV/0!</v>
      </c>
    </row>
    <row r="129" spans="1:14" ht="15">
      <c r="A129" s="1043" t="s">
        <v>821</v>
      </c>
      <c r="B129" s="1053"/>
      <c r="C129" s="1053"/>
      <c r="E129" t="s">
        <v>2925</v>
      </c>
      <c r="F129" s="1043" t="s">
        <v>2926</v>
      </c>
      <c r="G129" s="264">
        <f t="shared" si="4"/>
        <v>0.45051411875463027</v>
      </c>
      <c r="H129" t="s">
        <v>2927</v>
      </c>
      <c r="I129" t="s">
        <v>2928</v>
      </c>
      <c r="J129">
        <f t="shared" si="5"/>
        <v>3.9838536058204115</v>
      </c>
      <c r="K129" s="1043" t="s">
        <v>2929</v>
      </c>
      <c r="L129" s="264"/>
      <c r="M129" s="1043" t="s">
        <v>2930</v>
      </c>
      <c r="N129">
        <f t="shared" si="6"/>
        <v>3.0205850107462358E-2</v>
      </c>
    </row>
    <row r="130" spans="1:14" ht="15">
      <c r="A130" s="1043" t="s">
        <v>823</v>
      </c>
      <c r="B130" s="1043" t="s">
        <v>2931</v>
      </c>
      <c r="C130" s="1043" t="s">
        <v>2927</v>
      </c>
      <c r="E130" t="s">
        <v>2932</v>
      </c>
      <c r="F130" s="1043" t="s">
        <v>2933</v>
      </c>
      <c r="G130" s="264">
        <f t="shared" ref="G130:G193" si="7">E130/F130</f>
        <v>7.1434796491881739E-2</v>
      </c>
      <c r="H130" t="s">
        <v>2934</v>
      </c>
      <c r="I130" t="s">
        <v>2935</v>
      </c>
      <c r="J130">
        <f t="shared" ref="J130:J193" si="8">H131/I131</f>
        <v>5.6823186447431208E-2</v>
      </c>
      <c r="K130" s="1043" t="s">
        <v>2936</v>
      </c>
      <c r="L130" s="264" t="s">
        <v>2937</v>
      </c>
      <c r="M130" s="1043" t="s">
        <v>2938</v>
      </c>
      <c r="N130">
        <f t="shared" si="6"/>
        <v>5.0238846330259643E-2</v>
      </c>
    </row>
    <row r="131" spans="1:14" ht="15">
      <c r="A131" s="1043" t="s">
        <v>825</v>
      </c>
      <c r="B131" s="1043" t="s">
        <v>2939</v>
      </c>
      <c r="C131" s="1043" t="s">
        <v>2934</v>
      </c>
      <c r="E131" t="s">
        <v>2940</v>
      </c>
      <c r="F131" s="1043" t="s">
        <v>2941</v>
      </c>
      <c r="G131" s="264">
        <f t="shared" si="7"/>
        <v>2.3270791002132734E-2</v>
      </c>
      <c r="H131" t="s">
        <v>2942</v>
      </c>
      <c r="I131" t="s">
        <v>2943</v>
      </c>
      <c r="J131">
        <f t="shared" si="8"/>
        <v>-1.0358966867528006</v>
      </c>
      <c r="K131" s="1043" t="s">
        <v>2944</v>
      </c>
      <c r="L131" s="264" t="s">
        <v>2945</v>
      </c>
      <c r="M131" s="1043" t="s">
        <v>2946</v>
      </c>
      <c r="N131">
        <f t="shared" si="6"/>
        <v>3.3329258613029912E-2</v>
      </c>
    </row>
    <row r="132" spans="1:14" ht="15">
      <c r="A132" s="1043" t="s">
        <v>827</v>
      </c>
      <c r="B132" s="1043" t="s">
        <v>2541</v>
      </c>
      <c r="C132" s="1043" t="s">
        <v>2942</v>
      </c>
      <c r="E132" t="s">
        <v>2947</v>
      </c>
      <c r="F132" s="1043" t="s">
        <v>2948</v>
      </c>
      <c r="G132" s="264">
        <f t="shared" si="7"/>
        <v>-0.74905866985493252</v>
      </c>
      <c r="H132" t="s">
        <v>2949</v>
      </c>
      <c r="I132" t="s">
        <v>2950</v>
      </c>
      <c r="J132" t="e">
        <f t="shared" si="8"/>
        <v>#DIV/0!</v>
      </c>
      <c r="K132" s="1043" t="s">
        <v>2951</v>
      </c>
      <c r="L132" s="264" t="s">
        <v>2952</v>
      </c>
      <c r="M132" s="1043" t="s">
        <v>2953</v>
      </c>
      <c r="N132">
        <f t="shared" si="6"/>
        <v>-0.23235702277387008</v>
      </c>
    </row>
    <row r="133" spans="1:14" ht="15">
      <c r="A133" s="1043" t="s">
        <v>829</v>
      </c>
      <c r="B133" s="1043" t="s">
        <v>2954</v>
      </c>
      <c r="C133" s="1043" t="s">
        <v>2949</v>
      </c>
      <c r="F133" s="1043" t="s">
        <v>2955</v>
      </c>
      <c r="G133" s="264">
        <f t="shared" si="7"/>
        <v>0</v>
      </c>
      <c r="H133" t="s">
        <v>2956</v>
      </c>
      <c r="J133">
        <f t="shared" si="8"/>
        <v>-2.0052844264843022</v>
      </c>
      <c r="K133" s="1043" t="s">
        <v>2957</v>
      </c>
      <c r="L133" s="264" t="s">
        <v>2958</v>
      </c>
      <c r="M133" s="1043" t="s">
        <v>2959</v>
      </c>
      <c r="N133">
        <f t="shared" si="6"/>
        <v>0</v>
      </c>
    </row>
    <row r="134" spans="1:14" ht="15">
      <c r="A134" s="1043" t="s">
        <v>831</v>
      </c>
      <c r="B134" s="1053"/>
      <c r="C134" s="1043" t="s">
        <v>2956</v>
      </c>
      <c r="E134" t="s">
        <v>2960</v>
      </c>
      <c r="F134" s="1061" t="s">
        <v>2961</v>
      </c>
      <c r="G134" s="264">
        <f t="shared" si="7"/>
        <v>0.61589277166108181</v>
      </c>
      <c r="H134" t="s">
        <v>2962</v>
      </c>
      <c r="I134" t="s">
        <v>2963</v>
      </c>
      <c r="J134">
        <f t="shared" si="8"/>
        <v>2.3725736290723169</v>
      </c>
      <c r="K134" s="1043" t="s">
        <v>2964</v>
      </c>
      <c r="L134" s="264"/>
      <c r="M134" s="1043" t="s">
        <v>2965</v>
      </c>
      <c r="N134">
        <f t="shared" si="6"/>
        <v>-2.4851293935882581</v>
      </c>
    </row>
    <row r="135" spans="1:14" ht="15">
      <c r="A135" s="1043" t="s">
        <v>833</v>
      </c>
      <c r="B135" s="1053"/>
      <c r="C135" s="1043" t="s">
        <v>2962</v>
      </c>
      <c r="E135" t="s">
        <v>2966</v>
      </c>
      <c r="F135" s="1043" t="s">
        <v>2967</v>
      </c>
      <c r="G135" s="264">
        <f t="shared" si="7"/>
        <v>0.18878732747477245</v>
      </c>
      <c r="H135" t="s">
        <v>2968</v>
      </c>
      <c r="I135" t="s">
        <v>2969</v>
      </c>
      <c r="J135">
        <f t="shared" si="8"/>
        <v>0</v>
      </c>
      <c r="K135" s="1043" t="s">
        <v>2970</v>
      </c>
      <c r="L135" s="264"/>
      <c r="M135" s="1043" t="s">
        <v>2971</v>
      </c>
      <c r="N135">
        <f t="shared" si="6"/>
        <v>0.13263585810340478</v>
      </c>
    </row>
    <row r="136" spans="1:14" ht="15">
      <c r="A136" s="1043" t="s">
        <v>835</v>
      </c>
      <c r="B136" s="1043" t="s">
        <v>2972</v>
      </c>
      <c r="C136" s="1043" t="s">
        <v>2968</v>
      </c>
      <c r="E136" t="s">
        <v>2973</v>
      </c>
      <c r="F136" s="1043" t="s">
        <v>2974</v>
      </c>
      <c r="G136" s="264">
        <f t="shared" si="7"/>
        <v>-0.42621698531411895</v>
      </c>
      <c r="H136">
        <v>0</v>
      </c>
      <c r="I136" t="s">
        <v>2975</v>
      </c>
      <c r="J136">
        <f t="shared" si="8"/>
        <v>14.199902473084311</v>
      </c>
      <c r="K136" s="1043" t="s">
        <v>2976</v>
      </c>
      <c r="L136" s="264" t="s">
        <v>2977</v>
      </c>
      <c r="M136" s="1043" t="s">
        <v>2978</v>
      </c>
      <c r="N136">
        <f t="shared" si="6"/>
        <v>-1.6408496139090478</v>
      </c>
    </row>
    <row r="137" spans="1:14" ht="15">
      <c r="A137" s="1043" t="s">
        <v>837</v>
      </c>
      <c r="B137" s="1043" t="s">
        <v>2095</v>
      </c>
      <c r="C137" s="1043">
        <v>0</v>
      </c>
      <c r="E137" t="s">
        <v>2979</v>
      </c>
      <c r="F137" s="1043" t="s">
        <v>2980</v>
      </c>
      <c r="G137" s="264">
        <f t="shared" si="7"/>
        <v>3.3084176531875037E-2</v>
      </c>
      <c r="H137" t="s">
        <v>2981</v>
      </c>
      <c r="I137" t="s">
        <v>2982</v>
      </c>
      <c r="J137">
        <f t="shared" si="8"/>
        <v>52.368415811820022</v>
      </c>
      <c r="K137" s="1043" t="s">
        <v>2983</v>
      </c>
      <c r="L137" s="264" t="s">
        <v>2984</v>
      </c>
      <c r="M137" s="1043" t="s">
        <v>2985</v>
      </c>
      <c r="N137">
        <f t="shared" si="6"/>
        <v>6.6484546862486888E-3</v>
      </c>
    </row>
    <row r="138" spans="1:14" ht="15">
      <c r="A138" s="1043" t="s">
        <v>839</v>
      </c>
      <c r="B138" s="1043" t="s">
        <v>2986</v>
      </c>
      <c r="C138" s="1043" t="s">
        <v>2981</v>
      </c>
      <c r="E138" t="s">
        <v>2987</v>
      </c>
      <c r="F138" s="1043" t="s">
        <v>2988</v>
      </c>
      <c r="G138" s="264">
        <f t="shared" si="7"/>
        <v>1.8980211769386458E-2</v>
      </c>
      <c r="H138" t="s">
        <v>2989</v>
      </c>
      <c r="I138" t="s">
        <v>2990</v>
      </c>
      <c r="J138">
        <f t="shared" si="8"/>
        <v>-38.824493333537561</v>
      </c>
      <c r="K138" s="1043" t="s">
        <v>2991</v>
      </c>
      <c r="L138" s="264" t="s">
        <v>2992</v>
      </c>
      <c r="M138" s="1043" t="s">
        <v>2993</v>
      </c>
      <c r="N138">
        <f t="shared" si="6"/>
        <v>2.5542508437394022E-2</v>
      </c>
    </row>
    <row r="139" spans="1:14" ht="15">
      <c r="A139" s="1043" t="s">
        <v>841</v>
      </c>
      <c r="B139" s="1043" t="s">
        <v>2994</v>
      </c>
      <c r="C139" s="1043" t="s">
        <v>2989</v>
      </c>
      <c r="E139" t="s">
        <v>2995</v>
      </c>
      <c r="F139" s="1043" t="s">
        <v>2996</v>
      </c>
      <c r="G139" s="264">
        <f t="shared" si="7"/>
        <v>-0.14146883636506374</v>
      </c>
      <c r="H139" t="s">
        <v>2997</v>
      </c>
      <c r="I139" t="s">
        <v>2998</v>
      </c>
      <c r="J139">
        <f t="shared" si="8"/>
        <v>0.36460176991195575</v>
      </c>
      <c r="K139" s="1043" t="s">
        <v>2999</v>
      </c>
      <c r="L139" s="264" t="s">
        <v>3000</v>
      </c>
      <c r="M139" s="1043" t="s">
        <v>3001</v>
      </c>
      <c r="N139">
        <f t="shared" si="6"/>
        <v>-1.9027335105819953E-2</v>
      </c>
    </row>
    <row r="140" spans="1:14" ht="15">
      <c r="A140" s="1043" t="s">
        <v>843</v>
      </c>
      <c r="B140" s="1043" t="s">
        <v>3002</v>
      </c>
      <c r="C140" s="1043" t="s">
        <v>2997</v>
      </c>
      <c r="E140" t="s">
        <v>3003</v>
      </c>
      <c r="F140" s="1043" t="s">
        <v>3004</v>
      </c>
      <c r="G140" s="264">
        <f t="shared" si="7"/>
        <v>0.27741595947632175</v>
      </c>
      <c r="H140" t="s">
        <v>3005</v>
      </c>
      <c r="I140" t="s">
        <v>3006</v>
      </c>
      <c r="J140">
        <f t="shared" si="8"/>
        <v>0.83105688122707477</v>
      </c>
      <c r="K140" s="1043" t="s">
        <v>3007</v>
      </c>
      <c r="L140" s="264" t="s">
        <v>3008</v>
      </c>
      <c r="M140" s="1043" t="s">
        <v>3009</v>
      </c>
      <c r="N140">
        <f t="shared" si="6"/>
        <v>0.42079392269322646</v>
      </c>
    </row>
    <row r="141" spans="1:14" ht="15">
      <c r="A141" s="1043" t="s">
        <v>845</v>
      </c>
      <c r="B141" s="1043" t="s">
        <v>2269</v>
      </c>
      <c r="C141" s="1043" t="s">
        <v>3005</v>
      </c>
      <c r="E141" t="s">
        <v>3010</v>
      </c>
      <c r="F141" s="1043" t="s">
        <v>3011</v>
      </c>
      <c r="G141" s="264">
        <f t="shared" si="7"/>
        <v>9.9939266111372813E-2</v>
      </c>
      <c r="H141" t="s">
        <v>3012</v>
      </c>
      <c r="I141" t="s">
        <v>3013</v>
      </c>
      <c r="J141">
        <f t="shared" si="8"/>
        <v>3.4920071049263814</v>
      </c>
      <c r="K141" s="1043" t="s">
        <v>3014</v>
      </c>
      <c r="L141" s="264" t="s">
        <v>2743</v>
      </c>
      <c r="M141" s="1043" t="s">
        <v>3015</v>
      </c>
      <c r="N141">
        <f t="shared" si="6"/>
        <v>9.4775251715791042E-2</v>
      </c>
    </row>
    <row r="142" spans="1:14" ht="15">
      <c r="A142" s="1043" t="s">
        <v>847</v>
      </c>
      <c r="B142" s="1043" t="s">
        <v>3016</v>
      </c>
      <c r="C142" s="1043" t="s">
        <v>3012</v>
      </c>
      <c r="E142" t="s">
        <v>3017</v>
      </c>
      <c r="F142" s="1043" t="s">
        <v>3018</v>
      </c>
      <c r="G142" s="264">
        <f t="shared" si="7"/>
        <v>0.15943824865963566</v>
      </c>
      <c r="H142" t="s">
        <v>3019</v>
      </c>
      <c r="I142" t="s">
        <v>3020</v>
      </c>
      <c r="J142">
        <f t="shared" si="8"/>
        <v>-1.2684879879701143</v>
      </c>
      <c r="K142" s="1043" t="s">
        <v>3021</v>
      </c>
      <c r="L142" s="264" t="s">
        <v>3022</v>
      </c>
      <c r="M142" s="1043" t="s">
        <v>3023</v>
      </c>
      <c r="N142">
        <f t="shared" si="6"/>
        <v>0.13385639561767546</v>
      </c>
    </row>
    <row r="143" spans="1:14" ht="15">
      <c r="A143" s="1043" t="s">
        <v>849</v>
      </c>
      <c r="B143" s="1043" t="s">
        <v>3024</v>
      </c>
      <c r="C143" s="1043" t="s">
        <v>3019</v>
      </c>
      <c r="E143" t="s">
        <v>3025</v>
      </c>
      <c r="F143" s="1043" t="s">
        <v>3026</v>
      </c>
      <c r="G143" s="264">
        <f t="shared" si="7"/>
        <v>-2.8107664495872036</v>
      </c>
      <c r="H143" t="s">
        <v>3027</v>
      </c>
      <c r="I143" t="s">
        <v>3028</v>
      </c>
      <c r="J143">
        <f t="shared" si="8"/>
        <v>0.73931483975781709</v>
      </c>
      <c r="K143" s="1043" t="s">
        <v>3029</v>
      </c>
      <c r="L143" s="264"/>
      <c r="M143" s="1043" t="s">
        <v>3030</v>
      </c>
      <c r="N143">
        <f t="shared" si="6"/>
        <v>-0.49724262767238081</v>
      </c>
    </row>
    <row r="144" spans="1:14" ht="15">
      <c r="A144" s="1043" t="s">
        <v>851</v>
      </c>
      <c r="B144" s="1043" t="s">
        <v>3031</v>
      </c>
      <c r="C144" s="1043" t="s">
        <v>3027</v>
      </c>
      <c r="E144" t="s">
        <v>3032</v>
      </c>
      <c r="F144" s="1043" t="s">
        <v>3033</v>
      </c>
      <c r="G144" s="264">
        <f t="shared" si="7"/>
        <v>0.30513683922124357</v>
      </c>
      <c r="H144" t="s">
        <v>3034</v>
      </c>
      <c r="I144" t="s">
        <v>3035</v>
      </c>
      <c r="J144">
        <f t="shared" si="8"/>
        <v>0.36070772817540697</v>
      </c>
      <c r="K144" s="1043" t="s">
        <v>3036</v>
      </c>
      <c r="L144" s="264" t="s">
        <v>3037</v>
      </c>
      <c r="M144" s="1043" t="s">
        <v>3038</v>
      </c>
      <c r="N144">
        <f t="shared" si="6"/>
        <v>0.19919382883756212</v>
      </c>
    </row>
    <row r="145" spans="1:14" ht="15">
      <c r="A145" s="1043" t="s">
        <v>853</v>
      </c>
      <c r="B145" s="1043" t="s">
        <v>3039</v>
      </c>
      <c r="C145" s="1043" t="s">
        <v>3034</v>
      </c>
      <c r="E145" t="s">
        <v>3040</v>
      </c>
      <c r="F145" s="1043" t="s">
        <v>3041</v>
      </c>
      <c r="G145" s="264">
        <f t="shared" si="7"/>
        <v>0.20522912048645875</v>
      </c>
      <c r="H145" t="s">
        <v>3042</v>
      </c>
      <c r="I145" t="s">
        <v>3043</v>
      </c>
      <c r="J145">
        <f t="shared" si="8"/>
        <v>-42.890422476015743</v>
      </c>
      <c r="K145" s="1043" t="s">
        <v>3044</v>
      </c>
      <c r="L145" s="264" t="s">
        <v>3045</v>
      </c>
      <c r="M145" s="1043" t="s">
        <v>3046</v>
      </c>
      <c r="N145">
        <f t="shared" ref="N145:N208" si="9">I145/M145</f>
        <v>0.30672218717457883</v>
      </c>
    </row>
    <row r="146" spans="1:14" ht="15">
      <c r="A146" s="1043" t="s">
        <v>856</v>
      </c>
      <c r="B146" s="1043" t="s">
        <v>3047</v>
      </c>
      <c r="C146" s="1043" t="s">
        <v>3042</v>
      </c>
      <c r="E146" t="s">
        <v>3048</v>
      </c>
      <c r="F146" s="1043" t="s">
        <v>3049</v>
      </c>
      <c r="G146" s="264">
        <f t="shared" si="7"/>
        <v>-0.14482488526828777</v>
      </c>
      <c r="H146" t="s">
        <v>3050</v>
      </c>
      <c r="I146" t="s">
        <v>3051</v>
      </c>
      <c r="J146">
        <f t="shared" si="8"/>
        <v>-5.8496719110034741E-2</v>
      </c>
      <c r="K146" s="1043" t="s">
        <v>3052</v>
      </c>
      <c r="L146" s="264" t="s">
        <v>3053</v>
      </c>
      <c r="M146" s="1043" t="s">
        <v>3054</v>
      </c>
      <c r="N146">
        <f t="shared" si="9"/>
        <v>-6.9679737560165997E-3</v>
      </c>
    </row>
    <row r="147" spans="1:14" ht="15">
      <c r="A147" s="1043" t="s">
        <v>858</v>
      </c>
      <c r="B147" s="1043" t="s">
        <v>3055</v>
      </c>
      <c r="C147" s="1043" t="s">
        <v>3050</v>
      </c>
      <c r="E147" t="s">
        <v>3056</v>
      </c>
      <c r="F147" s="1043" t="s">
        <v>3057</v>
      </c>
      <c r="G147" s="264">
        <f t="shared" si="7"/>
        <v>-1.2684585936379715</v>
      </c>
      <c r="H147" t="s">
        <v>3058</v>
      </c>
      <c r="I147" t="s">
        <v>3059</v>
      </c>
      <c r="J147">
        <f t="shared" si="8"/>
        <v>9.7988948528373504E-2</v>
      </c>
      <c r="K147" s="1003"/>
      <c r="L147" s="264" t="s">
        <v>3060</v>
      </c>
      <c r="M147" s="1043" t="s">
        <v>3061</v>
      </c>
      <c r="N147">
        <f t="shared" si="9"/>
        <v>-0.54292469883021466</v>
      </c>
    </row>
    <row r="148" spans="1:14" ht="15">
      <c r="A148" s="1043" t="s">
        <v>861</v>
      </c>
      <c r="B148" s="1043" t="s">
        <v>3062</v>
      </c>
      <c r="C148" s="1043" t="s">
        <v>3058</v>
      </c>
      <c r="E148" t="s">
        <v>3063</v>
      </c>
      <c r="F148" s="1043" t="s">
        <v>3064</v>
      </c>
      <c r="G148" s="264">
        <f t="shared" si="7"/>
        <v>5.831544594670432E-2</v>
      </c>
      <c r="H148" t="s">
        <v>3065</v>
      </c>
      <c r="I148" t="s">
        <v>3066</v>
      </c>
      <c r="J148">
        <f t="shared" si="8"/>
        <v>-6.5927021720306849</v>
      </c>
      <c r="K148" s="1043" t="s">
        <v>3067</v>
      </c>
      <c r="L148" s="264"/>
      <c r="M148" s="1043" t="s">
        <v>3068</v>
      </c>
      <c r="N148">
        <f t="shared" si="9"/>
        <v>3.3498462589447657E-2</v>
      </c>
    </row>
    <row r="149" spans="1:14" ht="15">
      <c r="A149" s="1043" t="s">
        <v>863</v>
      </c>
      <c r="B149" s="1043" t="s">
        <v>3069</v>
      </c>
      <c r="C149" s="1043" t="s">
        <v>3065</v>
      </c>
      <c r="E149" t="s">
        <v>3070</v>
      </c>
      <c r="F149" s="1043" t="s">
        <v>3071</v>
      </c>
      <c r="G149" s="264">
        <f t="shared" si="7"/>
        <v>0.26973691996554078</v>
      </c>
      <c r="H149" t="s">
        <v>3072</v>
      </c>
      <c r="I149" t="s">
        <v>3073</v>
      </c>
      <c r="J149">
        <f t="shared" si="8"/>
        <v>1.0620355384828002</v>
      </c>
      <c r="K149" s="1003"/>
      <c r="L149" s="264" t="s">
        <v>3074</v>
      </c>
      <c r="M149" s="1043">
        <v>0</v>
      </c>
      <c r="N149" t="e">
        <f t="shared" si="9"/>
        <v>#DIV/0!</v>
      </c>
    </row>
    <row r="150" spans="1:14" ht="15">
      <c r="A150" s="1043" t="s">
        <v>865</v>
      </c>
      <c r="B150" s="1043" t="s">
        <v>3075</v>
      </c>
      <c r="C150" s="1043" t="s">
        <v>3072</v>
      </c>
      <c r="E150" t="s">
        <v>3076</v>
      </c>
      <c r="F150" s="1043" t="s">
        <v>3077</v>
      </c>
      <c r="G150" s="264">
        <f t="shared" si="7"/>
        <v>4.424578285115708E-2</v>
      </c>
      <c r="H150" t="s">
        <v>3078</v>
      </c>
      <c r="I150" t="s">
        <v>3079</v>
      </c>
      <c r="J150">
        <f t="shared" si="8"/>
        <v>8.6762302639974989E-2</v>
      </c>
      <c r="K150" s="1043" t="s">
        <v>3080</v>
      </c>
      <c r="L150" s="264" t="s">
        <v>3081</v>
      </c>
      <c r="M150" s="1043" t="s">
        <v>3082</v>
      </c>
      <c r="N150">
        <f t="shared" si="9"/>
        <v>0.16329064986266703</v>
      </c>
    </row>
    <row r="151" spans="1:14" ht="15">
      <c r="A151" s="1043" t="s">
        <v>867</v>
      </c>
      <c r="B151" s="1043" t="s">
        <v>3083</v>
      </c>
      <c r="C151" s="1043" t="s">
        <v>3078</v>
      </c>
      <c r="E151" t="s">
        <v>3084</v>
      </c>
      <c r="F151" s="1043" t="s">
        <v>3085</v>
      </c>
      <c r="G151" s="264">
        <f t="shared" si="7"/>
        <v>8.9386219904724534E-2</v>
      </c>
      <c r="H151" t="s">
        <v>3086</v>
      </c>
      <c r="I151" t="s">
        <v>3087</v>
      </c>
      <c r="J151">
        <f t="shared" si="8"/>
        <v>12.772992669918473</v>
      </c>
      <c r="K151" s="1043" t="s">
        <v>3088</v>
      </c>
      <c r="L151" s="264" t="s">
        <v>3089</v>
      </c>
      <c r="M151" s="1043" t="s">
        <v>3090</v>
      </c>
      <c r="N151">
        <f t="shared" si="9"/>
        <v>7.2237384502643692E-2</v>
      </c>
    </row>
    <row r="152" spans="1:14" ht="15">
      <c r="A152" s="1043" t="s">
        <v>869</v>
      </c>
      <c r="B152" s="1043" t="s">
        <v>2359</v>
      </c>
      <c r="C152" s="1043" t="s">
        <v>3086</v>
      </c>
      <c r="E152" t="s">
        <v>3091</v>
      </c>
      <c r="F152" s="1043" t="s">
        <v>3092</v>
      </c>
      <c r="G152" s="264">
        <f t="shared" si="7"/>
        <v>9.7264437716531413E-2</v>
      </c>
      <c r="H152" t="s">
        <v>3093</v>
      </c>
      <c r="I152" t="s">
        <v>3094</v>
      </c>
      <c r="J152">
        <f t="shared" si="8"/>
        <v>2.0824873451427695</v>
      </c>
      <c r="K152" s="1043" t="s">
        <v>3095</v>
      </c>
      <c r="L152" s="264" t="s">
        <v>3096</v>
      </c>
      <c r="M152" s="1043" t="s">
        <v>3097</v>
      </c>
      <c r="N152">
        <f t="shared" si="9"/>
        <v>7.7664399249720018E-2</v>
      </c>
    </row>
    <row r="153" spans="1:14" ht="15">
      <c r="A153" s="1043" t="s">
        <v>872</v>
      </c>
      <c r="B153" s="1043" t="s">
        <v>3098</v>
      </c>
      <c r="C153" s="1043" t="s">
        <v>3093</v>
      </c>
      <c r="E153" t="s">
        <v>3099</v>
      </c>
      <c r="F153" s="1043" t="s">
        <v>3100</v>
      </c>
      <c r="G153" s="264">
        <f t="shared" si="7"/>
        <v>1.3696586204756086E-2</v>
      </c>
      <c r="H153" t="s">
        <v>3101</v>
      </c>
      <c r="I153" t="s">
        <v>3102</v>
      </c>
      <c r="J153">
        <f t="shared" si="8"/>
        <v>-1.8121601246185677</v>
      </c>
      <c r="K153" s="1043" t="s">
        <v>3103</v>
      </c>
      <c r="L153" s="264" t="s">
        <v>3104</v>
      </c>
      <c r="M153" s="1043" t="s">
        <v>3105</v>
      </c>
      <c r="N153">
        <f t="shared" si="9"/>
        <v>1.0638849961831228E-2</v>
      </c>
    </row>
    <row r="154" spans="1:14" ht="15">
      <c r="A154" s="1043" t="s">
        <v>874</v>
      </c>
      <c r="B154" s="1043" t="s">
        <v>3106</v>
      </c>
      <c r="C154" s="1043" t="s">
        <v>3101</v>
      </c>
      <c r="E154" t="s">
        <v>3107</v>
      </c>
      <c r="F154" s="1043" t="s">
        <v>3108</v>
      </c>
      <c r="G154" s="264">
        <f t="shared" si="7"/>
        <v>-0.14510316985626134</v>
      </c>
      <c r="H154" t="s">
        <v>3109</v>
      </c>
      <c r="I154" t="s">
        <v>3110</v>
      </c>
      <c r="J154">
        <f t="shared" si="8"/>
        <v>6.297229218808989E-2</v>
      </c>
      <c r="K154" s="1043" t="s">
        <v>3111</v>
      </c>
      <c r="L154" s="264" t="s">
        <v>3112</v>
      </c>
      <c r="M154" s="1043" t="s">
        <v>3113</v>
      </c>
      <c r="N154">
        <f t="shared" si="9"/>
        <v>-0.59683694159787326</v>
      </c>
    </row>
    <row r="155" spans="1:14" ht="15">
      <c r="A155" s="1043" t="s">
        <v>877</v>
      </c>
      <c r="B155" s="1043" t="s">
        <v>3114</v>
      </c>
      <c r="C155" s="1043" t="s">
        <v>3109</v>
      </c>
      <c r="E155" t="s">
        <v>3115</v>
      </c>
      <c r="F155" s="1043" t="s">
        <v>3116</v>
      </c>
      <c r="G155" s="264">
        <f t="shared" si="7"/>
        <v>7.2968762810396853E-2</v>
      </c>
      <c r="H155" t="s">
        <v>3117</v>
      </c>
      <c r="I155" t="s">
        <v>3118</v>
      </c>
      <c r="J155">
        <f t="shared" si="8"/>
        <v>16.502772922836272</v>
      </c>
      <c r="K155" s="1043" t="s">
        <v>3119</v>
      </c>
      <c r="L155" s="264" t="s">
        <v>3120</v>
      </c>
      <c r="M155" s="1043" t="s">
        <v>3121</v>
      </c>
      <c r="N155">
        <f t="shared" si="9"/>
        <v>0.15098884381324434</v>
      </c>
    </row>
    <row r="156" spans="1:14" ht="15">
      <c r="A156" s="1043" t="s">
        <v>879</v>
      </c>
      <c r="B156" s="1043" t="s">
        <v>3069</v>
      </c>
      <c r="C156" s="1043" t="s">
        <v>3117</v>
      </c>
      <c r="E156" t="s">
        <v>3122</v>
      </c>
      <c r="F156" s="1043" t="s">
        <v>3123</v>
      </c>
      <c r="G156" s="264">
        <f t="shared" si="7"/>
        <v>-8.9673918163397939E-2</v>
      </c>
      <c r="H156" t="s">
        <v>3124</v>
      </c>
      <c r="I156" t="s">
        <v>3125</v>
      </c>
      <c r="J156">
        <f t="shared" si="8"/>
        <v>-16.115707764716319</v>
      </c>
      <c r="K156" s="1043" t="s">
        <v>3126</v>
      </c>
      <c r="L156" s="264" t="s">
        <v>3127</v>
      </c>
      <c r="M156" s="1043" t="s">
        <v>3128</v>
      </c>
      <c r="N156">
        <f t="shared" si="9"/>
        <v>2.186444524143133E-2</v>
      </c>
    </row>
    <row r="157" spans="1:14" ht="15">
      <c r="A157" s="1043" t="s">
        <v>881</v>
      </c>
      <c r="B157" s="1043" t="s">
        <v>3129</v>
      </c>
      <c r="C157" s="1043" t="s">
        <v>3124</v>
      </c>
      <c r="E157" t="s">
        <v>3130</v>
      </c>
      <c r="F157" s="1043" t="s">
        <v>3131</v>
      </c>
      <c r="G157" s="264">
        <f t="shared" si="7"/>
        <v>-4.1746685050800661E-2</v>
      </c>
      <c r="H157" t="s">
        <v>3132</v>
      </c>
      <c r="I157" t="s">
        <v>3133</v>
      </c>
      <c r="J157">
        <f t="shared" si="8"/>
        <v>0</v>
      </c>
      <c r="K157" s="1043" t="s">
        <v>3134</v>
      </c>
      <c r="L157" s="264" t="s">
        <v>3135</v>
      </c>
      <c r="M157" s="1043" t="s">
        <v>3136</v>
      </c>
      <c r="N157">
        <f t="shared" si="9"/>
        <v>-2.1331549153973946E-2</v>
      </c>
    </row>
    <row r="158" spans="1:14" ht="15">
      <c r="A158" s="1043" t="s">
        <v>883</v>
      </c>
      <c r="B158" s="1043" t="s">
        <v>3137</v>
      </c>
      <c r="C158" s="1043" t="s">
        <v>3132</v>
      </c>
      <c r="E158" t="s">
        <v>3138</v>
      </c>
      <c r="F158" s="1043" t="s">
        <v>3139</v>
      </c>
      <c r="G158" s="264">
        <f t="shared" si="7"/>
        <v>-0.16617868984981723</v>
      </c>
      <c r="H158">
        <v>0</v>
      </c>
      <c r="I158" t="s">
        <v>3140</v>
      </c>
      <c r="J158">
        <f t="shared" si="8"/>
        <v>2.8529401810076118</v>
      </c>
      <c r="K158" s="1043" t="s">
        <v>3141</v>
      </c>
      <c r="L158" s="264" t="s">
        <v>3142</v>
      </c>
      <c r="M158" s="1043" t="s">
        <v>3143</v>
      </c>
      <c r="N158">
        <f t="shared" si="9"/>
        <v>-0.2380520989945771</v>
      </c>
    </row>
    <row r="159" spans="1:14" ht="15">
      <c r="A159" s="1043" t="s">
        <v>885</v>
      </c>
      <c r="B159" s="1043" t="s">
        <v>2095</v>
      </c>
      <c r="C159" s="1043">
        <v>0</v>
      </c>
      <c r="E159" t="s">
        <v>3144</v>
      </c>
      <c r="F159" s="1043" t="s">
        <v>3145</v>
      </c>
      <c r="G159" s="264">
        <f t="shared" si="7"/>
        <v>6.7665246519428651E-2</v>
      </c>
      <c r="H159" t="s">
        <v>3146</v>
      </c>
      <c r="I159" t="s">
        <v>3147</v>
      </c>
      <c r="J159">
        <f t="shared" si="8"/>
        <v>1.5529940678720555</v>
      </c>
      <c r="K159" s="1043" t="s">
        <v>3148</v>
      </c>
      <c r="L159" s="264" t="s">
        <v>3149</v>
      </c>
      <c r="M159" s="1043" t="s">
        <v>3150</v>
      </c>
      <c r="N159">
        <f t="shared" si="9"/>
        <v>1.4886457440041986E-2</v>
      </c>
    </row>
    <row r="160" spans="1:14" ht="15">
      <c r="A160" s="1043" t="s">
        <v>887</v>
      </c>
      <c r="B160" s="1043" t="s">
        <v>3151</v>
      </c>
      <c r="C160" s="1043" t="s">
        <v>3146</v>
      </c>
      <c r="E160" t="s">
        <v>3152</v>
      </c>
      <c r="F160" s="1043" t="s">
        <v>3153</v>
      </c>
      <c r="G160" s="264">
        <f t="shared" si="7"/>
        <v>6.9480714764849891E-2</v>
      </c>
      <c r="H160" t="s">
        <v>3154</v>
      </c>
      <c r="I160" t="s">
        <v>3155</v>
      </c>
      <c r="J160">
        <f t="shared" si="8"/>
        <v>-0.27337149086944673</v>
      </c>
      <c r="K160" s="1043" t="s">
        <v>3156</v>
      </c>
      <c r="L160" s="264" t="s">
        <v>3157</v>
      </c>
      <c r="M160" s="1043" t="s">
        <v>3158</v>
      </c>
      <c r="N160">
        <f t="shared" si="9"/>
        <v>8.200154604965984E-2</v>
      </c>
    </row>
    <row r="161" spans="1:14" ht="15">
      <c r="A161" s="1043" t="s">
        <v>889</v>
      </c>
      <c r="B161" s="1043" t="s">
        <v>3159</v>
      </c>
      <c r="C161" s="1043" t="s">
        <v>3154</v>
      </c>
      <c r="E161" t="s">
        <v>3160</v>
      </c>
      <c r="F161" s="1043" t="s">
        <v>3161</v>
      </c>
      <c r="G161" s="264">
        <f t="shared" si="7"/>
        <v>-0.66588432523051133</v>
      </c>
      <c r="H161" t="s">
        <v>3162</v>
      </c>
      <c r="I161" t="s">
        <v>3163</v>
      </c>
      <c r="J161">
        <f t="shared" si="8"/>
        <v>0</v>
      </c>
      <c r="K161" s="1043" t="s">
        <v>3164</v>
      </c>
      <c r="L161" s="264" t="s">
        <v>3165</v>
      </c>
      <c r="M161" s="1043" t="s">
        <v>3166</v>
      </c>
      <c r="N161">
        <f t="shared" si="9"/>
        <v>-0.19694041867954912</v>
      </c>
    </row>
    <row r="162" spans="1:14" ht="15">
      <c r="A162" s="1043" t="s">
        <v>891</v>
      </c>
      <c r="B162" s="1053"/>
      <c r="C162" s="1043" t="s">
        <v>3162</v>
      </c>
      <c r="E162" t="s">
        <v>3167</v>
      </c>
      <c r="F162" s="1043" t="s">
        <v>3168</v>
      </c>
      <c r="G162" s="264">
        <f t="shared" si="7"/>
        <v>9.1991455075290537E-2</v>
      </c>
      <c r="H162">
        <v>0</v>
      </c>
      <c r="I162" t="s">
        <v>3169</v>
      </c>
      <c r="J162">
        <f t="shared" si="8"/>
        <v>2.0932973587049135</v>
      </c>
      <c r="K162" s="1043" t="s">
        <v>3170</v>
      </c>
      <c r="L162" s="264"/>
      <c r="M162" s="1043" t="s">
        <v>3171</v>
      </c>
      <c r="N162">
        <f t="shared" si="9"/>
        <v>8.1333509762846021E-2</v>
      </c>
    </row>
    <row r="163" spans="1:14" ht="15">
      <c r="A163" s="1043" t="s">
        <v>312</v>
      </c>
      <c r="B163" s="1043" t="s">
        <v>2095</v>
      </c>
      <c r="C163" s="1043">
        <v>0</v>
      </c>
      <c r="E163" t="s">
        <v>3172</v>
      </c>
      <c r="F163" s="1043" t="s">
        <v>3173</v>
      </c>
      <c r="G163" s="264">
        <f t="shared" si="7"/>
        <v>0.21505862991154084</v>
      </c>
      <c r="H163" t="s">
        <v>3174</v>
      </c>
      <c r="I163" t="s">
        <v>3175</v>
      </c>
      <c r="J163">
        <f t="shared" si="8"/>
        <v>0.3021926912100536</v>
      </c>
      <c r="K163" s="1043" t="s">
        <v>3176</v>
      </c>
      <c r="L163" s="264" t="s">
        <v>3177</v>
      </c>
      <c r="M163" s="1043" t="s">
        <v>3178</v>
      </c>
      <c r="N163">
        <f t="shared" si="9"/>
        <v>0.10928673412378173</v>
      </c>
    </row>
    <row r="164" spans="1:14" ht="15">
      <c r="A164" s="1043" t="s">
        <v>894</v>
      </c>
      <c r="B164" s="1043" t="s">
        <v>3179</v>
      </c>
      <c r="C164" s="1043" t="s">
        <v>3174</v>
      </c>
      <c r="E164" t="s">
        <v>3180</v>
      </c>
      <c r="F164" s="1043" t="s">
        <v>3181</v>
      </c>
      <c r="G164" s="264">
        <f t="shared" si="7"/>
        <v>0.1842687975220858</v>
      </c>
      <c r="H164" t="s">
        <v>3182</v>
      </c>
      <c r="I164" t="s">
        <v>3183</v>
      </c>
      <c r="J164" t="e">
        <f t="shared" si="8"/>
        <v>#DIV/0!</v>
      </c>
      <c r="K164" s="1043" t="s">
        <v>3184</v>
      </c>
      <c r="L164" s="264" t="s">
        <v>3185</v>
      </c>
      <c r="M164" s="1043" t="s">
        <v>3186</v>
      </c>
      <c r="N164">
        <f t="shared" si="9"/>
        <v>0.25885307708662869</v>
      </c>
    </row>
    <row r="165" spans="1:14" ht="15">
      <c r="A165" s="1043" t="s">
        <v>896</v>
      </c>
      <c r="B165" s="1043" t="s">
        <v>2817</v>
      </c>
      <c r="C165" s="1043" t="s">
        <v>3182</v>
      </c>
      <c r="F165" s="1053"/>
      <c r="G165" s="264" t="e">
        <f t="shared" si="7"/>
        <v>#DIV/0!</v>
      </c>
      <c r="J165">
        <f t="shared" si="8"/>
        <v>-7.681285423114085</v>
      </c>
      <c r="K165" s="1003"/>
      <c r="L165" s="264" t="s">
        <v>3187</v>
      </c>
      <c r="M165" s="1003"/>
      <c r="N165" t="e">
        <f t="shared" si="9"/>
        <v>#DIV/0!</v>
      </c>
    </row>
    <row r="166" spans="1:14" ht="15">
      <c r="A166" s="1043" t="s">
        <v>898</v>
      </c>
      <c r="B166" s="1053"/>
      <c r="C166" s="1053"/>
      <c r="E166" t="s">
        <v>3188</v>
      </c>
      <c r="F166" s="1043" t="s">
        <v>3189</v>
      </c>
      <c r="G166" s="264">
        <f t="shared" si="7"/>
        <v>-0.2338223131493101</v>
      </c>
      <c r="H166" t="s">
        <v>3190</v>
      </c>
      <c r="I166" t="s">
        <v>3191</v>
      </c>
      <c r="J166">
        <f t="shared" si="8"/>
        <v>0.52677572635472836</v>
      </c>
      <c r="K166" s="1043" t="s">
        <v>3192</v>
      </c>
      <c r="L166" s="264"/>
      <c r="M166" s="1043" t="s">
        <v>3193</v>
      </c>
      <c r="N166">
        <f t="shared" si="9"/>
        <v>-6.622688791327018E-2</v>
      </c>
    </row>
    <row r="167" spans="1:14" ht="15">
      <c r="A167" s="1043" t="s">
        <v>900</v>
      </c>
      <c r="B167" s="1043" t="s">
        <v>3194</v>
      </c>
      <c r="C167" s="1043" t="s">
        <v>3190</v>
      </c>
      <c r="E167" t="s">
        <v>3195</v>
      </c>
      <c r="F167" s="1043" t="s">
        <v>3196</v>
      </c>
      <c r="G167" s="264">
        <f t="shared" si="7"/>
        <v>5.7974793694982284E-2</v>
      </c>
      <c r="H167" t="s">
        <v>3197</v>
      </c>
      <c r="I167" t="s">
        <v>3198</v>
      </c>
      <c r="J167">
        <f t="shared" si="8"/>
        <v>2.7345979859609759</v>
      </c>
      <c r="K167" s="1043" t="s">
        <v>3199</v>
      </c>
      <c r="L167" s="264" t="s">
        <v>3200</v>
      </c>
      <c r="M167" s="1043" t="s">
        <v>3201</v>
      </c>
      <c r="N167">
        <f t="shared" si="9"/>
        <v>6.5733466567527751E-2</v>
      </c>
    </row>
    <row r="168" spans="1:14" ht="15">
      <c r="A168" s="1043" t="s">
        <v>902</v>
      </c>
      <c r="B168" s="1043" t="s">
        <v>3202</v>
      </c>
      <c r="C168" s="1043" t="s">
        <v>3197</v>
      </c>
      <c r="E168" t="s">
        <v>3203</v>
      </c>
      <c r="F168" s="1043" t="s">
        <v>3204</v>
      </c>
      <c r="G168" s="264">
        <f t="shared" si="7"/>
        <v>0.10197353253400782</v>
      </c>
      <c r="H168" t="s">
        <v>3205</v>
      </c>
      <c r="I168" t="s">
        <v>3206</v>
      </c>
      <c r="J168" t="e">
        <f t="shared" si="8"/>
        <v>#DIV/0!</v>
      </c>
      <c r="K168" s="1043" t="s">
        <v>3207</v>
      </c>
      <c r="L168" s="264" t="s">
        <v>3208</v>
      </c>
      <c r="M168" s="1043" t="s">
        <v>3209</v>
      </c>
      <c r="N168">
        <f t="shared" si="9"/>
        <v>8.7798938295155809E-2</v>
      </c>
    </row>
    <row r="169" spans="1:14" ht="15">
      <c r="A169" s="1043" t="s">
        <v>905</v>
      </c>
      <c r="B169" s="1043" t="s">
        <v>3210</v>
      </c>
      <c r="C169" s="1043" t="s">
        <v>3205</v>
      </c>
      <c r="F169" s="1043" t="s">
        <v>3211</v>
      </c>
      <c r="G169" s="264">
        <f t="shared" si="7"/>
        <v>0</v>
      </c>
      <c r="H169" t="s">
        <v>3212</v>
      </c>
      <c r="J169">
        <f t="shared" si="8"/>
        <v>1.4632098251464667</v>
      </c>
      <c r="K169" s="1043" t="s">
        <v>3213</v>
      </c>
      <c r="L169" s="264" t="s">
        <v>3214</v>
      </c>
      <c r="M169" s="1043" t="s">
        <v>3215</v>
      </c>
      <c r="N169">
        <f t="shared" si="9"/>
        <v>0</v>
      </c>
    </row>
    <row r="170" spans="1:14" ht="15">
      <c r="A170" s="1043" t="s">
        <v>907</v>
      </c>
      <c r="B170" s="1053"/>
      <c r="C170" s="1043" t="s">
        <v>3212</v>
      </c>
      <c r="E170" t="s">
        <v>3216</v>
      </c>
      <c r="F170" s="1043" t="s">
        <v>3217</v>
      </c>
      <c r="G170" s="264">
        <f t="shared" si="7"/>
        <v>0.55843716703996182</v>
      </c>
      <c r="H170" t="s">
        <v>3218</v>
      </c>
      <c r="I170" t="s">
        <v>3219</v>
      </c>
      <c r="J170">
        <f t="shared" si="8"/>
        <v>3.956384763509289</v>
      </c>
      <c r="K170" s="1043" t="s">
        <v>3220</v>
      </c>
      <c r="L170" s="264"/>
      <c r="M170" s="1043" t="s">
        <v>3221</v>
      </c>
      <c r="N170">
        <f t="shared" si="9"/>
        <v>0.22216551075215141</v>
      </c>
    </row>
    <row r="171" spans="1:14" ht="15">
      <c r="A171" s="1043" t="s">
        <v>909</v>
      </c>
      <c r="B171" s="1043" t="s">
        <v>3222</v>
      </c>
      <c r="C171" s="1043" t="s">
        <v>3218</v>
      </c>
      <c r="E171" t="s">
        <v>3223</v>
      </c>
      <c r="F171" s="1043" t="s">
        <v>3224</v>
      </c>
      <c r="G171" s="264">
        <f t="shared" si="7"/>
        <v>4.3743951887947934E-2</v>
      </c>
      <c r="H171" t="s">
        <v>3225</v>
      </c>
      <c r="I171" t="s">
        <v>3226</v>
      </c>
      <c r="J171">
        <f t="shared" si="8"/>
        <v>56.211798846747982</v>
      </c>
      <c r="K171" s="1043" t="s">
        <v>3227</v>
      </c>
      <c r="L171" s="264" t="s">
        <v>3228</v>
      </c>
      <c r="M171" s="1043" t="s">
        <v>3229</v>
      </c>
      <c r="N171">
        <f t="shared" si="9"/>
        <v>3.082214691454491E-2</v>
      </c>
    </row>
    <row r="172" spans="1:14" ht="15">
      <c r="A172" s="1043" t="s">
        <v>911</v>
      </c>
      <c r="B172" s="1043" t="s">
        <v>2675</v>
      </c>
      <c r="C172" s="1043" t="s">
        <v>3225</v>
      </c>
      <c r="E172" t="s">
        <v>3230</v>
      </c>
      <c r="F172" s="1043" t="s">
        <v>3231</v>
      </c>
      <c r="G172" s="264">
        <f t="shared" si="7"/>
        <v>-4.2305052652088435E-3</v>
      </c>
      <c r="H172" t="s">
        <v>3232</v>
      </c>
      <c r="I172" t="s">
        <v>3233</v>
      </c>
      <c r="J172">
        <f t="shared" si="8"/>
        <v>0</v>
      </c>
      <c r="K172" s="1043" t="s">
        <v>3234</v>
      </c>
      <c r="L172" s="264" t="s">
        <v>3235</v>
      </c>
      <c r="M172" s="1043" t="s">
        <v>3236</v>
      </c>
      <c r="N172">
        <f t="shared" si="9"/>
        <v>5.2690407332445389E-3</v>
      </c>
    </row>
    <row r="173" spans="1:14" ht="15">
      <c r="A173" s="1043" t="s">
        <v>913</v>
      </c>
      <c r="B173" s="1043" t="s">
        <v>2635</v>
      </c>
      <c r="C173" s="1043" t="s">
        <v>3232</v>
      </c>
      <c r="E173" t="s">
        <v>3237</v>
      </c>
      <c r="F173" s="1043" t="s">
        <v>3238</v>
      </c>
      <c r="G173" s="264">
        <f t="shared" si="7"/>
        <v>6.6179289009044379E-2</v>
      </c>
      <c r="H173">
        <v>0</v>
      </c>
      <c r="I173" t="s">
        <v>3239</v>
      </c>
      <c r="J173">
        <f t="shared" si="8"/>
        <v>-5.6213232796685011</v>
      </c>
      <c r="K173" s="1043" t="s">
        <v>3240</v>
      </c>
      <c r="L173" s="264" t="s">
        <v>3241</v>
      </c>
      <c r="M173" s="1043" t="s">
        <v>3242</v>
      </c>
      <c r="N173">
        <f t="shared" si="9"/>
        <v>0.16094216363954056</v>
      </c>
    </row>
    <row r="174" spans="1:14" ht="15">
      <c r="A174" s="1043" t="s">
        <v>915</v>
      </c>
      <c r="B174" s="1043" t="s">
        <v>2095</v>
      </c>
      <c r="C174" s="1043">
        <v>0</v>
      </c>
      <c r="E174" t="s">
        <v>3243</v>
      </c>
      <c r="F174" s="1043" t="s">
        <v>3244</v>
      </c>
      <c r="G174" s="264">
        <f t="shared" si="7"/>
        <v>-0.22043445414905039</v>
      </c>
      <c r="H174" t="s">
        <v>3245</v>
      </c>
      <c r="I174" t="s">
        <v>3246</v>
      </c>
      <c r="J174">
        <f t="shared" si="8"/>
        <v>2.0453845196971532</v>
      </c>
      <c r="K174" s="1043" t="s">
        <v>3247</v>
      </c>
      <c r="L174" s="264" t="s">
        <v>3248</v>
      </c>
      <c r="M174" s="1043" t="s">
        <v>3249</v>
      </c>
      <c r="N174">
        <f t="shared" si="9"/>
        <v>-7.0884625292824618E-2</v>
      </c>
    </row>
    <row r="175" spans="1:14" ht="15">
      <c r="A175" s="1043" t="s">
        <v>917</v>
      </c>
      <c r="B175" s="1043" t="s">
        <v>3250</v>
      </c>
      <c r="C175" s="1043" t="s">
        <v>3245</v>
      </c>
      <c r="E175" t="s">
        <v>3251</v>
      </c>
      <c r="F175" s="1043" t="s">
        <v>3252</v>
      </c>
      <c r="G175" s="264">
        <f t="shared" si="7"/>
        <v>5.1933128118499178E-2</v>
      </c>
      <c r="H175" t="s">
        <v>3253</v>
      </c>
      <c r="I175" t="s">
        <v>3254</v>
      </c>
      <c r="J175">
        <f t="shared" si="8"/>
        <v>-1.7349823343384208</v>
      </c>
      <c r="K175" s="1043" t="s">
        <v>3255</v>
      </c>
      <c r="L175" s="264" t="s">
        <v>3256</v>
      </c>
      <c r="M175" s="1043" t="s">
        <v>3257</v>
      </c>
      <c r="N175">
        <f t="shared" si="9"/>
        <v>9.9537843512403065E-2</v>
      </c>
    </row>
    <row r="176" spans="1:14" ht="15">
      <c r="A176" s="1043" t="s">
        <v>919</v>
      </c>
      <c r="B176" s="1043" t="s">
        <v>2651</v>
      </c>
      <c r="C176" s="1043" t="s">
        <v>3253</v>
      </c>
      <c r="E176" t="s">
        <v>3258</v>
      </c>
      <c r="F176" s="1043" t="s">
        <v>3259</v>
      </c>
      <c r="G176" s="264">
        <f t="shared" si="7"/>
        <v>-3.9450136987462636E-2</v>
      </c>
      <c r="H176" t="s">
        <v>3260</v>
      </c>
      <c r="I176" t="s">
        <v>3261</v>
      </c>
      <c r="J176">
        <f t="shared" si="8"/>
        <v>-0.76756968983665064</v>
      </c>
      <c r="K176" s="1043" t="s">
        <v>3262</v>
      </c>
      <c r="L176" s="264" t="s">
        <v>3263</v>
      </c>
      <c r="M176" s="1043" t="s">
        <v>3264</v>
      </c>
      <c r="N176">
        <f t="shared" si="9"/>
        <v>-0.18185535707820533</v>
      </c>
    </row>
    <row r="177" spans="1:14" ht="15">
      <c r="A177" s="1043" t="s">
        <v>921</v>
      </c>
      <c r="B177" s="1043" t="s">
        <v>3265</v>
      </c>
      <c r="C177" s="1043" t="s">
        <v>3260</v>
      </c>
      <c r="E177" t="s">
        <v>3266</v>
      </c>
      <c r="F177" s="1043" t="s">
        <v>3267</v>
      </c>
      <c r="G177" s="264">
        <f t="shared" si="7"/>
        <v>-1.1897253306290345</v>
      </c>
      <c r="H177" t="s">
        <v>3268</v>
      </c>
      <c r="I177" t="s">
        <v>3269</v>
      </c>
      <c r="J177">
        <f t="shared" si="8"/>
        <v>-11.175431016161715</v>
      </c>
      <c r="K177" s="1043" t="s">
        <v>3270</v>
      </c>
      <c r="L177" s="264" t="s">
        <v>3271</v>
      </c>
      <c r="M177" s="1043" t="s">
        <v>3272</v>
      </c>
      <c r="N177">
        <f t="shared" si="9"/>
        <v>-0.43081867388462747</v>
      </c>
    </row>
    <row r="178" spans="1:14" ht="15">
      <c r="A178" s="1043" t="s">
        <v>923</v>
      </c>
      <c r="B178" s="1043" t="s">
        <v>3273</v>
      </c>
      <c r="C178" s="1043" t="s">
        <v>3268</v>
      </c>
      <c r="E178" t="s">
        <v>3274</v>
      </c>
      <c r="F178" s="1061" t="s">
        <v>3275</v>
      </c>
      <c r="G178" s="264">
        <f t="shared" si="7"/>
        <v>7.3998765589705862E-2</v>
      </c>
      <c r="H178" t="s">
        <v>3276</v>
      </c>
      <c r="I178" t="s">
        <v>3277</v>
      </c>
      <c r="J178">
        <f t="shared" si="8"/>
        <v>0.77792092385240752</v>
      </c>
      <c r="K178" s="1043" t="s">
        <v>3278</v>
      </c>
      <c r="L178" s="264" t="s">
        <v>3279</v>
      </c>
      <c r="M178" s="1043" t="s">
        <v>3280</v>
      </c>
      <c r="N178">
        <f t="shared" si="9"/>
        <v>-12.959264392950288</v>
      </c>
    </row>
    <row r="179" spans="1:14" ht="15">
      <c r="A179" s="1043" t="s">
        <v>925</v>
      </c>
      <c r="B179" s="1053"/>
      <c r="C179" s="1043" t="s">
        <v>3276</v>
      </c>
      <c r="E179" t="s">
        <v>3281</v>
      </c>
      <c r="F179" s="1043" t="s">
        <v>3282</v>
      </c>
      <c r="G179" s="264">
        <f t="shared" si="7"/>
        <v>0.13943739783581754</v>
      </c>
      <c r="H179" t="s">
        <v>3283</v>
      </c>
      <c r="I179" t="s">
        <v>3284</v>
      </c>
      <c r="J179" t="e">
        <f t="shared" si="8"/>
        <v>#DIV/0!</v>
      </c>
      <c r="K179" s="1043" t="s">
        <v>3285</v>
      </c>
      <c r="L179" s="264"/>
      <c r="M179" s="1043" t="s">
        <v>3286</v>
      </c>
      <c r="N179">
        <f t="shared" si="9"/>
        <v>6.0722159803404827E-2</v>
      </c>
    </row>
    <row r="180" spans="1:14" ht="15">
      <c r="A180" s="1043" t="s">
        <v>927</v>
      </c>
      <c r="B180" s="1043" t="s">
        <v>3287</v>
      </c>
      <c r="C180" s="1043" t="s">
        <v>3283</v>
      </c>
      <c r="F180" s="1053"/>
      <c r="G180" s="264" t="e">
        <f t="shared" si="7"/>
        <v>#DIV/0!</v>
      </c>
      <c r="J180">
        <f t="shared" si="8"/>
        <v>2.0969330646957873</v>
      </c>
      <c r="K180" s="1043" t="s">
        <v>3288</v>
      </c>
      <c r="L180" s="264" t="s">
        <v>3271</v>
      </c>
      <c r="M180" s="1003"/>
      <c r="N180" t="e">
        <f t="shared" si="9"/>
        <v>#DIV/0!</v>
      </c>
    </row>
    <row r="181" spans="1:14" ht="15">
      <c r="A181" s="1043" t="s">
        <v>929</v>
      </c>
      <c r="B181" s="1053"/>
      <c r="C181" s="1053"/>
      <c r="E181" t="s">
        <v>3289</v>
      </c>
      <c r="F181" s="1043" t="s">
        <v>3290</v>
      </c>
      <c r="G181" s="264">
        <f t="shared" si="7"/>
        <v>0.27626360644851511</v>
      </c>
      <c r="H181" t="s">
        <v>3291</v>
      </c>
      <c r="I181" t="s">
        <v>3292</v>
      </c>
      <c r="J181">
        <f t="shared" si="8"/>
        <v>-3.7240965665182664</v>
      </c>
      <c r="K181" s="1043" t="s">
        <v>3293</v>
      </c>
      <c r="L181" s="264"/>
      <c r="M181" s="1043" t="s">
        <v>3294</v>
      </c>
      <c r="N181">
        <f t="shared" si="9"/>
        <v>0.11009242144138824</v>
      </c>
    </row>
    <row r="182" spans="1:14" ht="15">
      <c r="A182" s="1043" t="s">
        <v>931</v>
      </c>
      <c r="B182" s="1043" t="s">
        <v>3295</v>
      </c>
      <c r="C182" s="1043" t="s">
        <v>3291</v>
      </c>
      <c r="E182" t="s">
        <v>3296</v>
      </c>
      <c r="F182" s="1043" t="s">
        <v>3297</v>
      </c>
      <c r="G182" s="264">
        <f t="shared" si="7"/>
        <v>1.8326986156381987E-2</v>
      </c>
      <c r="H182" t="s">
        <v>3298</v>
      </c>
      <c r="I182" t="s">
        <v>3299</v>
      </c>
      <c r="J182">
        <f t="shared" si="8"/>
        <v>22.143098542724228</v>
      </c>
      <c r="K182" s="1043" t="s">
        <v>3300</v>
      </c>
      <c r="L182" s="264" t="s">
        <v>3301</v>
      </c>
      <c r="M182" s="1043" t="s">
        <v>3302</v>
      </c>
      <c r="N182">
        <f t="shared" si="9"/>
        <v>-7.7319530360445499E-3</v>
      </c>
    </row>
    <row r="183" spans="1:14" ht="15">
      <c r="A183" s="1043" t="s">
        <v>933</v>
      </c>
      <c r="B183" s="1043" t="s">
        <v>2261</v>
      </c>
      <c r="C183" s="1043" t="s">
        <v>3298</v>
      </c>
      <c r="E183" t="s">
        <v>3303</v>
      </c>
      <c r="F183" s="1043" t="s">
        <v>3304</v>
      </c>
      <c r="G183" s="264">
        <f t="shared" si="7"/>
        <v>1.942981271052029E-2</v>
      </c>
      <c r="H183" t="s">
        <v>3305</v>
      </c>
      <c r="I183" t="s">
        <v>3306</v>
      </c>
      <c r="J183">
        <f t="shared" si="8"/>
        <v>0.21987060563848093</v>
      </c>
      <c r="K183" s="1043" t="s">
        <v>3307</v>
      </c>
      <c r="L183" s="264" t="s">
        <v>3308</v>
      </c>
      <c r="M183" s="1043" t="s">
        <v>3309</v>
      </c>
      <c r="N183">
        <f t="shared" si="9"/>
        <v>9.3365552212113217E-3</v>
      </c>
    </row>
    <row r="184" spans="1:14" ht="15">
      <c r="A184" s="1043" t="s">
        <v>935</v>
      </c>
      <c r="B184" s="1043" t="s">
        <v>3310</v>
      </c>
      <c r="C184" s="1043" t="s">
        <v>3305</v>
      </c>
      <c r="E184" t="s">
        <v>3311</v>
      </c>
      <c r="F184" s="1043" t="s">
        <v>3312</v>
      </c>
      <c r="G184" s="264">
        <f t="shared" si="7"/>
        <v>3.6074358724238018E-2</v>
      </c>
      <c r="H184" t="s">
        <v>3313</v>
      </c>
      <c r="I184" t="s">
        <v>3314</v>
      </c>
      <c r="J184">
        <f t="shared" si="8"/>
        <v>12.346715326199753</v>
      </c>
      <c r="K184" s="1043" t="s">
        <v>3315</v>
      </c>
      <c r="L184" s="264" t="s">
        <v>3316</v>
      </c>
      <c r="M184" s="1043" t="s">
        <v>3317</v>
      </c>
      <c r="N184">
        <f t="shared" si="9"/>
        <v>4.081369265184942E-2</v>
      </c>
    </row>
    <row r="185" spans="1:14" ht="15">
      <c r="A185" s="1043" t="s">
        <v>937</v>
      </c>
      <c r="B185" s="1043" t="s">
        <v>3106</v>
      </c>
      <c r="C185" s="1043" t="s">
        <v>3313</v>
      </c>
      <c r="E185" t="s">
        <v>3318</v>
      </c>
      <c r="F185" s="1043" t="s">
        <v>3319</v>
      </c>
      <c r="G185" s="264">
        <f t="shared" si="7"/>
        <v>2.5392108287702952E-2</v>
      </c>
      <c r="H185" t="s">
        <v>3320</v>
      </c>
      <c r="I185" t="s">
        <v>3321</v>
      </c>
      <c r="J185">
        <f t="shared" si="8"/>
        <v>59.790792065471635</v>
      </c>
      <c r="K185" s="1043" t="s">
        <v>3322</v>
      </c>
      <c r="L185" s="264" t="s">
        <v>3323</v>
      </c>
      <c r="M185" s="1043" t="s">
        <v>3324</v>
      </c>
      <c r="N185">
        <f t="shared" si="9"/>
        <v>9.4914784551880446E-3</v>
      </c>
    </row>
    <row r="186" spans="1:14" ht="15">
      <c r="A186" s="1043" t="s">
        <v>939</v>
      </c>
      <c r="B186" s="1043" t="s">
        <v>3325</v>
      </c>
      <c r="C186" s="1043" t="s">
        <v>3320</v>
      </c>
      <c r="E186" t="s">
        <v>3326</v>
      </c>
      <c r="F186" s="1043" t="s">
        <v>3327</v>
      </c>
      <c r="G186" s="264">
        <f t="shared" si="7"/>
        <v>-8.0020535555143213E-2</v>
      </c>
      <c r="H186" t="s">
        <v>3328</v>
      </c>
      <c r="I186" t="s">
        <v>3329</v>
      </c>
      <c r="J186">
        <f t="shared" si="8"/>
        <v>0</v>
      </c>
      <c r="K186" s="1043" t="s">
        <v>3330</v>
      </c>
      <c r="L186" s="264" t="s">
        <v>3331</v>
      </c>
      <c r="M186" s="1043" t="s">
        <v>3332</v>
      </c>
      <c r="N186">
        <f t="shared" si="9"/>
        <v>8.5675601255080069E-3</v>
      </c>
    </row>
    <row r="187" spans="1:14" ht="15">
      <c r="A187" s="1043" t="s">
        <v>941</v>
      </c>
      <c r="B187" s="1043" t="s">
        <v>3333</v>
      </c>
      <c r="C187" s="1043" t="s">
        <v>3328</v>
      </c>
      <c r="E187" t="s">
        <v>3334</v>
      </c>
      <c r="F187" s="1043" t="s">
        <v>3335</v>
      </c>
      <c r="G187" s="264">
        <f t="shared" si="7"/>
        <v>1.4290796077700127E-2</v>
      </c>
      <c r="H187">
        <v>0</v>
      </c>
      <c r="I187" t="s">
        <v>3336</v>
      </c>
      <c r="J187">
        <f t="shared" si="8"/>
        <v>6.4117294095572728</v>
      </c>
      <c r="K187" s="1043" t="s">
        <v>3337</v>
      </c>
      <c r="L187" s="264" t="s">
        <v>3338</v>
      </c>
      <c r="M187" s="1043" t="s">
        <v>3339</v>
      </c>
      <c r="N187">
        <f t="shared" si="9"/>
        <v>1.5295986486720127E-2</v>
      </c>
    </row>
    <row r="188" spans="1:14" ht="15">
      <c r="A188" s="1043" t="s">
        <v>943</v>
      </c>
      <c r="B188" s="1043" t="s">
        <v>2095</v>
      </c>
      <c r="C188" s="1043">
        <v>0</v>
      </c>
      <c r="E188" t="s">
        <v>3340</v>
      </c>
      <c r="F188" s="1043" t="s">
        <v>3341</v>
      </c>
      <c r="G188" s="264">
        <f t="shared" si="7"/>
        <v>0.16190307649178803</v>
      </c>
      <c r="H188" t="s">
        <v>3342</v>
      </c>
      <c r="I188" t="s">
        <v>3343</v>
      </c>
      <c r="J188">
        <f t="shared" si="8"/>
        <v>4.2120533404292404</v>
      </c>
      <c r="K188" s="1043" t="s">
        <v>3344</v>
      </c>
      <c r="L188" s="264" t="s">
        <v>3345</v>
      </c>
      <c r="M188" s="1043" t="s">
        <v>3346</v>
      </c>
      <c r="N188">
        <f t="shared" si="9"/>
        <v>9.5239563304313143E-2</v>
      </c>
    </row>
    <row r="189" spans="1:14" ht="15">
      <c r="A189" s="1043" t="s">
        <v>945</v>
      </c>
      <c r="B189" s="1043" t="s">
        <v>3347</v>
      </c>
      <c r="C189" s="1043" t="s">
        <v>3342</v>
      </c>
      <c r="E189" t="s">
        <v>3348</v>
      </c>
      <c r="F189" s="1061" t="s">
        <v>3349</v>
      </c>
      <c r="G189" s="264">
        <f t="shared" si="7"/>
        <v>-0.50648417195112372</v>
      </c>
      <c r="H189" t="s">
        <v>3350</v>
      </c>
      <c r="I189" t="s">
        <v>3351</v>
      </c>
      <c r="J189">
        <f t="shared" si="8"/>
        <v>2.7799750033911195E-2</v>
      </c>
      <c r="K189" s="1043" t="s">
        <v>3352</v>
      </c>
      <c r="L189" s="264" t="s">
        <v>3353</v>
      </c>
      <c r="M189" s="1043" t="s">
        <v>3354</v>
      </c>
      <c r="N189">
        <f t="shared" si="9"/>
        <v>0.28439017880781542</v>
      </c>
    </row>
    <row r="190" spans="1:14" ht="15">
      <c r="A190" s="1043" t="s">
        <v>947</v>
      </c>
      <c r="B190" s="1053"/>
      <c r="C190" s="1043" t="s">
        <v>3350</v>
      </c>
      <c r="E190" t="s">
        <v>3355</v>
      </c>
      <c r="F190" s="1043" t="s">
        <v>3356</v>
      </c>
      <c r="G190" s="264">
        <f t="shared" si="7"/>
        <v>0.14545751027523723</v>
      </c>
      <c r="H190" t="s">
        <v>3357</v>
      </c>
      <c r="I190" t="s">
        <v>3358</v>
      </c>
      <c r="J190">
        <f t="shared" si="8"/>
        <v>2.7412112288319199</v>
      </c>
      <c r="K190" s="1043" t="s">
        <v>3359</v>
      </c>
      <c r="L190" s="264" t="s">
        <v>3360</v>
      </c>
      <c r="M190" s="1043" t="s">
        <v>3361</v>
      </c>
      <c r="N190">
        <f t="shared" si="9"/>
        <v>0.18091549212473243</v>
      </c>
    </row>
    <row r="191" spans="1:14" ht="15">
      <c r="A191" s="1043" t="s">
        <v>949</v>
      </c>
      <c r="B191" s="1043" t="s">
        <v>2403</v>
      </c>
      <c r="C191" s="1043" t="s">
        <v>3357</v>
      </c>
      <c r="E191" t="s">
        <v>3362</v>
      </c>
      <c r="F191" s="1043" t="s">
        <v>3363</v>
      </c>
      <c r="G191" s="264">
        <f t="shared" si="7"/>
        <v>0.20730749860931255</v>
      </c>
      <c r="H191" t="s">
        <v>3364</v>
      </c>
      <c r="I191" t="s">
        <v>3365</v>
      </c>
      <c r="J191">
        <f t="shared" si="8"/>
        <v>0.40774704430463099</v>
      </c>
      <c r="K191" s="1043" t="s">
        <v>3366</v>
      </c>
      <c r="L191" s="264" t="s">
        <v>3367</v>
      </c>
      <c r="M191" s="1043" t="s">
        <v>3368</v>
      </c>
      <c r="N191">
        <f t="shared" si="9"/>
        <v>6.2789791038370082E-2</v>
      </c>
    </row>
    <row r="192" spans="1:14" ht="15">
      <c r="A192" s="1043" t="s">
        <v>951</v>
      </c>
      <c r="B192" s="1043" t="s">
        <v>3369</v>
      </c>
      <c r="C192" s="1043" t="s">
        <v>3364</v>
      </c>
      <c r="E192" t="s">
        <v>3370</v>
      </c>
      <c r="F192" s="1043" t="s">
        <v>3371</v>
      </c>
      <c r="G192" s="264">
        <f t="shared" si="7"/>
        <v>5.3031501192662891E-3</v>
      </c>
      <c r="H192" t="s">
        <v>3372</v>
      </c>
      <c r="I192" t="s">
        <v>3373</v>
      </c>
      <c r="J192" t="e">
        <f t="shared" si="8"/>
        <v>#DIV/0!</v>
      </c>
      <c r="K192" s="1043" t="s">
        <v>3374</v>
      </c>
      <c r="L192" s="264" t="s">
        <v>3375</v>
      </c>
      <c r="M192" s="1043" t="s">
        <v>3376</v>
      </c>
      <c r="N192">
        <f t="shared" si="9"/>
        <v>1.5608597099613621E-2</v>
      </c>
    </row>
    <row r="193" spans="1:14" ht="15">
      <c r="A193" s="1043" t="s">
        <v>953</v>
      </c>
      <c r="B193" s="1043" t="s">
        <v>2541</v>
      </c>
      <c r="C193" s="1043" t="s">
        <v>3372</v>
      </c>
      <c r="F193" s="1053"/>
      <c r="G193" s="264" t="e">
        <f t="shared" si="7"/>
        <v>#DIV/0!</v>
      </c>
      <c r="J193">
        <f t="shared" si="8"/>
        <v>9.1710170392106019</v>
      </c>
      <c r="K193" s="1043" t="s">
        <v>3377</v>
      </c>
      <c r="L193" s="264" t="s">
        <v>3378</v>
      </c>
      <c r="M193" s="1003"/>
      <c r="N193" t="e">
        <f t="shared" si="9"/>
        <v>#DIV/0!</v>
      </c>
    </row>
    <row r="194" spans="1:14" ht="15">
      <c r="A194" s="1043" t="s">
        <v>955</v>
      </c>
      <c r="B194" s="1053"/>
      <c r="C194" s="1053"/>
      <c r="E194" t="s">
        <v>3379</v>
      </c>
      <c r="F194" s="1043" t="s">
        <v>3380</v>
      </c>
      <c r="G194" s="264">
        <f t="shared" ref="G194:G257" si="10">E194/F194</f>
        <v>4.1901316910831765E-2</v>
      </c>
      <c r="H194" t="s">
        <v>3381</v>
      </c>
      <c r="I194" t="s">
        <v>3382</v>
      </c>
      <c r="J194">
        <f t="shared" ref="J194:J257" si="11">H195/I195</f>
        <v>5.3856936836405263</v>
      </c>
      <c r="K194" s="1043" t="s">
        <v>3383</v>
      </c>
      <c r="L194" s="264"/>
      <c r="M194" s="1043" t="s">
        <v>3384</v>
      </c>
      <c r="N194">
        <f t="shared" si="9"/>
        <v>4.2141913112481902E-2</v>
      </c>
    </row>
    <row r="195" spans="1:14" ht="15">
      <c r="A195" s="1043" t="s">
        <v>957</v>
      </c>
      <c r="B195" s="1043" t="s">
        <v>3385</v>
      </c>
      <c r="C195" s="1043" t="s">
        <v>3381</v>
      </c>
      <c r="E195" t="s">
        <v>3386</v>
      </c>
      <c r="F195" s="1043" t="s">
        <v>3387</v>
      </c>
      <c r="G195" s="264">
        <f t="shared" si="10"/>
        <v>7.9718179242695669E-2</v>
      </c>
      <c r="H195" t="s">
        <v>3388</v>
      </c>
      <c r="I195" t="s">
        <v>3389</v>
      </c>
      <c r="J195">
        <f t="shared" si="11"/>
        <v>5.3336857136240513E-2</v>
      </c>
      <c r="K195" s="1043" t="s">
        <v>3390</v>
      </c>
      <c r="L195" s="264" t="s">
        <v>3391</v>
      </c>
      <c r="M195" s="1043" t="s">
        <v>3392</v>
      </c>
      <c r="N195">
        <f t="shared" si="9"/>
        <v>5.8876882763875982E-2</v>
      </c>
    </row>
    <row r="196" spans="1:14" ht="15">
      <c r="A196" s="1043" t="s">
        <v>959</v>
      </c>
      <c r="B196" s="1043" t="s">
        <v>3393</v>
      </c>
      <c r="C196" s="1043" t="s">
        <v>3388</v>
      </c>
      <c r="E196" t="s">
        <v>3394</v>
      </c>
      <c r="F196" s="1043" t="s">
        <v>3395</v>
      </c>
      <c r="G196" s="264">
        <f t="shared" si="10"/>
        <v>6.4844298783506574E-2</v>
      </c>
      <c r="H196" t="s">
        <v>3396</v>
      </c>
      <c r="I196" t="s">
        <v>3397</v>
      </c>
      <c r="J196">
        <f t="shared" si="11"/>
        <v>-0.37965560380166896</v>
      </c>
      <c r="K196" s="1043" t="s">
        <v>3398</v>
      </c>
      <c r="L196" s="264" t="s">
        <v>3399</v>
      </c>
      <c r="M196" s="1043" t="s">
        <v>3400</v>
      </c>
      <c r="N196">
        <f t="shared" si="9"/>
        <v>4.0199445217349902E-2</v>
      </c>
    </row>
    <row r="197" spans="1:14" ht="15">
      <c r="A197" s="1043" t="s">
        <v>961</v>
      </c>
      <c r="B197" s="1043" t="s">
        <v>2865</v>
      </c>
      <c r="C197" s="1043" t="s">
        <v>3396</v>
      </c>
      <c r="E197" t="s">
        <v>3401</v>
      </c>
      <c r="F197" s="1043" t="s">
        <v>3402</v>
      </c>
      <c r="G197" s="264">
        <f t="shared" si="10"/>
        <v>-0.31318254844667032</v>
      </c>
      <c r="H197" t="s">
        <v>3403</v>
      </c>
      <c r="I197" t="s">
        <v>3404</v>
      </c>
      <c r="J197">
        <f t="shared" si="11"/>
        <v>0.20576272050813088</v>
      </c>
      <c r="K197" s="1043" t="s">
        <v>3405</v>
      </c>
      <c r="L197" s="264" t="s">
        <v>3406</v>
      </c>
      <c r="M197" s="1043" t="s">
        <v>3407</v>
      </c>
      <c r="N197">
        <f t="shared" si="9"/>
        <v>-0.65578903095857655</v>
      </c>
    </row>
    <row r="198" spans="1:14" ht="15">
      <c r="A198" s="1043" t="s">
        <v>963</v>
      </c>
      <c r="B198" s="1043" t="s">
        <v>3408</v>
      </c>
      <c r="C198" s="1043" t="s">
        <v>3403</v>
      </c>
      <c r="E198" t="s">
        <v>3409</v>
      </c>
      <c r="F198" s="1043" t="s">
        <v>3410</v>
      </c>
      <c r="G198" s="264">
        <f t="shared" si="10"/>
        <v>4.4576594754435393E-2</v>
      </c>
      <c r="H198" t="s">
        <v>3411</v>
      </c>
      <c r="I198" t="s">
        <v>3412</v>
      </c>
      <c r="J198">
        <f t="shared" si="11"/>
        <v>-9.6038034144788185</v>
      </c>
      <c r="K198" s="1043" t="s">
        <v>3413</v>
      </c>
      <c r="L198" s="264"/>
      <c r="M198" s="1043" t="s">
        <v>3414</v>
      </c>
      <c r="N198">
        <f t="shared" si="9"/>
        <v>0.1032618911082382</v>
      </c>
    </row>
    <row r="199" spans="1:14" ht="15">
      <c r="A199" s="1043" t="s">
        <v>965</v>
      </c>
      <c r="B199" s="1043" t="s">
        <v>3415</v>
      </c>
      <c r="C199" s="1043" t="s">
        <v>3411</v>
      </c>
      <c r="E199" t="s">
        <v>3416</v>
      </c>
      <c r="F199" s="1061" t="s">
        <v>3417</v>
      </c>
      <c r="G199" s="264">
        <f t="shared" si="10"/>
        <v>5.8577088460678697</v>
      </c>
      <c r="H199" t="s">
        <v>3418</v>
      </c>
      <c r="I199" t="s">
        <v>3419</v>
      </c>
      <c r="J199">
        <f t="shared" si="11"/>
        <v>0</v>
      </c>
      <c r="K199" s="1043" t="s">
        <v>3420</v>
      </c>
      <c r="L199" s="264" t="s">
        <v>3421</v>
      </c>
      <c r="M199" s="1043" t="s">
        <v>3422</v>
      </c>
      <c r="N199">
        <f t="shared" si="9"/>
        <v>-0.18012953560856701</v>
      </c>
    </row>
    <row r="200" spans="1:14" ht="15">
      <c r="A200" s="1043" t="s">
        <v>968</v>
      </c>
      <c r="B200" s="1053"/>
      <c r="C200" s="1043" t="s">
        <v>3418</v>
      </c>
      <c r="E200" t="s">
        <v>3423</v>
      </c>
      <c r="F200" s="1043" t="s">
        <v>3424</v>
      </c>
      <c r="G200" s="264">
        <f t="shared" si="10"/>
        <v>-0.4922939494788004</v>
      </c>
      <c r="H200">
        <v>0</v>
      </c>
      <c r="I200" t="s">
        <v>3425</v>
      </c>
      <c r="J200">
        <f t="shared" si="11"/>
        <v>8.2327674060363378</v>
      </c>
      <c r="K200" s="1043" t="s">
        <v>3426</v>
      </c>
      <c r="L200" s="264" t="s">
        <v>3427</v>
      </c>
      <c r="M200" s="1043" t="s">
        <v>3428</v>
      </c>
      <c r="N200">
        <f t="shared" si="9"/>
        <v>-0.46670382215056788</v>
      </c>
    </row>
    <row r="201" spans="1:14" ht="15">
      <c r="A201" s="1043" t="s">
        <v>970</v>
      </c>
      <c r="B201" s="1043" t="s">
        <v>2095</v>
      </c>
      <c r="C201" s="1043">
        <v>0</v>
      </c>
      <c r="E201" t="s">
        <v>3429</v>
      </c>
      <c r="F201" s="1043" t="s">
        <v>3430</v>
      </c>
      <c r="G201" s="264">
        <f t="shared" si="10"/>
        <v>6.6091683764740325E-2</v>
      </c>
      <c r="H201" t="s">
        <v>3431</v>
      </c>
      <c r="I201" t="s">
        <v>3432</v>
      </c>
      <c r="J201">
        <f t="shared" si="11"/>
        <v>4.2859629621173783</v>
      </c>
      <c r="K201" s="1043" t="s">
        <v>3433</v>
      </c>
      <c r="L201" s="264" t="s">
        <v>3434</v>
      </c>
      <c r="M201" s="1043" t="s">
        <v>3435</v>
      </c>
      <c r="N201">
        <f t="shared" si="9"/>
        <v>3.0518257983789883E-2</v>
      </c>
    </row>
    <row r="202" spans="1:14" ht="15">
      <c r="A202" s="1043" t="s">
        <v>972</v>
      </c>
      <c r="B202" s="1043" t="s">
        <v>3436</v>
      </c>
      <c r="C202" s="1043" t="s">
        <v>3431</v>
      </c>
      <c r="E202" t="s">
        <v>3437</v>
      </c>
      <c r="F202" s="1043" t="s">
        <v>3438</v>
      </c>
      <c r="G202" s="264">
        <f t="shared" si="10"/>
        <v>0.22104033029424583</v>
      </c>
      <c r="H202" t="s">
        <v>3439</v>
      </c>
      <c r="I202" t="s">
        <v>3440</v>
      </c>
      <c r="J202">
        <f t="shared" si="11"/>
        <v>1.512789308315263</v>
      </c>
      <c r="K202" s="1043" t="s">
        <v>3441</v>
      </c>
      <c r="L202" s="264" t="s">
        <v>3442</v>
      </c>
      <c r="M202" s="1043" t="s">
        <v>3443</v>
      </c>
      <c r="N202">
        <f t="shared" si="9"/>
        <v>6.2517561920855391E-2</v>
      </c>
    </row>
    <row r="203" spans="1:14" ht="15">
      <c r="A203" s="1043" t="s">
        <v>974</v>
      </c>
      <c r="B203" s="1043" t="s">
        <v>3444</v>
      </c>
      <c r="C203" s="1043" t="s">
        <v>3439</v>
      </c>
      <c r="E203" t="s">
        <v>3445</v>
      </c>
      <c r="F203" s="1043" t="s">
        <v>3446</v>
      </c>
      <c r="G203" s="264">
        <f t="shared" si="10"/>
        <v>0.133322791298533</v>
      </c>
      <c r="H203" t="s">
        <v>3447</v>
      </c>
      <c r="I203" t="s">
        <v>3448</v>
      </c>
      <c r="J203">
        <f t="shared" si="11"/>
        <v>4.4593243456798524</v>
      </c>
      <c r="K203" s="1043" t="s">
        <v>3449</v>
      </c>
      <c r="L203" s="264" t="s">
        <v>3450</v>
      </c>
      <c r="M203" s="1043" t="s">
        <v>3451</v>
      </c>
      <c r="N203">
        <f t="shared" si="9"/>
        <v>5.6188310533847381E-2</v>
      </c>
    </row>
    <row r="204" spans="1:14" ht="15">
      <c r="A204" s="1043" t="s">
        <v>976</v>
      </c>
      <c r="B204" s="1043" t="s">
        <v>3452</v>
      </c>
      <c r="C204" s="1043" t="s">
        <v>3447</v>
      </c>
      <c r="E204" t="s">
        <v>3453</v>
      </c>
      <c r="F204" s="1043" t="s">
        <v>3454</v>
      </c>
      <c r="G204" s="264">
        <f t="shared" si="10"/>
        <v>0.13354667212196067</v>
      </c>
      <c r="H204" t="s">
        <v>3455</v>
      </c>
      <c r="I204" t="s">
        <v>3456</v>
      </c>
      <c r="J204">
        <f t="shared" si="11"/>
        <v>1.0639582480556693</v>
      </c>
      <c r="K204" s="1043" t="s">
        <v>3457</v>
      </c>
      <c r="L204" s="264" t="s">
        <v>3458</v>
      </c>
      <c r="M204" s="1043" t="s">
        <v>3459</v>
      </c>
      <c r="N204">
        <f t="shared" si="9"/>
        <v>0.40125206383796186</v>
      </c>
    </row>
    <row r="205" spans="1:14" ht="15">
      <c r="A205" s="1043" t="s">
        <v>978</v>
      </c>
      <c r="B205" s="1043" t="s">
        <v>3460</v>
      </c>
      <c r="C205" s="1043" t="s">
        <v>3455</v>
      </c>
      <c r="E205" t="s">
        <v>3461</v>
      </c>
      <c r="F205" s="1043" t="s">
        <v>3462</v>
      </c>
      <c r="G205" s="264">
        <f t="shared" si="10"/>
        <v>0.1730397898135545</v>
      </c>
      <c r="H205" t="s">
        <v>3463</v>
      </c>
      <c r="I205" t="s">
        <v>3464</v>
      </c>
      <c r="J205">
        <f t="shared" si="11"/>
        <v>1.894525822452837</v>
      </c>
      <c r="K205" s="1043" t="s">
        <v>3465</v>
      </c>
      <c r="L205" s="264" t="s">
        <v>3466</v>
      </c>
      <c r="M205" s="1043" t="s">
        <v>3467</v>
      </c>
      <c r="N205">
        <f t="shared" si="9"/>
        <v>8.0275031524297324E-2</v>
      </c>
    </row>
    <row r="206" spans="1:14" ht="15">
      <c r="A206" s="1043" t="s">
        <v>980</v>
      </c>
      <c r="B206" s="1043" t="s">
        <v>3468</v>
      </c>
      <c r="C206" s="1043" t="s">
        <v>3463</v>
      </c>
      <c r="E206" t="s">
        <v>3469</v>
      </c>
      <c r="F206" s="1043" t="s">
        <v>3470</v>
      </c>
      <c r="G206" s="264">
        <f t="shared" si="10"/>
        <v>0.11956724236710253</v>
      </c>
      <c r="H206" t="s">
        <v>3471</v>
      </c>
      <c r="I206" t="s">
        <v>3472</v>
      </c>
      <c r="J206">
        <f t="shared" si="11"/>
        <v>1.0480254778292009</v>
      </c>
      <c r="K206" s="1043" t="s">
        <v>3473</v>
      </c>
      <c r="L206" s="264" t="s">
        <v>3474</v>
      </c>
      <c r="M206" s="1043" t="s">
        <v>3475</v>
      </c>
      <c r="N206">
        <f t="shared" si="9"/>
        <v>9.0786784039916496E-2</v>
      </c>
    </row>
    <row r="207" spans="1:14" ht="15">
      <c r="A207" s="1043" t="s">
        <v>982</v>
      </c>
      <c r="B207" s="1043" t="s">
        <v>3149</v>
      </c>
      <c r="C207" s="1043" t="s">
        <v>3471</v>
      </c>
      <c r="E207" t="s">
        <v>3476</v>
      </c>
      <c r="F207" s="1043" t="s">
        <v>3477</v>
      </c>
      <c r="G207" s="264">
        <f t="shared" si="10"/>
        <v>0.35900088220559312</v>
      </c>
      <c r="H207" t="s">
        <v>3478</v>
      </c>
      <c r="I207" t="s">
        <v>3479</v>
      </c>
      <c r="J207">
        <f t="shared" si="11"/>
        <v>21.232658446354421</v>
      </c>
      <c r="K207" s="1043" t="s">
        <v>3480</v>
      </c>
      <c r="L207" s="264" t="s">
        <v>3481</v>
      </c>
      <c r="M207" s="1043" t="s">
        <v>3482</v>
      </c>
      <c r="N207">
        <f t="shared" si="9"/>
        <v>0.1803509376542968</v>
      </c>
    </row>
    <row r="208" spans="1:14" ht="15">
      <c r="A208" s="1043" t="s">
        <v>985</v>
      </c>
      <c r="B208" s="1043" t="s">
        <v>3483</v>
      </c>
      <c r="C208" s="1043" t="s">
        <v>3478</v>
      </c>
      <c r="E208" t="s">
        <v>3484</v>
      </c>
      <c r="F208" s="1043" t="s">
        <v>3485</v>
      </c>
      <c r="G208" s="264">
        <f t="shared" si="10"/>
        <v>0.13913872564184562</v>
      </c>
      <c r="H208" t="s">
        <v>3486</v>
      </c>
      <c r="I208" t="s">
        <v>3487</v>
      </c>
      <c r="J208">
        <f t="shared" si="11"/>
        <v>1.5226350494820589</v>
      </c>
      <c r="K208" s="1043" t="s">
        <v>3488</v>
      </c>
      <c r="L208" s="264" t="s">
        <v>3489</v>
      </c>
      <c r="M208" s="1043" t="s">
        <v>3490</v>
      </c>
      <c r="N208">
        <f t="shared" si="9"/>
        <v>2.1690371709768844E-2</v>
      </c>
    </row>
    <row r="209" spans="1:14" ht="15">
      <c r="A209" s="1043" t="s">
        <v>987</v>
      </c>
      <c r="B209" s="1043" t="s">
        <v>2528</v>
      </c>
      <c r="C209" s="1043" t="s">
        <v>3486</v>
      </c>
      <c r="E209" t="s">
        <v>3491</v>
      </c>
      <c r="F209" s="1043" t="s">
        <v>3492</v>
      </c>
      <c r="G209" s="264">
        <f t="shared" si="10"/>
        <v>0.17324126826990655</v>
      </c>
      <c r="H209" t="s">
        <v>3493</v>
      </c>
      <c r="I209" t="s">
        <v>3494</v>
      </c>
      <c r="J209">
        <f t="shared" si="11"/>
        <v>70.001054989023629</v>
      </c>
      <c r="K209" s="1043" t="s">
        <v>3495</v>
      </c>
      <c r="L209" s="264" t="s">
        <v>3496</v>
      </c>
      <c r="M209" s="1043" t="s">
        <v>3497</v>
      </c>
      <c r="N209">
        <f t="shared" ref="N209:N272" si="12">I209/M209</f>
        <v>0.16579591922520101</v>
      </c>
    </row>
    <row r="210" spans="1:14" ht="15">
      <c r="A210" s="1043" t="s">
        <v>990</v>
      </c>
      <c r="B210" s="1043" t="s">
        <v>3498</v>
      </c>
      <c r="C210" s="1043" t="s">
        <v>3493</v>
      </c>
      <c r="E210" t="s">
        <v>3499</v>
      </c>
      <c r="F210" s="1043" t="s">
        <v>3500</v>
      </c>
      <c r="G210" s="264">
        <f t="shared" si="10"/>
        <v>7.5390789363747844E-3</v>
      </c>
      <c r="H210" t="s">
        <v>3501</v>
      </c>
      <c r="I210" t="s">
        <v>3502</v>
      </c>
      <c r="J210" t="e">
        <f t="shared" si="11"/>
        <v>#DIV/0!</v>
      </c>
      <c r="K210" s="1043" t="s">
        <v>3503</v>
      </c>
      <c r="L210" s="264" t="s">
        <v>3504</v>
      </c>
      <c r="M210" s="1043" t="s">
        <v>3505</v>
      </c>
      <c r="N210">
        <f t="shared" si="12"/>
        <v>7.863013362824434E-3</v>
      </c>
    </row>
    <row r="211" spans="1:14" ht="15">
      <c r="A211" s="1043" t="s">
        <v>992</v>
      </c>
      <c r="B211" s="1043" t="s">
        <v>3506</v>
      </c>
      <c r="C211" s="1043" t="s">
        <v>3501</v>
      </c>
      <c r="F211" s="1053"/>
      <c r="G211" s="264" t="e">
        <f t="shared" si="10"/>
        <v>#DIV/0!</v>
      </c>
      <c r="J211" t="e">
        <f t="shared" si="11"/>
        <v>#DIV/0!</v>
      </c>
      <c r="K211" s="1043" t="s">
        <v>3507</v>
      </c>
      <c r="L211" s="264" t="s">
        <v>3508</v>
      </c>
      <c r="M211" s="1043" t="s">
        <v>3509</v>
      </c>
      <c r="N211">
        <f t="shared" si="12"/>
        <v>0</v>
      </c>
    </row>
    <row r="212" spans="1:14" ht="15">
      <c r="A212" s="1043" t="s">
        <v>994</v>
      </c>
      <c r="B212" s="1053"/>
      <c r="C212" s="1053"/>
      <c r="F212" s="1053"/>
      <c r="G212" s="264" t="e">
        <f t="shared" si="10"/>
        <v>#DIV/0!</v>
      </c>
      <c r="J212">
        <f t="shared" si="11"/>
        <v>7.9177559739831374</v>
      </c>
      <c r="K212" s="1043">
        <v>90</v>
      </c>
      <c r="L212" s="264"/>
      <c r="M212" s="1003"/>
      <c r="N212" t="e">
        <f t="shared" si="12"/>
        <v>#DIV/0!</v>
      </c>
    </row>
    <row r="213" spans="1:14" ht="15">
      <c r="A213" s="1043" t="s">
        <v>996</v>
      </c>
      <c r="B213" s="1053"/>
      <c r="C213" s="1053"/>
      <c r="E213" t="s">
        <v>3510</v>
      </c>
      <c r="F213" s="1043" t="s">
        <v>3511</v>
      </c>
      <c r="G213" s="264">
        <f t="shared" si="10"/>
        <v>7.7618694579920641E-2</v>
      </c>
      <c r="H213" t="s">
        <v>3512</v>
      </c>
      <c r="I213" t="s">
        <v>3513</v>
      </c>
      <c r="J213">
        <f t="shared" si="11"/>
        <v>0.21238996630486418</v>
      </c>
      <c r="K213" s="1043">
        <v>11</v>
      </c>
      <c r="L213" s="264"/>
      <c r="M213" s="1043" t="s">
        <v>3514</v>
      </c>
      <c r="N213">
        <f t="shared" si="12"/>
        <v>0.10185088005951562</v>
      </c>
    </row>
    <row r="214" spans="1:14" ht="15">
      <c r="A214" s="1043" t="s">
        <v>998</v>
      </c>
      <c r="B214" s="1043" t="s">
        <v>3515</v>
      </c>
      <c r="C214" s="1043" t="s">
        <v>3512</v>
      </c>
      <c r="E214" t="s">
        <v>3516</v>
      </c>
      <c r="F214" s="1043" t="s">
        <v>3517</v>
      </c>
      <c r="G214" s="264">
        <f t="shared" si="10"/>
        <v>0.2026759884352059</v>
      </c>
      <c r="H214" t="s">
        <v>3518</v>
      </c>
      <c r="I214" t="s">
        <v>3519</v>
      </c>
      <c r="J214">
        <f t="shared" si="11"/>
        <v>24.165581361829798</v>
      </c>
      <c r="K214" s="1043" t="s">
        <v>3520</v>
      </c>
      <c r="L214" s="264" t="s">
        <v>3521</v>
      </c>
      <c r="M214" s="1043" t="s">
        <v>3522</v>
      </c>
      <c r="N214">
        <f t="shared" si="12"/>
        <v>0.21452201447822569</v>
      </c>
    </row>
    <row r="215" spans="1:14" ht="15">
      <c r="A215" s="1043" t="s">
        <v>1001</v>
      </c>
      <c r="B215" s="1043" t="s">
        <v>2788</v>
      </c>
      <c r="C215" s="1043" t="s">
        <v>3518</v>
      </c>
      <c r="E215" t="s">
        <v>3523</v>
      </c>
      <c r="F215" s="1043" t="s">
        <v>3524</v>
      </c>
      <c r="G215" s="264">
        <f t="shared" si="10"/>
        <v>-0.32754958050697774</v>
      </c>
      <c r="H215" t="s">
        <v>3525</v>
      </c>
      <c r="I215" t="s">
        <v>3526</v>
      </c>
      <c r="J215">
        <f t="shared" si="11"/>
        <v>1.6821557094554191</v>
      </c>
      <c r="K215" s="1043" t="s">
        <v>3527</v>
      </c>
      <c r="L215" s="264" t="s">
        <v>3528</v>
      </c>
      <c r="M215" s="1043" t="s">
        <v>3529</v>
      </c>
      <c r="N215">
        <f t="shared" si="12"/>
        <v>4.0465162110389828E-2</v>
      </c>
    </row>
    <row r="216" spans="1:14" ht="15">
      <c r="A216" s="1043" t="s">
        <v>1003</v>
      </c>
      <c r="B216" s="1043" t="s">
        <v>3530</v>
      </c>
      <c r="C216" s="1043" t="s">
        <v>3525</v>
      </c>
      <c r="E216" t="s">
        <v>3531</v>
      </c>
      <c r="F216" s="1043" t="s">
        <v>3532</v>
      </c>
      <c r="G216" s="264">
        <f t="shared" si="10"/>
        <v>0.27258836337145592</v>
      </c>
      <c r="H216" t="s">
        <v>3533</v>
      </c>
      <c r="I216" t="s">
        <v>3534</v>
      </c>
      <c r="J216">
        <f t="shared" si="11"/>
        <v>0</v>
      </c>
      <c r="K216" s="1043" t="s">
        <v>3535</v>
      </c>
      <c r="L216" s="264" t="s">
        <v>3536</v>
      </c>
      <c r="M216" s="1043" t="s">
        <v>3537</v>
      </c>
      <c r="N216">
        <f t="shared" si="12"/>
        <v>0.20146149251340228</v>
      </c>
    </row>
    <row r="217" spans="1:14" ht="15">
      <c r="A217" s="1043" t="s">
        <v>1005</v>
      </c>
      <c r="B217" s="1043" t="s">
        <v>3538</v>
      </c>
      <c r="C217" s="1043" t="s">
        <v>3533</v>
      </c>
      <c r="E217" t="s">
        <v>3539</v>
      </c>
      <c r="F217" s="1043" t="s">
        <v>3540</v>
      </c>
      <c r="G217" s="264">
        <f t="shared" si="10"/>
        <v>0.1296805443075193</v>
      </c>
      <c r="H217">
        <v>0</v>
      </c>
      <c r="I217" t="s">
        <v>3541</v>
      </c>
      <c r="J217">
        <f t="shared" si="11"/>
        <v>7.803114870611684</v>
      </c>
      <c r="K217" s="1043" t="s">
        <v>3542</v>
      </c>
      <c r="L217" s="264" t="s">
        <v>3543</v>
      </c>
      <c r="M217" s="1043" t="s">
        <v>3544</v>
      </c>
      <c r="N217">
        <f t="shared" si="12"/>
        <v>8.8977900053423903E-2</v>
      </c>
    </row>
    <row r="218" spans="1:14" ht="15">
      <c r="A218" s="1043" t="s">
        <v>1007</v>
      </c>
      <c r="B218" s="1043" t="s">
        <v>2095</v>
      </c>
      <c r="C218" s="1043">
        <v>0</v>
      </c>
      <c r="E218" t="s">
        <v>3545</v>
      </c>
      <c r="F218" s="1043" t="s">
        <v>3546</v>
      </c>
      <c r="G218" s="264">
        <f t="shared" si="10"/>
        <v>8.6836900680238055E-2</v>
      </c>
      <c r="H218" t="s">
        <v>3547</v>
      </c>
      <c r="I218" t="s">
        <v>3548</v>
      </c>
      <c r="J218">
        <f t="shared" si="11"/>
        <v>0.52983927693030186</v>
      </c>
      <c r="K218" s="1043" t="s">
        <v>3549</v>
      </c>
      <c r="L218" s="264" t="s">
        <v>3550</v>
      </c>
      <c r="M218" s="1043" t="s">
        <v>3551</v>
      </c>
      <c r="N218">
        <f t="shared" si="12"/>
        <v>1.8761172457919459E-2</v>
      </c>
    </row>
    <row r="219" spans="1:14" ht="15">
      <c r="A219" s="1043" t="s">
        <v>1009</v>
      </c>
      <c r="B219" s="1043" t="s">
        <v>3552</v>
      </c>
      <c r="C219" s="1043" t="s">
        <v>3547</v>
      </c>
      <c r="E219" t="s">
        <v>3553</v>
      </c>
      <c r="F219" s="1043" t="s">
        <v>3554</v>
      </c>
      <c r="G219" s="264">
        <f t="shared" si="10"/>
        <v>0.5740196980987412</v>
      </c>
      <c r="H219" t="s">
        <v>3555</v>
      </c>
      <c r="I219" t="s">
        <v>3556</v>
      </c>
      <c r="J219">
        <f t="shared" si="11"/>
        <v>-23.332259305730517</v>
      </c>
      <c r="K219" s="1043" t="s">
        <v>3557</v>
      </c>
      <c r="L219" s="264" t="s">
        <v>3558</v>
      </c>
      <c r="M219" s="1043" t="s">
        <v>3559</v>
      </c>
      <c r="N219">
        <f t="shared" si="12"/>
        <v>0.32157954259845978</v>
      </c>
    </row>
    <row r="220" spans="1:14" ht="15">
      <c r="A220" s="1043" t="s">
        <v>1011</v>
      </c>
      <c r="B220" s="1043" t="s">
        <v>3560</v>
      </c>
      <c r="C220" s="1043" t="s">
        <v>3555</v>
      </c>
      <c r="E220" t="s">
        <v>3561</v>
      </c>
      <c r="F220" s="1043" t="s">
        <v>3562</v>
      </c>
      <c r="G220" s="264">
        <f t="shared" si="10"/>
        <v>-4.0935042564910859E-2</v>
      </c>
      <c r="H220" t="s">
        <v>3563</v>
      </c>
      <c r="I220" t="s">
        <v>3564</v>
      </c>
      <c r="J220">
        <f t="shared" si="11"/>
        <v>-1.7479301124989906E-2</v>
      </c>
      <c r="K220" s="1043" t="s">
        <v>3565</v>
      </c>
      <c r="L220" s="264" t="s">
        <v>3566</v>
      </c>
      <c r="M220" s="1043" t="s">
        <v>3567</v>
      </c>
      <c r="N220">
        <f t="shared" si="12"/>
        <v>-6.5175217239335392E-2</v>
      </c>
    </row>
    <row r="221" spans="1:14" ht="15">
      <c r="A221" s="1043" t="s">
        <v>1014</v>
      </c>
      <c r="B221" s="1043" t="s">
        <v>3568</v>
      </c>
      <c r="C221" s="1043" t="s">
        <v>3563</v>
      </c>
      <c r="E221" t="s">
        <v>3569</v>
      </c>
      <c r="F221" s="1043" t="s">
        <v>3570</v>
      </c>
      <c r="G221" s="264">
        <f t="shared" si="10"/>
        <v>-0.42482452925902892</v>
      </c>
      <c r="H221" t="s">
        <v>3571</v>
      </c>
      <c r="I221" t="s">
        <v>3572</v>
      </c>
      <c r="J221">
        <f t="shared" si="11"/>
        <v>-29.644229820196067</v>
      </c>
      <c r="K221" s="1043" t="s">
        <v>3573</v>
      </c>
      <c r="L221" s="264" t="s">
        <v>3574</v>
      </c>
      <c r="M221" s="1043" t="s">
        <v>3575</v>
      </c>
      <c r="N221">
        <f t="shared" si="12"/>
        <v>-7.054318906881038E-2</v>
      </c>
    </row>
    <row r="222" spans="1:14" ht="15">
      <c r="A222" s="1043" t="s">
        <v>1016</v>
      </c>
      <c r="B222" s="1043" t="s">
        <v>2359</v>
      </c>
      <c r="C222" s="1043" t="s">
        <v>3571</v>
      </c>
      <c r="E222" t="s">
        <v>3576</v>
      </c>
      <c r="F222" s="1043" t="s">
        <v>3577</v>
      </c>
      <c r="G222" s="264">
        <f t="shared" si="10"/>
        <v>-5.0139448079665645E-2</v>
      </c>
      <c r="H222" t="s">
        <v>3578</v>
      </c>
      <c r="I222" t="s">
        <v>3579</v>
      </c>
      <c r="J222">
        <f t="shared" si="11"/>
        <v>0.18714307118127202</v>
      </c>
      <c r="K222" s="1043" t="s">
        <v>3580</v>
      </c>
      <c r="L222" s="264" t="s">
        <v>3581</v>
      </c>
      <c r="M222" s="1043" t="s">
        <v>3582</v>
      </c>
      <c r="N222">
        <f t="shared" si="12"/>
        <v>-2.3202045108733338E-3</v>
      </c>
    </row>
    <row r="223" spans="1:14" ht="15">
      <c r="A223" s="1043" t="s">
        <v>1018</v>
      </c>
      <c r="B223" s="1043" t="s">
        <v>3583</v>
      </c>
      <c r="C223" s="1043" t="s">
        <v>3578</v>
      </c>
      <c r="E223" t="s">
        <v>3584</v>
      </c>
      <c r="F223" s="1043" t="s">
        <v>3585</v>
      </c>
      <c r="G223" s="264">
        <f t="shared" si="10"/>
        <v>0.31016738153258833</v>
      </c>
      <c r="H223" t="s">
        <v>3586</v>
      </c>
      <c r="I223" t="s">
        <v>3587</v>
      </c>
      <c r="J223">
        <f t="shared" si="11"/>
        <v>1.132852095440031</v>
      </c>
      <c r="K223" s="1043" t="s">
        <v>3588</v>
      </c>
      <c r="L223" s="264" t="s">
        <v>3589</v>
      </c>
      <c r="M223" s="1043" t="s">
        <v>3590</v>
      </c>
      <c r="N223">
        <f t="shared" si="12"/>
        <v>0.18119468387045856</v>
      </c>
    </row>
    <row r="224" spans="1:14" ht="15">
      <c r="A224" s="1043" t="s">
        <v>1020</v>
      </c>
      <c r="B224" s="1043" t="s">
        <v>3591</v>
      </c>
      <c r="C224" s="1043" t="s">
        <v>3586</v>
      </c>
      <c r="E224" t="s">
        <v>3592</v>
      </c>
      <c r="F224" s="1043" t="s">
        <v>3593</v>
      </c>
      <c r="G224" s="264">
        <f t="shared" si="10"/>
        <v>0.11508293464361857</v>
      </c>
      <c r="H224" t="s">
        <v>3594</v>
      </c>
      <c r="I224" t="s">
        <v>3595</v>
      </c>
      <c r="J224">
        <f t="shared" si="11"/>
        <v>3.2309889448054157</v>
      </c>
      <c r="K224" s="1043" t="s">
        <v>3596</v>
      </c>
      <c r="L224" s="264" t="s">
        <v>3597</v>
      </c>
      <c r="M224" s="1043" t="s">
        <v>3598</v>
      </c>
      <c r="N224">
        <f t="shared" si="12"/>
        <v>0.13404144062783532</v>
      </c>
    </row>
    <row r="225" spans="1:14" ht="15">
      <c r="A225" s="1043" t="s">
        <v>1022</v>
      </c>
      <c r="B225" s="1043" t="s">
        <v>3599</v>
      </c>
      <c r="C225" s="1043" t="s">
        <v>3594</v>
      </c>
      <c r="E225" t="s">
        <v>3600</v>
      </c>
      <c r="F225" s="1043" t="s">
        <v>3601</v>
      </c>
      <c r="G225" s="264">
        <f t="shared" si="10"/>
        <v>9.5751603643371097E-2</v>
      </c>
      <c r="H225" t="s">
        <v>3602</v>
      </c>
      <c r="I225" t="s">
        <v>3603</v>
      </c>
      <c r="J225">
        <f t="shared" si="11"/>
        <v>-0.15508684870594139</v>
      </c>
      <c r="K225" s="1043" t="s">
        <v>3604</v>
      </c>
      <c r="L225" s="264" t="s">
        <v>3605</v>
      </c>
      <c r="M225" s="1043" t="s">
        <v>3606</v>
      </c>
      <c r="N225">
        <f t="shared" si="12"/>
        <v>0.17592305546200779</v>
      </c>
    </row>
    <row r="226" spans="1:14" ht="15">
      <c r="A226" s="1043" t="s">
        <v>1024</v>
      </c>
      <c r="B226" s="1043" t="s">
        <v>3607</v>
      </c>
      <c r="C226" s="1043" t="s">
        <v>3602</v>
      </c>
      <c r="E226" t="s">
        <v>3608</v>
      </c>
      <c r="F226" s="1043" t="s">
        <v>3609</v>
      </c>
      <c r="G226" s="264">
        <f t="shared" si="10"/>
        <v>-0.16993079120878124</v>
      </c>
      <c r="H226" t="s">
        <v>3610</v>
      </c>
      <c r="I226" t="s">
        <v>3611</v>
      </c>
      <c r="J226">
        <f t="shared" si="11"/>
        <v>13.279469268248871</v>
      </c>
      <c r="K226" s="1043" t="s">
        <v>3612</v>
      </c>
      <c r="L226" s="264" t="s">
        <v>3613</v>
      </c>
      <c r="M226" s="1043" t="s">
        <v>3614</v>
      </c>
      <c r="N226">
        <f t="shared" si="12"/>
        <v>-0.63962281640695406</v>
      </c>
    </row>
    <row r="227" spans="1:14" ht="15">
      <c r="A227" s="1043" t="s">
        <v>1026</v>
      </c>
      <c r="B227" s="1043" t="s">
        <v>3615</v>
      </c>
      <c r="C227" s="1043" t="s">
        <v>3610</v>
      </c>
      <c r="E227" t="s">
        <v>3616</v>
      </c>
      <c r="F227" s="1043" t="s">
        <v>3617</v>
      </c>
      <c r="G227" s="264">
        <f t="shared" si="10"/>
        <v>5.1875168110026279E-2</v>
      </c>
      <c r="H227" t="s">
        <v>3618</v>
      </c>
      <c r="I227" t="s">
        <v>3619</v>
      </c>
      <c r="J227">
        <f t="shared" si="11"/>
        <v>0.47074838302343569</v>
      </c>
      <c r="K227" s="1043" t="s">
        <v>3620</v>
      </c>
      <c r="L227" s="264" t="s">
        <v>3621</v>
      </c>
      <c r="M227" s="1043" t="s">
        <v>3622</v>
      </c>
      <c r="N227">
        <f t="shared" si="12"/>
        <v>1.5982606636527688E-2</v>
      </c>
    </row>
    <row r="228" spans="1:14" ht="15">
      <c r="A228" s="1043" t="s">
        <v>1028</v>
      </c>
      <c r="B228" s="1043" t="s">
        <v>3039</v>
      </c>
      <c r="C228" s="1043" t="s">
        <v>3618</v>
      </c>
      <c r="E228" t="s">
        <v>3623</v>
      </c>
      <c r="F228" s="1043" t="s">
        <v>3624</v>
      </c>
      <c r="G228" s="264">
        <f t="shared" si="10"/>
        <v>9.7277569676844061E-2</v>
      </c>
      <c r="H228" t="s">
        <v>3625</v>
      </c>
      <c r="I228" t="s">
        <v>3626</v>
      </c>
      <c r="J228">
        <f t="shared" si="11"/>
        <v>0.19183383342246305</v>
      </c>
      <c r="K228" s="1043" t="s">
        <v>3627</v>
      </c>
      <c r="L228" s="264" t="s">
        <v>3628</v>
      </c>
      <c r="M228" s="1043" t="s">
        <v>3629</v>
      </c>
      <c r="N228">
        <f t="shared" si="12"/>
        <v>4.5232071498172918E-3</v>
      </c>
    </row>
    <row r="229" spans="1:14" ht="15">
      <c r="A229" s="1043" t="s">
        <v>1030</v>
      </c>
      <c r="B229" s="1043" t="s">
        <v>2388</v>
      </c>
      <c r="C229" s="1043" t="s">
        <v>3625</v>
      </c>
      <c r="E229" t="s">
        <v>3630</v>
      </c>
      <c r="F229" s="1043" t="s">
        <v>3631</v>
      </c>
      <c r="G229" s="264">
        <f t="shared" si="10"/>
        <v>0.20164977957063876</v>
      </c>
      <c r="H229" t="s">
        <v>3632</v>
      </c>
      <c r="I229" t="s">
        <v>3633</v>
      </c>
      <c r="J229">
        <f t="shared" si="11"/>
        <v>-26.829984402814887</v>
      </c>
      <c r="K229" s="1043" t="s">
        <v>3634</v>
      </c>
      <c r="L229" s="264" t="s">
        <v>3635</v>
      </c>
      <c r="M229" s="1043" t="s">
        <v>3636</v>
      </c>
      <c r="N229">
        <f t="shared" si="12"/>
        <v>0.2126908651084371</v>
      </c>
    </row>
    <row r="230" spans="1:14" ht="15">
      <c r="A230" s="1043" t="s">
        <v>1032</v>
      </c>
      <c r="B230" s="1043" t="s">
        <v>2388</v>
      </c>
      <c r="C230" s="1043" t="s">
        <v>3632</v>
      </c>
      <c r="E230" t="s">
        <v>3637</v>
      </c>
      <c r="F230" s="1043" t="s">
        <v>3638</v>
      </c>
      <c r="G230" s="264">
        <f t="shared" si="10"/>
        <v>-9.9673202539539082E-2</v>
      </c>
      <c r="H230" t="s">
        <v>3639</v>
      </c>
      <c r="I230" t="s">
        <v>3640</v>
      </c>
      <c r="J230">
        <f t="shared" si="11"/>
        <v>8.9864441999641596</v>
      </c>
      <c r="K230" s="1043" t="s">
        <v>3641</v>
      </c>
      <c r="L230" s="264" t="s">
        <v>3642</v>
      </c>
      <c r="M230" s="1043" t="s">
        <v>3643</v>
      </c>
      <c r="N230">
        <f t="shared" si="12"/>
        <v>-7.2889089561235399E-3</v>
      </c>
    </row>
    <row r="231" spans="1:14" ht="15">
      <c r="A231" s="1043" t="s">
        <v>1034</v>
      </c>
      <c r="B231" s="1043" t="s">
        <v>3644</v>
      </c>
      <c r="C231" s="1043" t="s">
        <v>3639</v>
      </c>
      <c r="E231" t="s">
        <v>3645</v>
      </c>
      <c r="F231" s="1043" t="s">
        <v>3646</v>
      </c>
      <c r="G231" s="264">
        <f t="shared" si="10"/>
        <v>6.1283455174714951E-2</v>
      </c>
      <c r="H231" t="s">
        <v>3647</v>
      </c>
      <c r="I231" t="s">
        <v>3648</v>
      </c>
      <c r="J231">
        <f t="shared" si="11"/>
        <v>1.980980045276354</v>
      </c>
      <c r="K231" s="1043" t="s">
        <v>3649</v>
      </c>
      <c r="L231" s="264" t="s">
        <v>3650</v>
      </c>
      <c r="M231" s="1043" t="s">
        <v>3651</v>
      </c>
      <c r="N231">
        <f t="shared" si="12"/>
        <v>3.3424218608265749E-2</v>
      </c>
    </row>
    <row r="232" spans="1:14" ht="15">
      <c r="A232" s="1043" t="s">
        <v>1036</v>
      </c>
      <c r="B232" s="1043" t="s">
        <v>3652</v>
      </c>
      <c r="C232" s="1043" t="s">
        <v>3647</v>
      </c>
      <c r="E232" t="s">
        <v>3653</v>
      </c>
      <c r="F232" s="1043" t="s">
        <v>3654</v>
      </c>
      <c r="G232" s="264">
        <f t="shared" si="10"/>
        <v>0.14122218631966282</v>
      </c>
      <c r="H232" t="s">
        <v>3655</v>
      </c>
      <c r="I232" t="s">
        <v>3656</v>
      </c>
      <c r="J232">
        <f t="shared" si="11"/>
        <v>5.2814319608229017</v>
      </c>
      <c r="K232" s="1043" t="s">
        <v>3657</v>
      </c>
      <c r="L232" s="264" t="s">
        <v>3658</v>
      </c>
      <c r="M232" s="1043" t="s">
        <v>3659</v>
      </c>
      <c r="N232">
        <f t="shared" si="12"/>
        <v>0.15117222207320083</v>
      </c>
    </row>
    <row r="233" spans="1:14" ht="15">
      <c r="A233" s="1043" t="s">
        <v>1038</v>
      </c>
      <c r="B233" s="1043" t="s">
        <v>3660</v>
      </c>
      <c r="C233" s="1043" t="s">
        <v>3655</v>
      </c>
      <c r="E233" t="s">
        <v>3661</v>
      </c>
      <c r="F233" s="1043" t="s">
        <v>3662</v>
      </c>
      <c r="G233" s="264">
        <f t="shared" si="10"/>
        <v>2.1924088364953413E-2</v>
      </c>
      <c r="H233" t="s">
        <v>3663</v>
      </c>
      <c r="I233" t="s">
        <v>3664</v>
      </c>
      <c r="J233" t="e">
        <f t="shared" si="11"/>
        <v>#DIV/0!</v>
      </c>
      <c r="K233" s="1043" t="s">
        <v>3665</v>
      </c>
      <c r="L233" s="264" t="s">
        <v>3666</v>
      </c>
      <c r="M233" s="1043" t="s">
        <v>3667</v>
      </c>
      <c r="N233">
        <f t="shared" si="12"/>
        <v>1.9759578297968063E-2</v>
      </c>
    </row>
    <row r="234" spans="1:14" ht="15">
      <c r="A234" s="1043" t="s">
        <v>1040</v>
      </c>
      <c r="B234" s="1043" t="s">
        <v>3668</v>
      </c>
      <c r="C234" s="1043" t="s">
        <v>3663</v>
      </c>
      <c r="F234" s="1053"/>
      <c r="G234" s="264" t="e">
        <f t="shared" si="10"/>
        <v>#DIV/0!</v>
      </c>
      <c r="J234" t="e">
        <f t="shared" si="11"/>
        <v>#DIV/0!</v>
      </c>
      <c r="K234" s="1003"/>
      <c r="L234" s="264" t="s">
        <v>3669</v>
      </c>
      <c r="M234" s="1003"/>
      <c r="N234" t="e">
        <f t="shared" si="12"/>
        <v>#DIV/0!</v>
      </c>
    </row>
    <row r="235" spans="1:14" ht="15">
      <c r="A235" s="1043" t="s">
        <v>1042</v>
      </c>
      <c r="B235" s="1053"/>
      <c r="C235" s="1053"/>
      <c r="F235" s="1053"/>
      <c r="G235" s="264" t="e">
        <f t="shared" si="10"/>
        <v>#DIV/0!</v>
      </c>
      <c r="J235">
        <f t="shared" si="11"/>
        <v>2.3264246896358411</v>
      </c>
      <c r="K235" s="1043" t="s">
        <v>3670</v>
      </c>
      <c r="L235" s="264"/>
      <c r="M235" s="1003"/>
      <c r="N235" t="e">
        <f t="shared" si="12"/>
        <v>#DIV/0!</v>
      </c>
    </row>
    <row r="236" spans="1:14" ht="15">
      <c r="A236" s="1043" t="s">
        <v>1045</v>
      </c>
      <c r="B236" s="1053"/>
      <c r="C236" s="1053"/>
      <c r="E236" t="s">
        <v>3671</v>
      </c>
      <c r="F236" s="1043" t="s">
        <v>3672</v>
      </c>
      <c r="G236" s="264">
        <f t="shared" si="10"/>
        <v>5.8411826377416307E-2</v>
      </c>
      <c r="H236" t="s">
        <v>3673</v>
      </c>
      <c r="I236" t="s">
        <v>3674</v>
      </c>
      <c r="J236">
        <f t="shared" si="11"/>
        <v>-5.6137653019645546</v>
      </c>
      <c r="K236" s="1043" t="s">
        <v>3675</v>
      </c>
      <c r="L236" s="264"/>
      <c r="M236" s="1043" t="s">
        <v>3676</v>
      </c>
      <c r="N236">
        <f t="shared" si="12"/>
        <v>6.9842979210542111E-2</v>
      </c>
    </row>
    <row r="237" spans="1:14" ht="15">
      <c r="A237" s="1043" t="s">
        <v>1047</v>
      </c>
      <c r="B237" s="1043" t="s">
        <v>3677</v>
      </c>
      <c r="C237" s="1043" t="s">
        <v>3673</v>
      </c>
      <c r="E237" t="s">
        <v>3678</v>
      </c>
      <c r="F237" s="1043" t="s">
        <v>3679</v>
      </c>
      <c r="G237" s="264">
        <f t="shared" si="10"/>
        <v>1.1739312572987238E-2</v>
      </c>
      <c r="H237" t="s">
        <v>3680</v>
      </c>
      <c r="I237" t="s">
        <v>3681</v>
      </c>
      <c r="J237">
        <f t="shared" si="11"/>
        <v>0.11472345351803623</v>
      </c>
      <c r="K237" s="1043" t="s">
        <v>3682</v>
      </c>
      <c r="L237" s="264" t="s">
        <v>3683</v>
      </c>
      <c r="M237" s="1043" t="s">
        <v>3684</v>
      </c>
      <c r="N237">
        <f t="shared" si="12"/>
        <v>-5.5148183317396814E-2</v>
      </c>
    </row>
    <row r="238" spans="1:14" ht="15">
      <c r="A238" s="1043" t="s">
        <v>1050</v>
      </c>
      <c r="B238" s="1043" t="s">
        <v>3685</v>
      </c>
      <c r="C238" s="1043" t="s">
        <v>3680</v>
      </c>
      <c r="E238" t="s">
        <v>3686</v>
      </c>
      <c r="F238" s="1043" t="s">
        <v>3687</v>
      </c>
      <c r="G238" s="264">
        <f t="shared" si="10"/>
        <v>7.4908916414190854E-2</v>
      </c>
      <c r="H238" t="s">
        <v>3688</v>
      </c>
      <c r="I238" t="s">
        <v>3689</v>
      </c>
      <c r="J238">
        <f t="shared" si="11"/>
        <v>-2.6297437980387124</v>
      </c>
      <c r="K238" s="1043" t="s">
        <v>3690</v>
      </c>
      <c r="L238" s="264" t="s">
        <v>3691</v>
      </c>
      <c r="M238" s="1043" t="s">
        <v>3692</v>
      </c>
      <c r="N238">
        <f t="shared" si="12"/>
        <v>8.8921826699029774E-2</v>
      </c>
    </row>
    <row r="239" spans="1:14" ht="15">
      <c r="A239" s="1043" t="s">
        <v>1052</v>
      </c>
      <c r="B239" s="1043" t="s">
        <v>2567</v>
      </c>
      <c r="C239" s="1043" t="s">
        <v>3688</v>
      </c>
      <c r="E239" t="s">
        <v>3693</v>
      </c>
      <c r="F239" s="1043" t="s">
        <v>3694</v>
      </c>
      <c r="G239" s="264">
        <f t="shared" si="10"/>
        <v>-9.2746285387410685E-2</v>
      </c>
      <c r="H239" t="s">
        <v>3695</v>
      </c>
      <c r="I239" t="s">
        <v>3696</v>
      </c>
      <c r="J239">
        <f t="shared" si="11"/>
        <v>-5.0743589014367654</v>
      </c>
      <c r="K239" s="1043" t="s">
        <v>3697</v>
      </c>
      <c r="L239" s="264" t="s">
        <v>3698</v>
      </c>
      <c r="M239" s="1043" t="s">
        <v>3699</v>
      </c>
      <c r="N239">
        <f t="shared" si="12"/>
        <v>-0.19523861609752988</v>
      </c>
    </row>
    <row r="240" spans="1:14" ht="15">
      <c r="A240" s="1043" t="s">
        <v>1054</v>
      </c>
      <c r="B240" s="1043" t="s">
        <v>3700</v>
      </c>
      <c r="C240" s="1043" t="s">
        <v>3695</v>
      </c>
      <c r="E240" t="s">
        <v>3701</v>
      </c>
      <c r="F240" s="1043" t="s">
        <v>3702</v>
      </c>
      <c r="G240" s="264">
        <f t="shared" si="10"/>
        <v>-7.1659026419758395E-2</v>
      </c>
      <c r="H240" t="s">
        <v>3703</v>
      </c>
      <c r="I240" t="s">
        <v>3704</v>
      </c>
      <c r="J240">
        <f t="shared" si="11"/>
        <v>0</v>
      </c>
      <c r="K240" s="1043" t="s">
        <v>3705</v>
      </c>
      <c r="L240" s="264" t="s">
        <v>3706</v>
      </c>
      <c r="M240" s="1043" t="s">
        <v>3707</v>
      </c>
      <c r="N240">
        <f t="shared" si="12"/>
        <v>-2.1191045704037341E-2</v>
      </c>
    </row>
    <row r="241" spans="1:14" ht="15">
      <c r="A241" s="1043" t="s">
        <v>1057</v>
      </c>
      <c r="B241" s="1043" t="s">
        <v>3708</v>
      </c>
      <c r="C241" s="1043" t="s">
        <v>3703</v>
      </c>
      <c r="E241" t="s">
        <v>3709</v>
      </c>
      <c r="F241" s="1043" t="s">
        <v>3710</v>
      </c>
      <c r="G241" s="264">
        <f t="shared" si="10"/>
        <v>-0.58333309650007814</v>
      </c>
      <c r="H241">
        <v>0</v>
      </c>
      <c r="I241" t="s">
        <v>3709</v>
      </c>
      <c r="J241">
        <f t="shared" si="11"/>
        <v>14.14670688412496</v>
      </c>
      <c r="K241" s="1003"/>
      <c r="L241" s="264" t="s">
        <v>3711</v>
      </c>
      <c r="M241" s="1043" t="s">
        <v>3712</v>
      </c>
      <c r="N241">
        <f t="shared" si="12"/>
        <v>-2.3333323860003126</v>
      </c>
    </row>
    <row r="242" spans="1:14" ht="15">
      <c r="A242" s="1043" t="s">
        <v>1059</v>
      </c>
      <c r="B242" s="1043" t="s">
        <v>2095</v>
      </c>
      <c r="C242" s="1043">
        <v>0</v>
      </c>
      <c r="E242" t="s">
        <v>3713</v>
      </c>
      <c r="F242" s="1043" t="s">
        <v>3714</v>
      </c>
      <c r="G242" s="264">
        <f t="shared" si="10"/>
        <v>0.76872924362458417</v>
      </c>
      <c r="H242" t="s">
        <v>3715</v>
      </c>
      <c r="I242" t="s">
        <v>3716</v>
      </c>
      <c r="J242">
        <f t="shared" si="11"/>
        <v>8.5993058026971578</v>
      </c>
      <c r="K242" s="1043" t="s">
        <v>3717</v>
      </c>
      <c r="L242" s="264"/>
      <c r="M242" s="1043" t="s">
        <v>3718</v>
      </c>
      <c r="N242">
        <f t="shared" si="12"/>
        <v>5.7609670455654668E-2</v>
      </c>
    </row>
    <row r="243" spans="1:14" ht="15">
      <c r="A243" s="1043" t="s">
        <v>1061</v>
      </c>
      <c r="B243" s="1043" t="s">
        <v>2309</v>
      </c>
      <c r="C243" s="1043" t="s">
        <v>3715</v>
      </c>
      <c r="E243" t="s">
        <v>3719</v>
      </c>
      <c r="F243" s="1043" t="s">
        <v>3720</v>
      </c>
      <c r="G243" s="264">
        <f t="shared" si="10"/>
        <v>3.0035956244064774E-2</v>
      </c>
      <c r="H243" t="s">
        <v>3721</v>
      </c>
      <c r="I243" t="s">
        <v>3722</v>
      </c>
      <c r="J243">
        <f t="shared" si="11"/>
        <v>-0.26905904508095552</v>
      </c>
      <c r="K243" s="1043" t="s">
        <v>3723</v>
      </c>
      <c r="L243" s="264" t="s">
        <v>3724</v>
      </c>
      <c r="M243" s="1043" t="s">
        <v>3725</v>
      </c>
      <c r="N243">
        <f t="shared" si="12"/>
        <v>5.8614255332196948E-2</v>
      </c>
    </row>
    <row r="244" spans="1:14" ht="15">
      <c r="A244" s="1043" t="s">
        <v>1063</v>
      </c>
      <c r="B244" s="1043" t="s">
        <v>3726</v>
      </c>
      <c r="C244" s="1043" t="s">
        <v>3721</v>
      </c>
      <c r="E244" t="s">
        <v>3727</v>
      </c>
      <c r="F244" s="1043" t="s">
        <v>3728</v>
      </c>
      <c r="G244" s="264">
        <f t="shared" si="10"/>
        <v>-8.889246541828022E-2</v>
      </c>
      <c r="H244" t="s">
        <v>3729</v>
      </c>
      <c r="I244" t="s">
        <v>3730</v>
      </c>
      <c r="J244">
        <f t="shared" si="11"/>
        <v>-6.8954494422334642</v>
      </c>
      <c r="K244" s="1043" t="s">
        <v>3731</v>
      </c>
      <c r="L244" s="264" t="s">
        <v>3732</v>
      </c>
      <c r="M244" s="1043" t="s">
        <v>3733</v>
      </c>
      <c r="N244">
        <f t="shared" si="12"/>
        <v>-0.21985679113629181</v>
      </c>
    </row>
    <row r="245" spans="1:14" ht="15">
      <c r="A245" s="1043" t="s">
        <v>1065</v>
      </c>
      <c r="B245" s="1043" t="s">
        <v>2301</v>
      </c>
      <c r="C245" s="1043" t="s">
        <v>3729</v>
      </c>
      <c r="E245" t="s">
        <v>3734</v>
      </c>
      <c r="F245" s="1043" t="s">
        <v>3735</v>
      </c>
      <c r="G245" s="264">
        <f t="shared" si="10"/>
        <v>-0.28170741181763803</v>
      </c>
      <c r="H245" t="s">
        <v>3736</v>
      </c>
      <c r="I245" t="s">
        <v>3737</v>
      </c>
      <c r="J245">
        <f t="shared" si="11"/>
        <v>0.35403025979049196</v>
      </c>
      <c r="K245" s="1043" t="s">
        <v>3738</v>
      </c>
      <c r="L245" s="264" t="s">
        <v>3739</v>
      </c>
      <c r="M245" s="1043" t="s">
        <v>3740</v>
      </c>
      <c r="N245">
        <f t="shared" si="12"/>
        <v>-4.6556964708726778E-2</v>
      </c>
    </row>
    <row r="246" spans="1:14" ht="15">
      <c r="A246" s="1043" t="s">
        <v>1067</v>
      </c>
      <c r="B246" s="1043" t="s">
        <v>3741</v>
      </c>
      <c r="C246" s="1043" t="s">
        <v>3736</v>
      </c>
      <c r="E246" t="s">
        <v>3742</v>
      </c>
      <c r="F246" s="1043" t="s">
        <v>3743</v>
      </c>
      <c r="G246" s="264">
        <f t="shared" si="10"/>
        <v>0.25506916180708389</v>
      </c>
      <c r="H246" t="s">
        <v>3744</v>
      </c>
      <c r="I246" t="s">
        <v>3745</v>
      </c>
      <c r="J246">
        <f t="shared" si="11"/>
        <v>2.9154010964927197</v>
      </c>
      <c r="K246" s="1043" t="s">
        <v>3746</v>
      </c>
      <c r="L246" s="264"/>
      <c r="M246" s="1043" t="s">
        <v>3747</v>
      </c>
      <c r="N246">
        <f t="shared" si="12"/>
        <v>0.14910283293190804</v>
      </c>
    </row>
    <row r="247" spans="1:14" ht="15">
      <c r="A247" s="1043" t="s">
        <v>1069</v>
      </c>
      <c r="B247" s="1043" t="s">
        <v>3016</v>
      </c>
      <c r="C247" s="1043" t="s">
        <v>3744</v>
      </c>
      <c r="E247" t="s">
        <v>3748</v>
      </c>
      <c r="F247" s="1043" t="s">
        <v>3749</v>
      </c>
      <c r="G247" s="264">
        <f t="shared" si="10"/>
        <v>9.0901275860439563E-3</v>
      </c>
      <c r="H247" t="s">
        <v>3750</v>
      </c>
      <c r="I247" t="s">
        <v>3751</v>
      </c>
      <c r="J247">
        <f t="shared" si="11"/>
        <v>13.109929825708294</v>
      </c>
      <c r="K247" s="1043" t="s">
        <v>3752</v>
      </c>
      <c r="L247" s="264" t="s">
        <v>3753</v>
      </c>
      <c r="M247" s="1043" t="s">
        <v>3754</v>
      </c>
      <c r="N247">
        <f t="shared" si="12"/>
        <v>1.596858689883637E-2</v>
      </c>
    </row>
    <row r="248" spans="1:14" ht="15">
      <c r="A248" s="1043" t="s">
        <v>1071</v>
      </c>
      <c r="B248" s="1043" t="s">
        <v>3755</v>
      </c>
      <c r="C248" s="1043" t="s">
        <v>3750</v>
      </c>
      <c r="E248" t="s">
        <v>3756</v>
      </c>
      <c r="F248" s="1043" t="s">
        <v>3757</v>
      </c>
      <c r="G248" s="264">
        <f t="shared" si="10"/>
        <v>0.12209147648344026</v>
      </c>
      <c r="H248" t="s">
        <v>3758</v>
      </c>
      <c r="I248" t="s">
        <v>3759</v>
      </c>
      <c r="J248">
        <f t="shared" si="11"/>
        <v>-3.8090627804682522</v>
      </c>
      <c r="K248" s="1043" t="s">
        <v>3760</v>
      </c>
      <c r="L248" s="264" t="s">
        <v>3761</v>
      </c>
      <c r="M248" s="1043" t="s">
        <v>3762</v>
      </c>
      <c r="N248">
        <f t="shared" si="12"/>
        <v>0.30184382750891708</v>
      </c>
    </row>
    <row r="249" spans="1:14" ht="15">
      <c r="A249" s="1043" t="s">
        <v>1073</v>
      </c>
      <c r="B249" s="1043" t="s">
        <v>3763</v>
      </c>
      <c r="C249" s="1043" t="s">
        <v>3758</v>
      </c>
      <c r="E249" t="s">
        <v>3764</v>
      </c>
      <c r="F249" s="1043" t="s">
        <v>3765</v>
      </c>
      <c r="G249" s="264">
        <f t="shared" si="10"/>
        <v>-7.1073297205523286E-2</v>
      </c>
      <c r="H249" t="s">
        <v>3766</v>
      </c>
      <c r="I249" t="s">
        <v>3767</v>
      </c>
      <c r="J249">
        <f t="shared" si="11"/>
        <v>-31.200124060173049</v>
      </c>
      <c r="K249" s="1043" t="s">
        <v>3768</v>
      </c>
      <c r="L249" s="264" t="s">
        <v>3769</v>
      </c>
      <c r="M249" s="1043" t="s">
        <v>3770</v>
      </c>
      <c r="N249">
        <f t="shared" si="12"/>
        <v>-0.15429997481213675</v>
      </c>
    </row>
    <row r="250" spans="1:14" ht="15">
      <c r="A250" s="1043" t="s">
        <v>1075</v>
      </c>
      <c r="B250" s="1043" t="s">
        <v>3771</v>
      </c>
      <c r="C250" s="1043" t="s">
        <v>3766</v>
      </c>
      <c r="E250" t="s">
        <v>3772</v>
      </c>
      <c r="F250" s="1043" t="s">
        <v>3773</v>
      </c>
      <c r="G250" s="264">
        <f t="shared" si="10"/>
        <v>-0.19258859053762623</v>
      </c>
      <c r="H250" t="s">
        <v>3774</v>
      </c>
      <c r="I250" t="s">
        <v>3775</v>
      </c>
      <c r="J250">
        <f t="shared" si="11"/>
        <v>-0.52831427988666946</v>
      </c>
      <c r="K250" s="1043" t="s">
        <v>3776</v>
      </c>
      <c r="L250" s="264" t="s">
        <v>3777</v>
      </c>
      <c r="M250" s="1043" t="s">
        <v>3778</v>
      </c>
      <c r="N250">
        <f t="shared" si="12"/>
        <v>-8.2401792606791244E-2</v>
      </c>
    </row>
    <row r="251" spans="1:14" ht="15">
      <c r="A251" s="1043" t="s">
        <v>1077</v>
      </c>
      <c r="B251" s="1043" t="s">
        <v>3779</v>
      </c>
      <c r="C251" s="1043" t="s">
        <v>3774</v>
      </c>
      <c r="E251" t="s">
        <v>3780</v>
      </c>
      <c r="F251" s="1043" t="s">
        <v>3781</v>
      </c>
      <c r="G251" s="264">
        <f t="shared" si="10"/>
        <v>-0.48220269111437719</v>
      </c>
      <c r="H251" t="s">
        <v>3782</v>
      </c>
      <c r="I251" t="s">
        <v>3783</v>
      </c>
      <c r="J251">
        <f t="shared" si="11"/>
        <v>-0.9790698269153264</v>
      </c>
      <c r="K251" s="1043" t="s">
        <v>3784</v>
      </c>
      <c r="L251" s="264" t="s">
        <v>3785</v>
      </c>
      <c r="M251" s="1043" t="s">
        <v>3786</v>
      </c>
      <c r="N251">
        <f t="shared" si="12"/>
        <v>-7.3304033159354104E-2</v>
      </c>
    </row>
    <row r="252" spans="1:14" ht="15">
      <c r="A252" s="1043" t="s">
        <v>1079</v>
      </c>
      <c r="B252" s="1043" t="s">
        <v>3787</v>
      </c>
      <c r="C252" s="1043" t="s">
        <v>3782</v>
      </c>
      <c r="E252" t="s">
        <v>3788</v>
      </c>
      <c r="F252" s="1043" t="s">
        <v>3789</v>
      </c>
      <c r="G252" s="264">
        <f t="shared" si="10"/>
        <v>-8.8845284537937497E-2</v>
      </c>
      <c r="H252" t="s">
        <v>3790</v>
      </c>
      <c r="I252" t="s">
        <v>3791</v>
      </c>
      <c r="J252">
        <f t="shared" si="11"/>
        <v>1.5071566825223806</v>
      </c>
      <c r="K252" s="1043" t="s">
        <v>3792</v>
      </c>
      <c r="L252" s="264" t="s">
        <v>3793</v>
      </c>
      <c r="M252" s="1043" t="s">
        <v>3794</v>
      </c>
      <c r="N252">
        <f t="shared" si="12"/>
        <v>-0.19443831664780151</v>
      </c>
    </row>
    <row r="253" spans="1:14" ht="15">
      <c r="A253" s="1043" t="s">
        <v>1081</v>
      </c>
      <c r="B253" s="1043" t="s">
        <v>3795</v>
      </c>
      <c r="C253" s="1043" t="s">
        <v>3790</v>
      </c>
      <c r="E253" t="s">
        <v>3796</v>
      </c>
      <c r="F253" s="1043" t="s">
        <v>3797</v>
      </c>
      <c r="G253" s="264">
        <f t="shared" si="10"/>
        <v>0.18468969935401111</v>
      </c>
      <c r="H253" t="s">
        <v>3798</v>
      </c>
      <c r="I253" t="s">
        <v>3799</v>
      </c>
      <c r="J253">
        <f t="shared" si="11"/>
        <v>-2.1266801075268815</v>
      </c>
      <c r="K253" s="1043" t="s">
        <v>3800</v>
      </c>
      <c r="L253" s="264" t="s">
        <v>2520</v>
      </c>
      <c r="M253" s="1043" t="s">
        <v>3801</v>
      </c>
      <c r="N253">
        <f t="shared" si="12"/>
        <v>0.10394072532763005</v>
      </c>
    </row>
    <row r="254" spans="1:14" ht="15">
      <c r="A254" s="1043" t="s">
        <v>1083</v>
      </c>
      <c r="B254" s="1043" t="s">
        <v>3802</v>
      </c>
      <c r="C254" s="1043" t="s">
        <v>3798</v>
      </c>
      <c r="E254" t="s">
        <v>3803</v>
      </c>
      <c r="F254" s="1061" t="s">
        <v>3804</v>
      </c>
      <c r="G254" s="264">
        <f t="shared" si="10"/>
        <v>3.6821672354948807</v>
      </c>
      <c r="H254" t="s">
        <v>3805</v>
      </c>
      <c r="I254" t="s">
        <v>3806</v>
      </c>
      <c r="J254">
        <f t="shared" si="11"/>
        <v>0</v>
      </c>
      <c r="K254" s="1043">
        <v>26</v>
      </c>
      <c r="L254" s="264" t="s">
        <v>3807</v>
      </c>
      <c r="M254" s="1043" t="s">
        <v>3808</v>
      </c>
      <c r="N254">
        <f t="shared" si="12"/>
        <v>-0.17632420902950588</v>
      </c>
    </row>
    <row r="255" spans="1:14" ht="15">
      <c r="A255" s="1043" t="s">
        <v>1085</v>
      </c>
      <c r="B255" s="1053"/>
      <c r="C255" s="1043" t="s">
        <v>3805</v>
      </c>
      <c r="E255" t="s">
        <v>3809</v>
      </c>
      <c r="F255" s="1061" t="s">
        <v>3810</v>
      </c>
      <c r="G255" s="264">
        <f t="shared" si="10"/>
        <v>5.6340762336430816E-2</v>
      </c>
      <c r="H255">
        <v>0</v>
      </c>
      <c r="I255" t="s">
        <v>3811</v>
      </c>
      <c r="J255">
        <f t="shared" si="11"/>
        <v>-7.0000000242242066</v>
      </c>
      <c r="K255" s="1043" t="s">
        <v>3812</v>
      </c>
      <c r="L255" s="264"/>
      <c r="M255" s="1043" t="s">
        <v>3813</v>
      </c>
      <c r="N255">
        <f t="shared" si="12"/>
        <v>-0.3289227287224632</v>
      </c>
    </row>
    <row r="256" spans="1:14" ht="15">
      <c r="A256" s="1043" t="s">
        <v>1087</v>
      </c>
      <c r="B256" s="1053"/>
      <c r="C256" s="1043">
        <v>0</v>
      </c>
      <c r="E256" t="s">
        <v>3814</v>
      </c>
      <c r="F256" s="1043" t="s">
        <v>3815</v>
      </c>
      <c r="G256" s="264">
        <f t="shared" si="10"/>
        <v>-1.1122790151148982</v>
      </c>
      <c r="H256" t="s">
        <v>3816</v>
      </c>
      <c r="I256" t="s">
        <v>3817</v>
      </c>
      <c r="J256">
        <f t="shared" si="11"/>
        <v>0</v>
      </c>
      <c r="K256" s="1043" t="s">
        <v>3818</v>
      </c>
      <c r="L256" s="264" t="s">
        <v>2095</v>
      </c>
      <c r="M256" s="1043" t="s">
        <v>3819</v>
      </c>
      <c r="N256">
        <f t="shared" si="12"/>
        <v>-4.8192949730175218E-2</v>
      </c>
    </row>
    <row r="257" spans="1:14" ht="15">
      <c r="A257" s="1043" t="s">
        <v>1089</v>
      </c>
      <c r="B257" s="1043" t="s">
        <v>3820</v>
      </c>
      <c r="C257" s="1043" t="s">
        <v>3816</v>
      </c>
      <c r="E257" t="s">
        <v>3821</v>
      </c>
      <c r="F257" s="1043" t="s">
        <v>3822</v>
      </c>
      <c r="G257" s="264">
        <f t="shared" si="10"/>
        <v>2.6465274797982268E-2</v>
      </c>
      <c r="H257">
        <v>0</v>
      </c>
      <c r="I257" t="s">
        <v>3823</v>
      </c>
      <c r="J257">
        <f t="shared" si="11"/>
        <v>1.5247621441429546</v>
      </c>
      <c r="K257" s="1043" t="s">
        <v>3824</v>
      </c>
      <c r="L257" s="264" t="s">
        <v>3825</v>
      </c>
      <c r="M257" s="1043" t="s">
        <v>3826</v>
      </c>
      <c r="N257">
        <f t="shared" si="12"/>
        <v>2.1978318593704804E-2</v>
      </c>
    </row>
    <row r="258" spans="1:14" ht="15">
      <c r="A258" s="1043" t="s">
        <v>1091</v>
      </c>
      <c r="B258" s="1043" t="s">
        <v>2095</v>
      </c>
      <c r="C258" s="1043">
        <v>0</v>
      </c>
      <c r="E258" t="s">
        <v>3827</v>
      </c>
      <c r="F258" s="1043" t="s">
        <v>3828</v>
      </c>
      <c r="G258" s="264">
        <f t="shared" ref="G258:G321" si="13">E258/F258</f>
        <v>0.10294979158911748</v>
      </c>
      <c r="H258" t="s">
        <v>3829</v>
      </c>
      <c r="I258" t="s">
        <v>3830</v>
      </c>
      <c r="J258">
        <f t="shared" ref="J258:J321" si="14">H259/I259</f>
        <v>2.0545356375078878</v>
      </c>
      <c r="K258" s="1043" t="s">
        <v>3831</v>
      </c>
      <c r="L258" s="264" t="s">
        <v>3832</v>
      </c>
      <c r="M258" s="1043" t="s">
        <v>3833</v>
      </c>
      <c r="N258">
        <f t="shared" si="12"/>
        <v>7.8921703460570522E-2</v>
      </c>
    </row>
    <row r="259" spans="1:14" ht="15">
      <c r="A259" s="1043" t="s">
        <v>1093</v>
      </c>
      <c r="B259" s="1043" t="s">
        <v>3834</v>
      </c>
      <c r="C259" s="1043" t="s">
        <v>3829</v>
      </c>
      <c r="E259" t="s">
        <v>3835</v>
      </c>
      <c r="F259" s="1043" t="s">
        <v>3836</v>
      </c>
      <c r="G259" s="264">
        <f t="shared" si="13"/>
        <v>0.13295542384739667</v>
      </c>
      <c r="H259" t="s">
        <v>3837</v>
      </c>
      <c r="I259" t="s">
        <v>3838</v>
      </c>
      <c r="J259">
        <f t="shared" si="14"/>
        <v>0.32396807755961887</v>
      </c>
      <c r="K259" s="1043" t="s">
        <v>3839</v>
      </c>
      <c r="L259" s="264" t="s">
        <v>2811</v>
      </c>
      <c r="M259" s="1043" t="s">
        <v>3840</v>
      </c>
      <c r="N259">
        <f t="shared" si="12"/>
        <v>3.0769230764725652E-2</v>
      </c>
    </row>
    <row r="260" spans="1:14" ht="15">
      <c r="A260" s="1043" t="s">
        <v>1095</v>
      </c>
      <c r="B260" s="1043" t="s">
        <v>3037</v>
      </c>
      <c r="C260" s="1043" t="s">
        <v>3837</v>
      </c>
      <c r="E260" t="s">
        <v>3841</v>
      </c>
      <c r="F260" s="1043" t="s">
        <v>3842</v>
      </c>
      <c r="G260" s="264">
        <f t="shared" si="13"/>
        <v>0.3054658576664171</v>
      </c>
      <c r="H260" t="s">
        <v>3843</v>
      </c>
      <c r="I260" t="s">
        <v>3844</v>
      </c>
      <c r="J260">
        <f t="shared" si="14"/>
        <v>0.59317065171385375</v>
      </c>
      <c r="K260" s="1043" t="s">
        <v>3845</v>
      </c>
      <c r="L260" s="264" t="s">
        <v>3846</v>
      </c>
      <c r="M260" s="1043" t="s">
        <v>3847</v>
      </c>
      <c r="N260">
        <f t="shared" si="12"/>
        <v>0.25241243028356819</v>
      </c>
    </row>
    <row r="261" spans="1:14" ht="15">
      <c r="A261" s="1043" t="s">
        <v>1097</v>
      </c>
      <c r="B261" s="1043" t="s">
        <v>3848</v>
      </c>
      <c r="C261" s="1043" t="s">
        <v>3843</v>
      </c>
      <c r="E261" t="s">
        <v>3849</v>
      </c>
      <c r="F261" s="1043" t="s">
        <v>3850</v>
      </c>
      <c r="G261" s="264">
        <f t="shared" si="13"/>
        <v>0.2214719807885413</v>
      </c>
      <c r="H261" t="s">
        <v>3851</v>
      </c>
      <c r="I261" t="s">
        <v>3852</v>
      </c>
      <c r="J261">
        <f t="shared" si="14"/>
        <v>1.034093236019175</v>
      </c>
      <c r="K261" s="1043" t="s">
        <v>3853</v>
      </c>
      <c r="L261" s="264" t="s">
        <v>3854</v>
      </c>
      <c r="M261" s="1043" t="s">
        <v>3855</v>
      </c>
      <c r="N261">
        <f t="shared" si="12"/>
        <v>0.15234866505001565</v>
      </c>
    </row>
    <row r="262" spans="1:14" ht="15">
      <c r="A262" s="1043" t="s">
        <v>1099</v>
      </c>
      <c r="B262" s="1043" t="s">
        <v>3856</v>
      </c>
      <c r="C262" s="1043" t="s">
        <v>3851</v>
      </c>
      <c r="E262" t="s">
        <v>3857</v>
      </c>
      <c r="F262" s="1043" t="s">
        <v>3858</v>
      </c>
      <c r="G262" s="264">
        <f t="shared" si="13"/>
        <v>0.12810335797462361</v>
      </c>
      <c r="H262" t="s">
        <v>3859</v>
      </c>
      <c r="I262" t="s">
        <v>3860</v>
      </c>
      <c r="J262">
        <f t="shared" si="14"/>
        <v>-9.3524908748919753</v>
      </c>
      <c r="K262" s="1043" t="s">
        <v>3861</v>
      </c>
      <c r="L262" s="264" t="s">
        <v>3862</v>
      </c>
      <c r="M262" s="1043" t="s">
        <v>3863</v>
      </c>
      <c r="N262">
        <f t="shared" si="12"/>
        <v>0.17139105228169238</v>
      </c>
    </row>
    <row r="263" spans="1:14" ht="15">
      <c r="A263" s="1043" t="s">
        <v>1101</v>
      </c>
      <c r="B263" s="1043" t="s">
        <v>3864</v>
      </c>
      <c r="C263" s="1043" t="s">
        <v>3859</v>
      </c>
      <c r="E263" t="s">
        <v>3865</v>
      </c>
      <c r="F263" s="1043" t="s">
        <v>3866</v>
      </c>
      <c r="G263" s="264">
        <f t="shared" si="13"/>
        <v>6.1663747376580334E-2</v>
      </c>
      <c r="H263" t="s">
        <v>3867</v>
      </c>
      <c r="I263" t="s">
        <v>3868</v>
      </c>
      <c r="J263">
        <f t="shared" si="14"/>
        <v>0.71421490962244227</v>
      </c>
      <c r="K263" s="1043" t="s">
        <v>3869</v>
      </c>
      <c r="L263" s="264" t="s">
        <v>3870</v>
      </c>
      <c r="M263" s="1043" t="s">
        <v>3871</v>
      </c>
      <c r="N263">
        <f t="shared" si="12"/>
        <v>-1.8969641201532991E-2</v>
      </c>
    </row>
    <row r="264" spans="1:14" ht="15">
      <c r="A264" s="1043" t="s">
        <v>1103</v>
      </c>
      <c r="B264" s="1043" t="s">
        <v>3872</v>
      </c>
      <c r="C264" s="1043" t="s">
        <v>3867</v>
      </c>
      <c r="E264" t="s">
        <v>3873</v>
      </c>
      <c r="F264" s="1043" t="s">
        <v>3874</v>
      </c>
      <c r="G264" s="264">
        <f t="shared" si="13"/>
        <v>0.13057765712262187</v>
      </c>
      <c r="H264" t="s">
        <v>3875</v>
      </c>
      <c r="I264" t="s">
        <v>3876</v>
      </c>
      <c r="J264">
        <f t="shared" si="14"/>
        <v>26.215887555274794</v>
      </c>
      <c r="K264" s="1043" t="s">
        <v>3877</v>
      </c>
      <c r="L264" s="264" t="s">
        <v>3878</v>
      </c>
      <c r="M264" s="1043" t="s">
        <v>3879</v>
      </c>
      <c r="N264">
        <f t="shared" si="12"/>
        <v>0.12895947825501008</v>
      </c>
    </row>
    <row r="265" spans="1:14" ht="15">
      <c r="A265" s="1043" t="s">
        <v>1105</v>
      </c>
      <c r="B265" s="1043" t="s">
        <v>3880</v>
      </c>
      <c r="C265" s="1043" t="s">
        <v>3875</v>
      </c>
      <c r="E265" t="s">
        <v>3881</v>
      </c>
      <c r="F265" s="1043" t="s">
        <v>3882</v>
      </c>
      <c r="G265" s="264">
        <f t="shared" si="13"/>
        <v>-3.1038244487800785E-2</v>
      </c>
      <c r="H265" t="s">
        <v>3883</v>
      </c>
      <c r="I265" t="s">
        <v>3884</v>
      </c>
      <c r="J265">
        <f t="shared" si="14"/>
        <v>8.0966353475977133</v>
      </c>
      <c r="K265" s="1043" t="s">
        <v>3885</v>
      </c>
      <c r="L265" s="264" t="s">
        <v>3886</v>
      </c>
      <c r="M265" s="1043" t="s">
        <v>3887</v>
      </c>
      <c r="N265">
        <f t="shared" si="12"/>
        <v>9.0894214178463863E-3</v>
      </c>
    </row>
    <row r="266" spans="1:14" ht="15">
      <c r="A266" s="1043" t="s">
        <v>1107</v>
      </c>
      <c r="B266" s="1043" t="s">
        <v>3888</v>
      </c>
      <c r="C266" s="1043" t="s">
        <v>3883</v>
      </c>
      <c r="E266" t="s">
        <v>3889</v>
      </c>
      <c r="F266" s="1043" t="s">
        <v>3890</v>
      </c>
      <c r="G266" s="264">
        <f t="shared" si="13"/>
        <v>5.0473628930268064E-2</v>
      </c>
      <c r="H266" t="s">
        <v>3891</v>
      </c>
      <c r="I266" t="s">
        <v>3892</v>
      </c>
      <c r="J266" t="e">
        <f t="shared" si="14"/>
        <v>#DIV/0!</v>
      </c>
      <c r="K266" s="1043" t="s">
        <v>3893</v>
      </c>
      <c r="L266" s="264" t="s">
        <v>3894</v>
      </c>
      <c r="M266" s="1043" t="s">
        <v>3895</v>
      </c>
      <c r="N266">
        <f t="shared" si="12"/>
        <v>0.10819495524681845</v>
      </c>
    </row>
    <row r="267" spans="1:14" ht="15">
      <c r="A267" s="1043" t="s">
        <v>1109</v>
      </c>
      <c r="B267" s="1043" t="s">
        <v>2205</v>
      </c>
      <c r="C267" s="1043" t="s">
        <v>3891</v>
      </c>
      <c r="F267" s="1053"/>
      <c r="G267" s="264" t="e">
        <f t="shared" si="13"/>
        <v>#DIV/0!</v>
      </c>
      <c r="J267">
        <f t="shared" si="14"/>
        <v>5.8088686732011077</v>
      </c>
      <c r="K267" s="1043" t="s">
        <v>3896</v>
      </c>
      <c r="L267" s="264" t="s">
        <v>3897</v>
      </c>
      <c r="M267" s="1003"/>
      <c r="N267" t="e">
        <f t="shared" si="12"/>
        <v>#DIV/0!</v>
      </c>
    </row>
    <row r="268" spans="1:14" ht="15">
      <c r="A268" s="1043" t="s">
        <v>1111</v>
      </c>
      <c r="B268" s="1053"/>
      <c r="C268" s="1053"/>
      <c r="E268" t="s">
        <v>3898</v>
      </c>
      <c r="F268" s="1061" t="s">
        <v>3899</v>
      </c>
      <c r="G268" s="264">
        <f t="shared" si="13"/>
        <v>-9.8770835883386102E-2</v>
      </c>
      <c r="H268" t="s">
        <v>3900</v>
      </c>
      <c r="I268" t="s">
        <v>3901</v>
      </c>
      <c r="J268" t="e">
        <f t="shared" si="14"/>
        <v>#DIV/0!</v>
      </c>
      <c r="K268" s="1043" t="s">
        <v>3902</v>
      </c>
      <c r="L268" s="264"/>
      <c r="M268" s="1043" t="s">
        <v>3903</v>
      </c>
      <c r="N268">
        <f t="shared" si="12"/>
        <v>0.85337095821381814</v>
      </c>
    </row>
    <row r="269" spans="1:14" ht="15">
      <c r="A269" s="1043" t="s">
        <v>1113</v>
      </c>
      <c r="B269" s="1053"/>
      <c r="C269" s="1043" t="s">
        <v>3900</v>
      </c>
      <c r="F269" s="1053"/>
      <c r="G269" s="264" t="e">
        <f t="shared" si="13"/>
        <v>#DIV/0!</v>
      </c>
      <c r="J269">
        <f t="shared" si="14"/>
        <v>0.42614619623195527</v>
      </c>
      <c r="K269" s="1043">
        <v>28</v>
      </c>
      <c r="L269" s="264"/>
      <c r="M269" s="1003"/>
      <c r="N269" t="e">
        <f t="shared" si="12"/>
        <v>#DIV/0!</v>
      </c>
    </row>
    <row r="270" spans="1:14" ht="15">
      <c r="A270" s="1043" t="s">
        <v>1115</v>
      </c>
      <c r="B270" s="1053"/>
      <c r="C270" s="1053"/>
      <c r="E270" t="s">
        <v>3904</v>
      </c>
      <c r="F270" s="1043" t="s">
        <v>3905</v>
      </c>
      <c r="G270" s="264">
        <f t="shared" si="13"/>
        <v>0.21654879906273081</v>
      </c>
      <c r="H270" t="s">
        <v>3906</v>
      </c>
      <c r="I270" t="s">
        <v>3907</v>
      </c>
      <c r="J270">
        <f t="shared" si="14"/>
        <v>-0.29853195263151466</v>
      </c>
      <c r="K270" s="1043" t="s">
        <v>3908</v>
      </c>
      <c r="L270" s="264"/>
      <c r="M270" s="1043" t="s">
        <v>3909</v>
      </c>
      <c r="N270">
        <f t="shared" si="12"/>
        <v>0.11275063321640076</v>
      </c>
    </row>
    <row r="271" spans="1:14" ht="15">
      <c r="A271" s="1043" t="s">
        <v>1117</v>
      </c>
      <c r="B271" s="1043" t="s">
        <v>3910</v>
      </c>
      <c r="C271" s="1043" t="s">
        <v>3906</v>
      </c>
      <c r="E271" t="s">
        <v>3911</v>
      </c>
      <c r="F271" s="1043" t="s">
        <v>3912</v>
      </c>
      <c r="G271" s="264">
        <f t="shared" si="13"/>
        <v>-0.15195871634508012</v>
      </c>
      <c r="H271" t="s">
        <v>3913</v>
      </c>
      <c r="I271" t="s">
        <v>3914</v>
      </c>
      <c r="J271">
        <f t="shared" si="14"/>
        <v>7.8656908618743584</v>
      </c>
      <c r="K271" s="1043" t="s">
        <v>3915</v>
      </c>
      <c r="L271" s="264" t="s">
        <v>3916</v>
      </c>
      <c r="M271" s="1043" t="s">
        <v>3917</v>
      </c>
      <c r="N271">
        <f t="shared" si="12"/>
        <v>-0.11518413552678726</v>
      </c>
    </row>
    <row r="272" spans="1:14" ht="15">
      <c r="A272" s="1043" t="s">
        <v>1119</v>
      </c>
      <c r="B272" s="1043" t="s">
        <v>2937</v>
      </c>
      <c r="C272" s="1043" t="s">
        <v>3913</v>
      </c>
      <c r="E272" t="s">
        <v>3918</v>
      </c>
      <c r="F272" s="1043" t="s">
        <v>3919</v>
      </c>
      <c r="G272" s="264">
        <f t="shared" si="13"/>
        <v>4.3901758253315618E-2</v>
      </c>
      <c r="H272" t="s">
        <v>3920</v>
      </c>
      <c r="I272" t="s">
        <v>3921</v>
      </c>
      <c r="J272">
        <f t="shared" si="14"/>
        <v>0.7949315527646359</v>
      </c>
      <c r="K272" s="1043" t="s">
        <v>3922</v>
      </c>
      <c r="L272" s="264" t="s">
        <v>3923</v>
      </c>
      <c r="M272" s="1043" t="s">
        <v>3924</v>
      </c>
      <c r="N272">
        <f t="shared" si="12"/>
        <v>5.6149406067178567E-2</v>
      </c>
    </row>
    <row r="273" spans="1:14" ht="15">
      <c r="A273" s="1043" t="s">
        <v>1121</v>
      </c>
      <c r="B273" s="1043" t="s">
        <v>3925</v>
      </c>
      <c r="C273" s="1043" t="s">
        <v>3920</v>
      </c>
      <c r="E273" t="s">
        <v>3926</v>
      </c>
      <c r="F273" s="1043" t="s">
        <v>3927</v>
      </c>
      <c r="G273" s="264">
        <f t="shared" si="13"/>
        <v>0.19516633658885396</v>
      </c>
      <c r="H273" t="s">
        <v>3928</v>
      </c>
      <c r="I273" t="s">
        <v>3929</v>
      </c>
      <c r="J273" t="e">
        <f t="shared" si="14"/>
        <v>#DIV/0!</v>
      </c>
      <c r="K273" s="1043" t="s">
        <v>3930</v>
      </c>
      <c r="L273" s="264" t="s">
        <v>3931</v>
      </c>
      <c r="M273" s="1043" t="s">
        <v>3932</v>
      </c>
      <c r="N273">
        <f t="shared" ref="N273:N336" si="15">I273/M273</f>
        <v>8.7411244327055021E-2</v>
      </c>
    </row>
    <row r="274" spans="1:14" ht="15">
      <c r="A274" s="1043" t="s">
        <v>1123</v>
      </c>
      <c r="B274" s="1043" t="s">
        <v>2804</v>
      </c>
      <c r="C274" s="1043" t="s">
        <v>3928</v>
      </c>
      <c r="F274" s="1053"/>
      <c r="G274" s="264" t="e">
        <f t="shared" si="13"/>
        <v>#DIV/0!</v>
      </c>
      <c r="J274">
        <f t="shared" si="14"/>
        <v>-0.4202215434615324</v>
      </c>
      <c r="K274" s="1043">
        <v>63</v>
      </c>
      <c r="L274" s="264" t="s">
        <v>3933</v>
      </c>
      <c r="M274" s="1003"/>
      <c r="N274" t="e">
        <f t="shared" si="15"/>
        <v>#DIV/0!</v>
      </c>
    </row>
    <row r="275" spans="1:14" ht="15">
      <c r="A275" s="1043" t="s">
        <v>1125</v>
      </c>
      <c r="B275" s="1053"/>
      <c r="C275" s="1053"/>
      <c r="E275" t="s">
        <v>3934</v>
      </c>
      <c r="F275" s="1043" t="s">
        <v>3935</v>
      </c>
      <c r="G275" s="264">
        <f t="shared" si="13"/>
        <v>-0.17034807491329387</v>
      </c>
      <c r="H275" t="s">
        <v>3936</v>
      </c>
      <c r="I275" t="s">
        <v>3937</v>
      </c>
      <c r="J275">
        <f t="shared" si="14"/>
        <v>0.52033508628027314</v>
      </c>
      <c r="K275" s="1043" t="s">
        <v>3938</v>
      </c>
      <c r="L275" s="264"/>
      <c r="M275" s="1043" t="s">
        <v>3939</v>
      </c>
      <c r="N275">
        <f t="shared" si="15"/>
        <v>-0.57540013169666981</v>
      </c>
    </row>
    <row r="276" spans="1:14" ht="15">
      <c r="A276" s="1043" t="s">
        <v>1127</v>
      </c>
      <c r="B276" s="1043" t="s">
        <v>3940</v>
      </c>
      <c r="C276" s="1043" t="s">
        <v>3936</v>
      </c>
      <c r="E276" t="s">
        <v>3941</v>
      </c>
      <c r="F276" s="1043" t="s">
        <v>3942</v>
      </c>
      <c r="G276" s="264">
        <f t="shared" si="13"/>
        <v>0.1271555885992478</v>
      </c>
      <c r="H276" t="s">
        <v>3943</v>
      </c>
      <c r="I276" t="s">
        <v>3944</v>
      </c>
      <c r="J276">
        <f t="shared" si="14"/>
        <v>-3.8927170593123464</v>
      </c>
      <c r="K276" s="1043" t="s">
        <v>3945</v>
      </c>
      <c r="L276" s="264" t="s">
        <v>3946</v>
      </c>
      <c r="M276" s="1043" t="s">
        <v>3947</v>
      </c>
      <c r="N276">
        <f t="shared" si="15"/>
        <v>7.1958587676550043E-2</v>
      </c>
    </row>
    <row r="277" spans="1:14" ht="15">
      <c r="A277" s="1043" t="s">
        <v>1129</v>
      </c>
      <c r="B277" s="1043" t="s">
        <v>3948</v>
      </c>
      <c r="C277" s="1043" t="s">
        <v>3943</v>
      </c>
      <c r="E277" t="s">
        <v>3949</v>
      </c>
      <c r="F277" s="1043" t="s">
        <v>3950</v>
      </c>
      <c r="G277" s="264">
        <f t="shared" si="13"/>
        <v>-5.4360159338416467E-2</v>
      </c>
      <c r="H277" t="s">
        <v>3951</v>
      </c>
      <c r="I277" t="s">
        <v>3952</v>
      </c>
      <c r="J277">
        <f t="shared" si="14"/>
        <v>9.2548049843150473</v>
      </c>
      <c r="K277" s="1043" t="s">
        <v>3953</v>
      </c>
      <c r="L277" s="264" t="s">
        <v>3954</v>
      </c>
      <c r="M277" s="1043" t="s">
        <v>3955</v>
      </c>
      <c r="N277">
        <f t="shared" si="15"/>
        <v>-0.3365048591899526</v>
      </c>
    </row>
    <row r="278" spans="1:14" ht="15">
      <c r="A278" s="1043" t="s">
        <v>1131</v>
      </c>
      <c r="B278" s="1043" t="s">
        <v>3265</v>
      </c>
      <c r="C278" s="1043" t="s">
        <v>3951</v>
      </c>
      <c r="E278" t="s">
        <v>3956</v>
      </c>
      <c r="F278" s="1043" t="s">
        <v>3957</v>
      </c>
      <c r="G278" s="264">
        <f t="shared" si="13"/>
        <v>5.3418146733629546E-2</v>
      </c>
      <c r="H278" t="s">
        <v>3958</v>
      </c>
      <c r="I278" t="s">
        <v>3959</v>
      </c>
      <c r="J278">
        <f t="shared" si="14"/>
        <v>6.3934159368399586</v>
      </c>
      <c r="K278" s="1043" t="s">
        <v>3960</v>
      </c>
      <c r="L278" s="264" t="s">
        <v>3961</v>
      </c>
      <c r="M278" s="1043" t="s">
        <v>3962</v>
      </c>
      <c r="N278">
        <f t="shared" si="15"/>
        <v>1.5554807617831927E-2</v>
      </c>
    </row>
    <row r="279" spans="1:14" ht="15">
      <c r="A279" s="1043" t="s">
        <v>1133</v>
      </c>
      <c r="B279" s="1043" t="s">
        <v>3963</v>
      </c>
      <c r="C279" s="1043" t="s">
        <v>3958</v>
      </c>
      <c r="E279" t="s">
        <v>3964</v>
      </c>
      <c r="F279" s="1061" t="s">
        <v>3965</v>
      </c>
      <c r="G279" s="264">
        <f t="shared" si="13"/>
        <v>-15.016320676797836</v>
      </c>
      <c r="H279" t="s">
        <v>3966</v>
      </c>
      <c r="I279" t="s">
        <v>3967</v>
      </c>
      <c r="J279" t="e">
        <f t="shared" si="14"/>
        <v>#DIV/0!</v>
      </c>
      <c r="K279" s="1043" t="s">
        <v>3968</v>
      </c>
      <c r="L279" s="264" t="s">
        <v>3969</v>
      </c>
      <c r="M279" s="1043" t="s">
        <v>3970</v>
      </c>
      <c r="N279">
        <f t="shared" si="15"/>
        <v>0.18705002009309576</v>
      </c>
    </row>
    <row r="280" spans="1:14" ht="15">
      <c r="A280" s="1043" t="s">
        <v>1135</v>
      </c>
      <c r="B280" s="1053"/>
      <c r="C280" s="1043" t="s">
        <v>3966</v>
      </c>
      <c r="F280" s="1053"/>
      <c r="G280" s="264" t="e">
        <f t="shared" si="13"/>
        <v>#DIV/0!</v>
      </c>
      <c r="J280" t="e">
        <f t="shared" si="14"/>
        <v>#DIV/0!</v>
      </c>
      <c r="K280" s="1043" t="s">
        <v>3971</v>
      </c>
      <c r="L280" s="264" t="s">
        <v>3972</v>
      </c>
      <c r="M280" s="1003"/>
      <c r="N280" t="e">
        <f t="shared" si="15"/>
        <v>#DIV/0!</v>
      </c>
    </row>
    <row r="281" spans="1:14" ht="15">
      <c r="A281" s="1043" t="s">
        <v>1137</v>
      </c>
      <c r="B281" s="1053"/>
      <c r="C281" s="1053"/>
      <c r="F281" s="1053"/>
      <c r="G281" s="264" t="e">
        <f t="shared" si="13"/>
        <v>#DIV/0!</v>
      </c>
      <c r="J281" t="e">
        <f t="shared" si="14"/>
        <v>#DIV/0!</v>
      </c>
      <c r="K281" s="1043" t="s">
        <v>3973</v>
      </c>
      <c r="L281" s="264"/>
      <c r="M281" s="1003"/>
      <c r="N281" t="e">
        <f t="shared" si="15"/>
        <v>#DIV/0!</v>
      </c>
    </row>
    <row r="282" spans="1:14" ht="15">
      <c r="A282" s="1043" t="s">
        <v>1139</v>
      </c>
      <c r="B282" s="1053"/>
      <c r="C282" s="1053"/>
      <c r="F282" s="1053"/>
      <c r="G282" s="264" t="e">
        <f t="shared" si="13"/>
        <v>#DIV/0!</v>
      </c>
      <c r="J282" t="e">
        <f t="shared" si="14"/>
        <v>#DIV/0!</v>
      </c>
      <c r="K282" s="1043" t="s">
        <v>3974</v>
      </c>
      <c r="L282" s="264"/>
      <c r="M282" s="1003"/>
      <c r="N282" t="e">
        <f t="shared" si="15"/>
        <v>#DIV/0!</v>
      </c>
    </row>
    <row r="283" spans="1:14" ht="15">
      <c r="A283" s="1043" t="s">
        <v>1141</v>
      </c>
      <c r="B283" s="1053"/>
      <c r="C283" s="1053"/>
      <c r="F283" s="1053"/>
      <c r="G283" s="264" t="e">
        <f t="shared" si="13"/>
        <v>#DIV/0!</v>
      </c>
      <c r="J283">
        <f t="shared" si="14"/>
        <v>-3.8332321297826479</v>
      </c>
      <c r="K283" s="1043" t="s">
        <v>3975</v>
      </c>
      <c r="L283" s="264"/>
      <c r="M283" s="1003"/>
      <c r="N283" t="e">
        <f t="shared" si="15"/>
        <v>#DIV/0!</v>
      </c>
    </row>
    <row r="284" spans="1:14" ht="15">
      <c r="A284" s="1043" t="s">
        <v>1143</v>
      </c>
      <c r="B284" s="1053"/>
      <c r="C284" s="1053"/>
      <c r="E284" t="s">
        <v>3976</v>
      </c>
      <c r="F284" s="1061" t="s">
        <v>3977</v>
      </c>
      <c r="G284" s="264">
        <f t="shared" si="13"/>
        <v>3.3568286417133408</v>
      </c>
      <c r="H284" t="s">
        <v>3978</v>
      </c>
      <c r="I284" t="s">
        <v>3979</v>
      </c>
      <c r="J284">
        <f t="shared" si="14"/>
        <v>2.3765040819418557</v>
      </c>
      <c r="K284" s="1043" t="s">
        <v>3980</v>
      </c>
      <c r="L284" s="264"/>
      <c r="M284" s="1043" t="s">
        <v>3981</v>
      </c>
      <c r="N284">
        <f t="shared" si="15"/>
        <v>-1.6520564858945093</v>
      </c>
    </row>
    <row r="285" spans="1:14" ht="15">
      <c r="A285" s="1043" t="s">
        <v>1145</v>
      </c>
      <c r="B285" s="1053"/>
      <c r="C285" s="1043" t="s">
        <v>3978</v>
      </c>
      <c r="E285" t="s">
        <v>3982</v>
      </c>
      <c r="F285" s="1043" t="s">
        <v>3983</v>
      </c>
      <c r="G285" s="264">
        <f t="shared" si="13"/>
        <v>0.19456085684419008</v>
      </c>
      <c r="H285" t="s">
        <v>3984</v>
      </c>
      <c r="I285" t="s">
        <v>3985</v>
      </c>
      <c r="J285">
        <f t="shared" si="14"/>
        <v>1.4419475736105154</v>
      </c>
      <c r="K285" s="1043" t="s">
        <v>3986</v>
      </c>
      <c r="L285" s="264" t="s">
        <v>3597</v>
      </c>
      <c r="M285" s="1043" t="s">
        <v>3987</v>
      </c>
      <c r="N285">
        <f t="shared" si="15"/>
        <v>4.8073932742465832E-2</v>
      </c>
    </row>
    <row r="286" spans="1:14" ht="15">
      <c r="A286" s="1043" t="s">
        <v>1147</v>
      </c>
      <c r="B286" s="1043" t="s">
        <v>2675</v>
      </c>
      <c r="C286" s="1043" t="s">
        <v>3984</v>
      </c>
      <c r="E286" t="s">
        <v>3988</v>
      </c>
      <c r="F286" s="1043" t="s">
        <v>3989</v>
      </c>
      <c r="G286" s="264">
        <f t="shared" si="13"/>
        <v>4.0816558853822134E-2</v>
      </c>
      <c r="H286" t="s">
        <v>3990</v>
      </c>
      <c r="I286" t="s">
        <v>3991</v>
      </c>
      <c r="J286">
        <f t="shared" si="14"/>
        <v>10.074214585525022</v>
      </c>
      <c r="K286" s="1043" t="s">
        <v>3992</v>
      </c>
      <c r="L286" s="264" t="s">
        <v>3993</v>
      </c>
      <c r="M286" s="1043" t="s">
        <v>3994</v>
      </c>
      <c r="N286">
        <f t="shared" si="15"/>
        <v>2.4527027439581121E-2</v>
      </c>
    </row>
    <row r="287" spans="1:14" ht="15">
      <c r="A287" s="1043" t="s">
        <v>1149</v>
      </c>
      <c r="B287" s="1043" t="s">
        <v>3995</v>
      </c>
      <c r="C287" s="1043" t="s">
        <v>3990</v>
      </c>
      <c r="E287" t="s">
        <v>3996</v>
      </c>
      <c r="F287" s="1043" t="s">
        <v>3997</v>
      </c>
      <c r="G287" s="264">
        <f t="shared" si="13"/>
        <v>3.4677117714946575E-2</v>
      </c>
      <c r="H287" t="s">
        <v>3998</v>
      </c>
      <c r="I287" t="s">
        <v>3999</v>
      </c>
      <c r="J287">
        <f t="shared" si="14"/>
        <v>-12.599851194436935</v>
      </c>
      <c r="K287" s="1043" t="s">
        <v>4000</v>
      </c>
      <c r="L287" s="264" t="s">
        <v>4001</v>
      </c>
      <c r="M287" s="1043" t="s">
        <v>4002</v>
      </c>
      <c r="N287">
        <f t="shared" si="15"/>
        <v>1.1506966687608578E-2</v>
      </c>
    </row>
    <row r="288" spans="1:14" ht="15">
      <c r="A288" s="1043" t="s">
        <v>1151</v>
      </c>
      <c r="B288" s="1043" t="s">
        <v>2015</v>
      </c>
      <c r="C288" s="1043" t="s">
        <v>3998</v>
      </c>
      <c r="E288" t="s">
        <v>4003</v>
      </c>
      <c r="F288" s="1043" t="s">
        <v>4004</v>
      </c>
      <c r="G288" s="264">
        <f t="shared" si="13"/>
        <v>-5.809548527170633E-3</v>
      </c>
      <c r="H288" t="s">
        <v>4005</v>
      </c>
      <c r="I288" t="s">
        <v>4006</v>
      </c>
      <c r="J288">
        <f t="shared" si="14"/>
        <v>1.1204709101684991</v>
      </c>
      <c r="K288" s="1043" t="s">
        <v>4007</v>
      </c>
      <c r="L288" s="264" t="s">
        <v>4008</v>
      </c>
      <c r="M288" s="1043" t="s">
        <v>4009</v>
      </c>
      <c r="N288">
        <f t="shared" si="15"/>
        <v>-3.5018060247394324E-2</v>
      </c>
    </row>
    <row r="289" spans="1:14" ht="15">
      <c r="A289" s="1043" t="s">
        <v>1153</v>
      </c>
      <c r="B289" s="1043" t="s">
        <v>4010</v>
      </c>
      <c r="C289" s="1043" t="s">
        <v>4005</v>
      </c>
      <c r="E289" t="s">
        <v>4011</v>
      </c>
      <c r="F289" s="1043" t="s">
        <v>4012</v>
      </c>
      <c r="G289" s="264">
        <f t="shared" si="13"/>
        <v>0.1416534031328304</v>
      </c>
      <c r="H289" t="s">
        <v>4013</v>
      </c>
      <c r="I289" t="s">
        <v>4014</v>
      </c>
      <c r="J289">
        <f t="shared" si="14"/>
        <v>5.5584100531447493</v>
      </c>
      <c r="K289" s="1043" t="s">
        <v>4015</v>
      </c>
      <c r="L289" s="264" t="s">
        <v>4016</v>
      </c>
      <c r="M289" s="1043" t="s">
        <v>4017</v>
      </c>
      <c r="N289">
        <f t="shared" si="15"/>
        <v>9.5205787750820184E-2</v>
      </c>
    </row>
    <row r="290" spans="1:14" ht="15">
      <c r="A290" s="1043" t="s">
        <v>1155</v>
      </c>
      <c r="B290" s="1043" t="s">
        <v>4018</v>
      </c>
      <c r="C290" s="1043" t="s">
        <v>4013</v>
      </c>
      <c r="E290" t="s">
        <v>4019</v>
      </c>
      <c r="F290" s="1043" t="s">
        <v>4020</v>
      </c>
      <c r="G290" s="264">
        <f t="shared" si="13"/>
        <v>1.1045386807464599E-2</v>
      </c>
      <c r="H290" t="s">
        <v>4021</v>
      </c>
      <c r="I290" t="s">
        <v>4022</v>
      </c>
      <c r="J290">
        <f t="shared" si="14"/>
        <v>-1.7070839928623971</v>
      </c>
      <c r="K290" s="1043" t="s">
        <v>4023</v>
      </c>
      <c r="L290" s="264"/>
      <c r="M290" s="1043" t="s">
        <v>4024</v>
      </c>
      <c r="N290">
        <f t="shared" si="15"/>
        <v>1.5663538901864626E-2</v>
      </c>
    </row>
    <row r="291" spans="1:14" ht="15">
      <c r="A291" s="1043" t="s">
        <v>1157</v>
      </c>
      <c r="B291" s="1043" t="s">
        <v>4025</v>
      </c>
      <c r="C291" s="1043" t="s">
        <v>4021</v>
      </c>
      <c r="E291" t="s">
        <v>4026</v>
      </c>
      <c r="F291" s="1043" t="s">
        <v>4027</v>
      </c>
      <c r="G291" s="264">
        <f t="shared" si="13"/>
        <v>-1.1395331527994099</v>
      </c>
      <c r="H291" t="s">
        <v>4028</v>
      </c>
      <c r="I291" t="s">
        <v>4029</v>
      </c>
      <c r="J291">
        <f t="shared" si="14"/>
        <v>6.5219033098677173</v>
      </c>
      <c r="K291" s="1043" t="s">
        <v>4030</v>
      </c>
      <c r="L291" s="264" t="s">
        <v>4031</v>
      </c>
      <c r="M291" s="1043" t="s">
        <v>4032</v>
      </c>
      <c r="N291">
        <f t="shared" si="15"/>
        <v>-2.2140675266752523</v>
      </c>
    </row>
    <row r="292" spans="1:14" ht="15">
      <c r="A292" s="1043" t="s">
        <v>1159</v>
      </c>
      <c r="B292" s="1043" t="s">
        <v>4033</v>
      </c>
      <c r="C292" s="1043" t="s">
        <v>4028</v>
      </c>
      <c r="E292" t="s">
        <v>4034</v>
      </c>
      <c r="F292" s="1043" t="s">
        <v>4035</v>
      </c>
      <c r="G292" s="264">
        <f t="shared" si="13"/>
        <v>0.23033708029398645</v>
      </c>
      <c r="H292" t="s">
        <v>4036</v>
      </c>
      <c r="I292" t="s">
        <v>4037</v>
      </c>
      <c r="J292">
        <f t="shared" si="14"/>
        <v>5.6441803523651668</v>
      </c>
      <c r="K292" s="1043" t="s">
        <v>4038</v>
      </c>
      <c r="L292" s="264" t="s">
        <v>4039</v>
      </c>
      <c r="M292" s="1043" t="s">
        <v>4040</v>
      </c>
      <c r="N292">
        <f t="shared" si="15"/>
        <v>3.63526537792229E-2</v>
      </c>
    </row>
    <row r="293" spans="1:14" ht="15">
      <c r="A293" s="1043" t="s">
        <v>1161</v>
      </c>
      <c r="B293" s="1043" t="s">
        <v>4041</v>
      </c>
      <c r="C293" s="1043" t="s">
        <v>4036</v>
      </c>
      <c r="E293" t="s">
        <v>4042</v>
      </c>
      <c r="F293" s="1043" t="s">
        <v>4043</v>
      </c>
      <c r="G293" s="264">
        <f t="shared" si="13"/>
        <v>7.9607325701499129E-2</v>
      </c>
      <c r="H293" t="s">
        <v>4044</v>
      </c>
      <c r="I293" t="s">
        <v>4045</v>
      </c>
      <c r="J293">
        <f t="shared" si="14"/>
        <v>-5.6917771865772169</v>
      </c>
      <c r="K293" s="1043" t="s">
        <v>4046</v>
      </c>
      <c r="L293" s="264" t="s">
        <v>4047</v>
      </c>
      <c r="M293" s="1043" t="s">
        <v>4048</v>
      </c>
      <c r="N293">
        <f t="shared" si="15"/>
        <v>4.8441441924544748E-2</v>
      </c>
    </row>
    <row r="294" spans="1:14" ht="15">
      <c r="A294" s="1043" t="s">
        <v>1163</v>
      </c>
      <c r="B294" s="1043" t="s">
        <v>4049</v>
      </c>
      <c r="C294" s="1043" t="s">
        <v>4044</v>
      </c>
      <c r="E294" t="s">
        <v>4050</v>
      </c>
      <c r="F294" s="1043" t="s">
        <v>4051</v>
      </c>
      <c r="G294" s="264">
        <f t="shared" si="13"/>
        <v>-5.809885939126346</v>
      </c>
      <c r="H294" t="s">
        <v>4052</v>
      </c>
      <c r="I294" t="s">
        <v>4053</v>
      </c>
      <c r="J294">
        <f t="shared" si="14"/>
        <v>-33.110837438423644</v>
      </c>
      <c r="K294" s="1043" t="s">
        <v>4054</v>
      </c>
      <c r="L294" s="264" t="s">
        <v>3795</v>
      </c>
      <c r="M294" s="1043" t="s">
        <v>4055</v>
      </c>
      <c r="N294">
        <f t="shared" si="15"/>
        <v>-8.2951945107654759E-2</v>
      </c>
    </row>
    <row r="295" spans="1:14" ht="15">
      <c r="A295" s="1043" t="s">
        <v>1165</v>
      </c>
      <c r="B295" s="1043" t="s">
        <v>4056</v>
      </c>
      <c r="C295" s="1043" t="s">
        <v>4052</v>
      </c>
      <c r="E295" t="s">
        <v>4057</v>
      </c>
      <c r="F295" s="1043" t="s">
        <v>4058</v>
      </c>
      <c r="G295" s="264">
        <f t="shared" si="13"/>
        <v>-3.5288800506191813E-2</v>
      </c>
      <c r="H295" t="s">
        <v>4059</v>
      </c>
      <c r="I295" t="s">
        <v>4060</v>
      </c>
      <c r="J295">
        <f t="shared" si="14"/>
        <v>-21.5869222858657</v>
      </c>
      <c r="K295" s="1043" t="s">
        <v>4061</v>
      </c>
      <c r="L295" s="264" t="s">
        <v>4062</v>
      </c>
      <c r="M295" s="1043" t="s">
        <v>4063</v>
      </c>
      <c r="N295">
        <f t="shared" si="15"/>
        <v>-1.0455922876838157E-2</v>
      </c>
    </row>
    <row r="296" spans="1:14" ht="15">
      <c r="A296" s="1043" t="s">
        <v>1167</v>
      </c>
      <c r="B296" s="1043" t="s">
        <v>4064</v>
      </c>
      <c r="C296" s="1043" t="s">
        <v>4059</v>
      </c>
      <c r="E296" t="s">
        <v>4065</v>
      </c>
      <c r="F296" s="1061" t="s">
        <v>4066</v>
      </c>
      <c r="G296" s="264">
        <f t="shared" si="13"/>
        <v>12.325041545399987</v>
      </c>
      <c r="H296" t="s">
        <v>4067</v>
      </c>
      <c r="I296" t="s">
        <v>4068</v>
      </c>
      <c r="J296">
        <f t="shared" si="14"/>
        <v>2.3012369969589037</v>
      </c>
      <c r="K296" s="1043" t="s">
        <v>4069</v>
      </c>
      <c r="L296" s="264" t="s">
        <v>4070</v>
      </c>
      <c r="M296" s="1043" t="s">
        <v>4071</v>
      </c>
      <c r="N296">
        <f t="shared" si="15"/>
        <v>-2.336913161671688E-2</v>
      </c>
    </row>
    <row r="297" spans="1:14" ht="15">
      <c r="A297" s="1043" t="s">
        <v>1169</v>
      </c>
      <c r="B297" s="1053"/>
      <c r="C297" s="1043" t="s">
        <v>4067</v>
      </c>
      <c r="E297" t="s">
        <v>4072</v>
      </c>
      <c r="F297" s="1043" t="s">
        <v>4073</v>
      </c>
      <c r="G297" s="264">
        <f t="shared" si="13"/>
        <v>0.13865637826958715</v>
      </c>
      <c r="H297" t="s">
        <v>4074</v>
      </c>
      <c r="I297" t="s">
        <v>4075</v>
      </c>
      <c r="J297">
        <f t="shared" si="14"/>
        <v>20.571335339747151</v>
      </c>
      <c r="K297" s="1043" t="s">
        <v>4076</v>
      </c>
      <c r="L297" s="264"/>
      <c r="M297" s="1043" t="s">
        <v>4077</v>
      </c>
      <c r="N297">
        <f t="shared" si="15"/>
        <v>0.2133966113935655</v>
      </c>
    </row>
    <row r="298" spans="1:14" ht="15">
      <c r="A298" s="1043" t="s">
        <v>1171</v>
      </c>
      <c r="B298" s="1043" t="s">
        <v>4078</v>
      </c>
      <c r="C298" s="1043" t="s">
        <v>4074</v>
      </c>
      <c r="E298" t="s">
        <v>4079</v>
      </c>
      <c r="F298" s="1043" t="s">
        <v>4080</v>
      </c>
      <c r="G298" s="264">
        <f t="shared" si="13"/>
        <v>-6.8800105475864237E-2</v>
      </c>
      <c r="H298" t="s">
        <v>4081</v>
      </c>
      <c r="I298" t="s">
        <v>4082</v>
      </c>
      <c r="J298">
        <f t="shared" si="14"/>
        <v>-3.026236376990548</v>
      </c>
      <c r="K298" s="1043" t="s">
        <v>4083</v>
      </c>
      <c r="L298" s="264" t="s">
        <v>3677</v>
      </c>
      <c r="M298" s="1043" t="s">
        <v>4084</v>
      </c>
      <c r="N298">
        <f t="shared" si="15"/>
        <v>7.4761010666765564E-3</v>
      </c>
    </row>
    <row r="299" spans="1:14" ht="15">
      <c r="A299" s="1043" t="s">
        <v>1173</v>
      </c>
      <c r="B299" s="1043" t="s">
        <v>4085</v>
      </c>
      <c r="C299" s="1043" t="s">
        <v>4081</v>
      </c>
      <c r="E299" t="s">
        <v>4086</v>
      </c>
      <c r="F299" s="1043" t="s">
        <v>4087</v>
      </c>
      <c r="G299" s="264">
        <f t="shared" si="13"/>
        <v>-6.4951918092882158E-2</v>
      </c>
      <c r="H299" t="s">
        <v>4088</v>
      </c>
      <c r="I299" t="s">
        <v>4089</v>
      </c>
      <c r="J299">
        <f t="shared" si="14"/>
        <v>3.5699393432796311</v>
      </c>
      <c r="K299" s="1043" t="s">
        <v>4090</v>
      </c>
      <c r="L299" s="264" t="s">
        <v>4091</v>
      </c>
      <c r="M299" s="1043" t="s">
        <v>4092</v>
      </c>
      <c r="N299">
        <f t="shared" si="15"/>
        <v>-7.7668798269997355E-2</v>
      </c>
    </row>
    <row r="300" spans="1:14" ht="15">
      <c r="A300" s="1043" t="s">
        <v>1175</v>
      </c>
      <c r="B300" s="1043" t="s">
        <v>2627</v>
      </c>
      <c r="C300" s="1043" t="s">
        <v>4088</v>
      </c>
      <c r="E300" t="s">
        <v>4093</v>
      </c>
      <c r="F300" s="1043" t="s">
        <v>4094</v>
      </c>
      <c r="G300" s="264">
        <f t="shared" si="13"/>
        <v>0.10687723769039498</v>
      </c>
      <c r="H300" t="s">
        <v>4095</v>
      </c>
      <c r="I300" t="s">
        <v>4096</v>
      </c>
      <c r="J300">
        <f t="shared" si="14"/>
        <v>4.6238964439741954</v>
      </c>
      <c r="K300" s="1043" t="s">
        <v>4097</v>
      </c>
      <c r="L300" s="264" t="s">
        <v>4098</v>
      </c>
      <c r="M300" s="1043" t="s">
        <v>4099</v>
      </c>
      <c r="N300">
        <f t="shared" si="15"/>
        <v>3.7040733886021991E-2</v>
      </c>
    </row>
    <row r="301" spans="1:14" ht="15">
      <c r="A301" s="1043" t="s">
        <v>1177</v>
      </c>
      <c r="B301" s="1043" t="s">
        <v>4100</v>
      </c>
      <c r="C301" s="1043" t="s">
        <v>4095</v>
      </c>
      <c r="E301" t="s">
        <v>4101</v>
      </c>
      <c r="F301" s="1043" t="s">
        <v>4102</v>
      </c>
      <c r="G301" s="264">
        <f t="shared" si="13"/>
        <v>0.14354194934653283</v>
      </c>
      <c r="H301" t="s">
        <v>4103</v>
      </c>
      <c r="I301" t="s">
        <v>4104</v>
      </c>
      <c r="J301">
        <f t="shared" si="14"/>
        <v>13.841452874371448</v>
      </c>
      <c r="K301" s="1043" t="s">
        <v>4105</v>
      </c>
      <c r="L301" s="264" t="s">
        <v>4106</v>
      </c>
      <c r="M301" s="1043" t="s">
        <v>4107</v>
      </c>
      <c r="N301">
        <f t="shared" si="15"/>
        <v>8.8071109032611089E-2</v>
      </c>
    </row>
    <row r="302" spans="1:14" ht="15">
      <c r="A302" s="1043" t="s">
        <v>1179</v>
      </c>
      <c r="B302" s="1043" t="s">
        <v>4108</v>
      </c>
      <c r="C302" s="1043" t="s">
        <v>4103</v>
      </c>
      <c r="E302" t="s">
        <v>4109</v>
      </c>
      <c r="F302" s="1043" t="s">
        <v>4110</v>
      </c>
      <c r="G302" s="264">
        <f t="shared" si="13"/>
        <v>2.542298367693787E-2</v>
      </c>
      <c r="H302" t="s">
        <v>4111</v>
      </c>
      <c r="I302" t="s">
        <v>4112</v>
      </c>
      <c r="J302" t="e">
        <f t="shared" si="14"/>
        <v>#DIV/0!</v>
      </c>
      <c r="K302" s="1043" t="s">
        <v>4113</v>
      </c>
      <c r="L302" s="264" t="s">
        <v>4114</v>
      </c>
      <c r="M302" s="1043" t="s">
        <v>4115</v>
      </c>
      <c r="N302">
        <f t="shared" si="15"/>
        <v>3.6008870933428375E-2</v>
      </c>
    </row>
    <row r="303" spans="1:14" ht="15">
      <c r="A303" s="1043" t="s">
        <v>1181</v>
      </c>
      <c r="B303" s="1043" t="s">
        <v>4116</v>
      </c>
      <c r="C303" s="1043" t="s">
        <v>4111</v>
      </c>
      <c r="F303" s="1053"/>
      <c r="G303" s="264" t="e">
        <f t="shared" si="13"/>
        <v>#DIV/0!</v>
      </c>
      <c r="J303">
        <f t="shared" si="14"/>
        <v>0.45737415842411289</v>
      </c>
      <c r="K303" s="1043" t="s">
        <v>4117</v>
      </c>
      <c r="L303" s="264" t="s">
        <v>2705</v>
      </c>
      <c r="M303" s="1003"/>
      <c r="N303" t="e">
        <f t="shared" si="15"/>
        <v>#DIV/0!</v>
      </c>
    </row>
    <row r="304" spans="1:14" ht="15">
      <c r="A304" s="1043" t="s">
        <v>1183</v>
      </c>
      <c r="B304" s="1053"/>
      <c r="C304" s="1053"/>
      <c r="E304" t="s">
        <v>4118</v>
      </c>
      <c r="F304" s="1043" t="s">
        <v>4119</v>
      </c>
      <c r="G304" s="264">
        <f t="shared" si="13"/>
        <v>0.21758605608550741</v>
      </c>
      <c r="H304" t="s">
        <v>4120</v>
      </c>
      <c r="I304" t="s">
        <v>4121</v>
      </c>
      <c r="J304">
        <f t="shared" si="14"/>
        <v>3.6872987717451395</v>
      </c>
      <c r="K304" s="1043" t="s">
        <v>4122</v>
      </c>
      <c r="L304" s="264"/>
      <c r="M304" s="1043" t="s">
        <v>4123</v>
      </c>
      <c r="N304">
        <f t="shared" si="15"/>
        <v>0.18508431673775885</v>
      </c>
    </row>
    <row r="305" spans="1:14" ht="15">
      <c r="A305" s="1043" t="s">
        <v>1185</v>
      </c>
      <c r="B305" s="1043" t="s">
        <v>4124</v>
      </c>
      <c r="C305" s="1043" t="s">
        <v>4120</v>
      </c>
      <c r="E305" t="s">
        <v>4125</v>
      </c>
      <c r="F305" s="1043" t="s">
        <v>4126</v>
      </c>
      <c r="G305" s="264">
        <f t="shared" si="13"/>
        <v>6.6901013998205014E-2</v>
      </c>
      <c r="H305" t="s">
        <v>4127</v>
      </c>
      <c r="I305" t="s">
        <v>4128</v>
      </c>
      <c r="J305" t="e">
        <f t="shared" si="14"/>
        <v>#DIV/0!</v>
      </c>
      <c r="K305" s="1043" t="s">
        <v>4129</v>
      </c>
      <c r="L305" s="264" t="s">
        <v>4130</v>
      </c>
      <c r="M305" s="1043" t="s">
        <v>4131</v>
      </c>
      <c r="N305">
        <f t="shared" si="15"/>
        <v>5.5506580036218917E-2</v>
      </c>
    </row>
    <row r="306" spans="1:14" ht="15">
      <c r="A306" s="1043" t="s">
        <v>1187</v>
      </c>
      <c r="B306" s="1043" t="s">
        <v>4132</v>
      </c>
      <c r="C306" s="1043" t="s">
        <v>4127</v>
      </c>
      <c r="F306" s="1053"/>
      <c r="G306" s="264" t="e">
        <f t="shared" si="13"/>
        <v>#DIV/0!</v>
      </c>
      <c r="J306" t="e">
        <f t="shared" si="14"/>
        <v>#DIV/0!</v>
      </c>
      <c r="K306" s="1043" t="s">
        <v>4133</v>
      </c>
      <c r="L306" s="264" t="s">
        <v>4134</v>
      </c>
      <c r="M306" s="1003"/>
      <c r="N306" t="e">
        <f t="shared" si="15"/>
        <v>#DIV/0!</v>
      </c>
    </row>
    <row r="307" spans="1:14" ht="15">
      <c r="A307" s="1043" t="s">
        <v>1189</v>
      </c>
      <c r="B307" s="1053"/>
      <c r="C307" s="1053"/>
      <c r="F307" s="1053"/>
      <c r="G307" s="264" t="e">
        <f t="shared" si="13"/>
        <v>#DIV/0!</v>
      </c>
      <c r="J307">
        <f t="shared" si="14"/>
        <v>2.9312999217978399</v>
      </c>
      <c r="K307" s="1043" t="s">
        <v>4135</v>
      </c>
      <c r="L307" s="264"/>
      <c r="M307" s="1003"/>
      <c r="N307" t="e">
        <f t="shared" si="15"/>
        <v>#DIV/0!</v>
      </c>
    </row>
    <row r="308" spans="1:14" ht="15">
      <c r="A308" s="1043" t="s">
        <v>1191</v>
      </c>
      <c r="B308" s="1053"/>
      <c r="C308" s="1053"/>
      <c r="E308" t="s">
        <v>4136</v>
      </c>
      <c r="F308" s="1043" t="s">
        <v>4137</v>
      </c>
      <c r="G308" s="264">
        <f t="shared" si="13"/>
        <v>4.0839022410495356E-2</v>
      </c>
      <c r="H308" t="s">
        <v>4138</v>
      </c>
      <c r="I308" t="s">
        <v>4139</v>
      </c>
      <c r="J308" t="e">
        <f t="shared" si="14"/>
        <v>#DIV/0!</v>
      </c>
      <c r="K308" s="1043" t="s">
        <v>4140</v>
      </c>
      <c r="L308" s="264"/>
      <c r="M308" s="1043" t="s">
        <v>4141</v>
      </c>
      <c r="N308">
        <f t="shared" si="15"/>
        <v>5.8723768006944108E-2</v>
      </c>
    </row>
    <row r="309" spans="1:14" ht="15">
      <c r="A309" s="1043" t="s">
        <v>1193</v>
      </c>
      <c r="B309" s="1043" t="s">
        <v>4142</v>
      </c>
      <c r="C309" s="1043" t="s">
        <v>4138</v>
      </c>
      <c r="F309" s="1053"/>
      <c r="G309" s="264" t="e">
        <f t="shared" si="13"/>
        <v>#DIV/0!</v>
      </c>
      <c r="J309">
        <f t="shared" si="14"/>
        <v>3.8566545206996001</v>
      </c>
      <c r="K309" s="1043" t="s">
        <v>4143</v>
      </c>
      <c r="L309" s="264" t="s">
        <v>4144</v>
      </c>
      <c r="M309" s="1003"/>
      <c r="N309" t="e">
        <f t="shared" si="15"/>
        <v>#DIV/0!</v>
      </c>
    </row>
    <row r="310" spans="1:14" ht="15">
      <c r="A310" s="1043" t="s">
        <v>1195</v>
      </c>
      <c r="B310" s="1053"/>
      <c r="C310" s="1053"/>
      <c r="E310" t="s">
        <v>4145</v>
      </c>
      <c r="F310" s="1043" t="s">
        <v>4146</v>
      </c>
      <c r="G310" s="264">
        <f t="shared" si="13"/>
        <v>8.5586525183031045E-2</v>
      </c>
      <c r="H310" t="s">
        <v>4147</v>
      </c>
      <c r="I310" t="s">
        <v>4148</v>
      </c>
      <c r="J310">
        <f t="shared" si="14"/>
        <v>0</v>
      </c>
      <c r="K310" s="1043" t="s">
        <v>4149</v>
      </c>
      <c r="L310" s="264"/>
      <c r="M310" s="1043" t="s">
        <v>4150</v>
      </c>
      <c r="N310">
        <f t="shared" si="15"/>
        <v>7.093174083238242E-2</v>
      </c>
    </row>
    <row r="311" spans="1:14" ht="15">
      <c r="A311" s="1043" t="s">
        <v>1197</v>
      </c>
      <c r="B311" s="1043" t="s">
        <v>4151</v>
      </c>
      <c r="C311" s="1043" t="s">
        <v>4147</v>
      </c>
      <c r="E311" t="s">
        <v>4152</v>
      </c>
      <c r="F311" s="1043" t="s">
        <v>4153</v>
      </c>
      <c r="G311" s="264">
        <f t="shared" si="13"/>
        <v>-0.71080991911326064</v>
      </c>
      <c r="H311">
        <v>0</v>
      </c>
      <c r="I311" t="s">
        <v>4152</v>
      </c>
      <c r="J311">
        <f t="shared" si="14"/>
        <v>4.1608274585087592</v>
      </c>
      <c r="K311" s="1003"/>
      <c r="L311" s="264" t="s">
        <v>3069</v>
      </c>
      <c r="M311" s="1043">
        <v>0</v>
      </c>
      <c r="N311" t="e">
        <f t="shared" si="15"/>
        <v>#DIV/0!</v>
      </c>
    </row>
    <row r="312" spans="1:14" ht="15">
      <c r="A312" s="1043" t="s">
        <v>1200</v>
      </c>
      <c r="B312" s="1053"/>
      <c r="C312" s="1043">
        <v>0</v>
      </c>
      <c r="E312" t="s">
        <v>4154</v>
      </c>
      <c r="F312" s="1043" t="s">
        <v>4155</v>
      </c>
      <c r="G312" s="264">
        <f t="shared" si="13"/>
        <v>3.830034800679348E-2</v>
      </c>
      <c r="H312" t="s">
        <v>4156</v>
      </c>
      <c r="I312" t="s">
        <v>4157</v>
      </c>
      <c r="J312">
        <f t="shared" si="14"/>
        <v>5.3805868426716405E-2</v>
      </c>
      <c r="K312" s="1043" t="s">
        <v>4158</v>
      </c>
      <c r="L312" s="264"/>
      <c r="M312" s="1043" t="s">
        <v>4159</v>
      </c>
      <c r="N312">
        <f t="shared" si="15"/>
        <v>0.162384757374161</v>
      </c>
    </row>
    <row r="313" spans="1:14" ht="15">
      <c r="A313" s="1043" t="s">
        <v>1202</v>
      </c>
      <c r="B313" s="1043" t="s">
        <v>4160</v>
      </c>
      <c r="C313" s="1043" t="s">
        <v>4156</v>
      </c>
      <c r="F313" s="1043" t="s">
        <v>4161</v>
      </c>
      <c r="G313" s="264">
        <f t="shared" si="13"/>
        <v>0</v>
      </c>
      <c r="H313" t="s">
        <v>4162</v>
      </c>
      <c r="I313" t="s">
        <v>4163</v>
      </c>
      <c r="J313">
        <f t="shared" si="14"/>
        <v>13.803116246954852</v>
      </c>
      <c r="K313" s="1043">
        <v>49</v>
      </c>
      <c r="L313" s="264" t="s">
        <v>4164</v>
      </c>
      <c r="M313" s="1043" t="s">
        <v>4163</v>
      </c>
      <c r="N313">
        <f t="shared" si="15"/>
        <v>1</v>
      </c>
    </row>
    <row r="314" spans="1:14" ht="15">
      <c r="A314" s="1043" t="s">
        <v>1204</v>
      </c>
      <c r="B314" s="1053"/>
      <c r="C314" s="1043" t="s">
        <v>4162</v>
      </c>
      <c r="E314" t="s">
        <v>4165</v>
      </c>
      <c r="F314" s="1043" t="s">
        <v>4166</v>
      </c>
      <c r="G314" s="264">
        <f t="shared" si="13"/>
        <v>4.9976797848285674E-2</v>
      </c>
      <c r="H314" t="s">
        <v>4167</v>
      </c>
      <c r="I314" t="s">
        <v>4168</v>
      </c>
      <c r="J314">
        <f t="shared" si="14"/>
        <v>11.717444246430423</v>
      </c>
      <c r="K314" s="1043" t="s">
        <v>4169</v>
      </c>
      <c r="L314" s="264"/>
      <c r="M314" s="1043" t="s">
        <v>4170</v>
      </c>
      <c r="N314">
        <f t="shared" si="15"/>
        <v>7.5564712586920879E-2</v>
      </c>
    </row>
    <row r="315" spans="1:14" ht="15">
      <c r="A315" s="1043" t="s">
        <v>1206</v>
      </c>
      <c r="B315" s="1043" t="s">
        <v>4171</v>
      </c>
      <c r="C315" s="1043" t="s">
        <v>4167</v>
      </c>
      <c r="E315" t="s">
        <v>4172</v>
      </c>
      <c r="F315" s="1043" t="s">
        <v>4173</v>
      </c>
      <c r="G315" s="264">
        <f t="shared" si="13"/>
        <v>-4.2269877644848138E-2</v>
      </c>
      <c r="H315" t="s">
        <v>4174</v>
      </c>
      <c r="I315" t="s">
        <v>4175</v>
      </c>
      <c r="J315">
        <f t="shared" si="14"/>
        <v>-3.2197207077706858</v>
      </c>
      <c r="K315" s="1043" t="s">
        <v>4176</v>
      </c>
      <c r="L315" s="264" t="s">
        <v>4177</v>
      </c>
      <c r="M315" s="1043" t="s">
        <v>4178</v>
      </c>
      <c r="N315">
        <f t="shared" si="15"/>
        <v>4.9975135380446421E-2</v>
      </c>
    </row>
    <row r="316" spans="1:14" ht="15">
      <c r="A316" s="1043" t="s">
        <v>1208</v>
      </c>
      <c r="B316" s="1043" t="s">
        <v>4179</v>
      </c>
      <c r="C316" s="1043" t="s">
        <v>4174</v>
      </c>
      <c r="E316" t="s">
        <v>4180</v>
      </c>
      <c r="F316" s="1043" t="s">
        <v>4181</v>
      </c>
      <c r="G316" s="264">
        <f t="shared" si="13"/>
        <v>-0.17958576602445381</v>
      </c>
      <c r="H316" t="s">
        <v>4182</v>
      </c>
      <c r="I316" t="s">
        <v>4183</v>
      </c>
      <c r="J316">
        <f t="shared" si="14"/>
        <v>-5.3603717120806422</v>
      </c>
      <c r="K316" s="1043" t="s">
        <v>4184</v>
      </c>
      <c r="L316" s="264" t="s">
        <v>4185</v>
      </c>
      <c r="M316" s="1043" t="s">
        <v>4186</v>
      </c>
      <c r="N316">
        <f t="shared" si="15"/>
        <v>-7.527476783111868E-2</v>
      </c>
    </row>
    <row r="317" spans="1:14" ht="15">
      <c r="A317" s="1043" t="s">
        <v>1210</v>
      </c>
      <c r="B317" s="1043" t="s">
        <v>4187</v>
      </c>
      <c r="C317" s="1043" t="s">
        <v>4182</v>
      </c>
      <c r="E317" t="s">
        <v>4188</v>
      </c>
      <c r="F317" s="1061" t="s">
        <v>4189</v>
      </c>
      <c r="G317" s="264">
        <f t="shared" si="13"/>
        <v>0.2391427172398207</v>
      </c>
      <c r="H317" t="s">
        <v>4190</v>
      </c>
      <c r="I317" t="s">
        <v>4188</v>
      </c>
      <c r="J317" t="e">
        <f t="shared" si="14"/>
        <v>#DIV/0!</v>
      </c>
      <c r="K317" s="1043" t="s">
        <v>4191</v>
      </c>
      <c r="L317" s="264" t="s">
        <v>4192</v>
      </c>
      <c r="M317" s="1043" t="s">
        <v>4193</v>
      </c>
      <c r="N317">
        <f t="shared" si="15"/>
        <v>-0.21393671867102471</v>
      </c>
    </row>
    <row r="318" spans="1:14" ht="15">
      <c r="A318" s="1043" t="s">
        <v>1212</v>
      </c>
      <c r="B318" s="1053"/>
      <c r="C318" s="1043" t="s">
        <v>4190</v>
      </c>
      <c r="F318" s="1053"/>
      <c r="G318" s="264" t="e">
        <f t="shared" si="13"/>
        <v>#DIV/0!</v>
      </c>
      <c r="J318">
        <f t="shared" si="14"/>
        <v>39.55459888466423</v>
      </c>
      <c r="K318" s="1043" t="s">
        <v>4194</v>
      </c>
      <c r="L318" s="264"/>
      <c r="M318" s="1003"/>
      <c r="N318" t="e">
        <f t="shared" si="15"/>
        <v>#DIV/0!</v>
      </c>
    </row>
    <row r="319" spans="1:14" ht="15">
      <c r="A319" s="1043" t="s">
        <v>1214</v>
      </c>
      <c r="B319" s="1053"/>
      <c r="C319" s="1053"/>
      <c r="E319" t="s">
        <v>4195</v>
      </c>
      <c r="F319" s="1043" t="s">
        <v>4196</v>
      </c>
      <c r="G319" s="264">
        <f t="shared" si="13"/>
        <v>8.9269619192730229E-2</v>
      </c>
      <c r="H319" t="s">
        <v>4197</v>
      </c>
      <c r="I319" t="s">
        <v>4198</v>
      </c>
      <c r="J319">
        <f t="shared" si="14"/>
        <v>13.002502239933264</v>
      </c>
      <c r="K319" s="1043" t="s">
        <v>4199</v>
      </c>
      <c r="L319" s="264"/>
      <c r="M319" s="1043" t="s">
        <v>4200</v>
      </c>
      <c r="N319">
        <f t="shared" si="15"/>
        <v>1.0165977782213467E-2</v>
      </c>
    </row>
    <row r="320" spans="1:14" ht="15">
      <c r="A320" s="1043" t="s">
        <v>1216</v>
      </c>
      <c r="B320" s="1043" t="s">
        <v>4201</v>
      </c>
      <c r="C320" s="1043" t="s">
        <v>4197</v>
      </c>
      <c r="E320" t="s">
        <v>4202</v>
      </c>
      <c r="F320" s="1043" t="s">
        <v>4203</v>
      </c>
      <c r="G320" s="264">
        <f t="shared" si="13"/>
        <v>5.2388076948808975E-2</v>
      </c>
      <c r="H320" t="s">
        <v>4204</v>
      </c>
      <c r="I320" t="s">
        <v>4205</v>
      </c>
      <c r="J320">
        <f t="shared" si="14"/>
        <v>5.5395039755444255</v>
      </c>
      <c r="K320" s="1043" t="s">
        <v>4206</v>
      </c>
      <c r="L320" s="264" t="s">
        <v>4207</v>
      </c>
      <c r="M320" s="1043" t="s">
        <v>4208</v>
      </c>
      <c r="N320">
        <f t="shared" si="15"/>
        <v>2.69550388730447E-2</v>
      </c>
    </row>
    <row r="321" spans="1:14" ht="15">
      <c r="A321" s="1043" t="s">
        <v>1218</v>
      </c>
      <c r="B321" s="1043" t="s">
        <v>4209</v>
      </c>
      <c r="C321" s="1043" t="s">
        <v>4204</v>
      </c>
      <c r="E321" t="s">
        <v>4210</v>
      </c>
      <c r="F321" s="1061" t="s">
        <v>4211</v>
      </c>
      <c r="G321" s="264">
        <f t="shared" si="13"/>
        <v>8.6943852099481619E-2</v>
      </c>
      <c r="H321" t="s">
        <v>4212</v>
      </c>
      <c r="I321" t="s">
        <v>4213</v>
      </c>
      <c r="J321">
        <f t="shared" si="14"/>
        <v>3.0514738990272616</v>
      </c>
      <c r="K321" s="1043" t="s">
        <v>4214</v>
      </c>
      <c r="L321" s="264" t="s">
        <v>4098</v>
      </c>
      <c r="M321" s="1043" t="s">
        <v>4215</v>
      </c>
      <c r="N321">
        <f t="shared" si="15"/>
        <v>3.8874527878465355E-2</v>
      </c>
    </row>
    <row r="322" spans="1:14" ht="15">
      <c r="A322" s="1043" t="s">
        <v>1220</v>
      </c>
      <c r="B322" s="1053"/>
      <c r="C322" s="1043" t="s">
        <v>4212</v>
      </c>
      <c r="E322" t="s">
        <v>4216</v>
      </c>
      <c r="F322" s="1043" t="s">
        <v>4217</v>
      </c>
      <c r="G322" s="264">
        <f t="shared" ref="G322:G385" si="16">E322/F322</f>
        <v>0.21176399267885904</v>
      </c>
      <c r="H322" t="s">
        <v>4218</v>
      </c>
      <c r="I322" t="s">
        <v>4219</v>
      </c>
      <c r="J322">
        <f t="shared" ref="J322:J385" si="17">H323/I323</f>
        <v>6.4122279015476238</v>
      </c>
      <c r="K322" s="1043" t="s">
        <v>4220</v>
      </c>
      <c r="L322" s="264" t="s">
        <v>4221</v>
      </c>
      <c r="M322" s="1043" t="s">
        <v>4222</v>
      </c>
      <c r="N322">
        <f t="shared" si="15"/>
        <v>5.7867834225977528E-2</v>
      </c>
    </row>
    <row r="323" spans="1:14" ht="15">
      <c r="A323" s="1043" t="s">
        <v>1222</v>
      </c>
      <c r="B323" s="1043" t="s">
        <v>4223</v>
      </c>
      <c r="C323" s="1043" t="s">
        <v>4218</v>
      </c>
      <c r="E323" t="s">
        <v>4224</v>
      </c>
      <c r="F323" s="1043" t="s">
        <v>4225</v>
      </c>
      <c r="G323" s="264">
        <f t="shared" si="16"/>
        <v>6.006308916369673E-2</v>
      </c>
      <c r="H323" t="s">
        <v>4226</v>
      </c>
      <c r="I323" t="s">
        <v>4227</v>
      </c>
      <c r="J323">
        <f t="shared" si="17"/>
        <v>0</v>
      </c>
      <c r="K323" s="1043" t="s">
        <v>4228</v>
      </c>
      <c r="L323" s="264" t="s">
        <v>4229</v>
      </c>
      <c r="M323" s="1043" t="s">
        <v>4230</v>
      </c>
      <c r="N323">
        <f t="shared" si="15"/>
        <v>2.8314752458206884E-2</v>
      </c>
    </row>
    <row r="324" spans="1:14" ht="15">
      <c r="A324" s="1043" t="s">
        <v>1224</v>
      </c>
      <c r="B324" s="1043" t="s">
        <v>4231</v>
      </c>
      <c r="C324" s="1043" t="s">
        <v>4226</v>
      </c>
      <c r="E324" t="s">
        <v>4232</v>
      </c>
      <c r="F324" s="1043" t="s">
        <v>4233</v>
      </c>
      <c r="G324" s="264">
        <f t="shared" si="16"/>
        <v>-0.13238445008926294</v>
      </c>
      <c r="H324">
        <v>0</v>
      </c>
      <c r="I324" t="s">
        <v>4234</v>
      </c>
      <c r="J324">
        <f t="shared" si="17"/>
        <v>9.3521672688026829</v>
      </c>
      <c r="K324" s="1043" t="s">
        <v>4235</v>
      </c>
      <c r="L324" s="264" t="s">
        <v>4236</v>
      </c>
      <c r="M324" s="1043" t="s">
        <v>4237</v>
      </c>
      <c r="N324">
        <f t="shared" si="15"/>
        <v>-5.5083531757577289</v>
      </c>
    </row>
    <row r="325" spans="1:14" ht="15">
      <c r="A325" s="1043" t="s">
        <v>1226</v>
      </c>
      <c r="B325" s="1043" t="s">
        <v>2095</v>
      </c>
      <c r="C325" s="1043">
        <v>0</v>
      </c>
      <c r="E325" t="s">
        <v>4238</v>
      </c>
      <c r="F325" s="1043" t="s">
        <v>4239</v>
      </c>
      <c r="G325" s="264">
        <f t="shared" si="16"/>
        <v>0.40100370103626959</v>
      </c>
      <c r="H325" t="s">
        <v>4240</v>
      </c>
      <c r="I325" t="s">
        <v>4241</v>
      </c>
      <c r="J325">
        <f t="shared" si="17"/>
        <v>-4.6705550084111733</v>
      </c>
      <c r="K325" s="1043" t="s">
        <v>4242</v>
      </c>
      <c r="L325" s="264" t="s">
        <v>2619</v>
      </c>
      <c r="M325" s="1043" t="s">
        <v>4243</v>
      </c>
      <c r="N325">
        <f t="shared" si="15"/>
        <v>9.2659011960671292E-2</v>
      </c>
    </row>
    <row r="326" spans="1:14" ht="15">
      <c r="A326" s="1043" t="s">
        <v>1228</v>
      </c>
      <c r="B326" s="1043" t="s">
        <v>4244</v>
      </c>
      <c r="C326" s="1043" t="s">
        <v>4240</v>
      </c>
      <c r="E326" t="s">
        <v>4245</v>
      </c>
      <c r="F326" s="1043" t="s">
        <v>4246</v>
      </c>
      <c r="G326" s="264">
        <f t="shared" si="16"/>
        <v>-3.3436157287422226E-2</v>
      </c>
      <c r="H326" t="s">
        <v>4247</v>
      </c>
      <c r="I326" t="s">
        <v>4248</v>
      </c>
      <c r="J326">
        <f t="shared" si="17"/>
        <v>-9.7660244919235719</v>
      </c>
      <c r="K326" s="1043" t="s">
        <v>4249</v>
      </c>
      <c r="L326" s="264" t="s">
        <v>4250</v>
      </c>
      <c r="M326" s="1043" t="s">
        <v>4251</v>
      </c>
      <c r="N326">
        <f t="shared" si="15"/>
        <v>-5.7184184485357455E-2</v>
      </c>
    </row>
    <row r="327" spans="1:14" ht="15">
      <c r="A327" s="1043" t="s">
        <v>1230</v>
      </c>
      <c r="B327" s="1043" t="s">
        <v>3864</v>
      </c>
      <c r="C327" s="1043" t="s">
        <v>4247</v>
      </c>
      <c r="E327" t="s">
        <v>4252</v>
      </c>
      <c r="F327" s="1043" t="s">
        <v>4253</v>
      </c>
      <c r="G327" s="264">
        <f t="shared" si="16"/>
        <v>-7.6133990255287581E-2</v>
      </c>
      <c r="H327" t="s">
        <v>4254</v>
      </c>
      <c r="I327" t="s">
        <v>4255</v>
      </c>
      <c r="J327">
        <f t="shared" si="17"/>
        <v>0.51792894190282512</v>
      </c>
      <c r="K327" s="1043" t="s">
        <v>4256</v>
      </c>
      <c r="L327" s="264" t="s">
        <v>4257</v>
      </c>
      <c r="M327" s="1043" t="s">
        <v>4258</v>
      </c>
      <c r="N327">
        <f t="shared" si="15"/>
        <v>-1.0927546889632567</v>
      </c>
    </row>
    <row r="328" spans="1:14" ht="15">
      <c r="A328" s="1043" t="s">
        <v>1232</v>
      </c>
      <c r="B328" s="1043" t="s">
        <v>4259</v>
      </c>
      <c r="C328" s="1043" t="s">
        <v>4254</v>
      </c>
      <c r="E328" t="s">
        <v>4260</v>
      </c>
      <c r="F328" s="1043" t="s">
        <v>4261</v>
      </c>
      <c r="G328" s="264">
        <f t="shared" si="16"/>
        <v>0.41665171459950828</v>
      </c>
      <c r="H328" t="s">
        <v>4262</v>
      </c>
      <c r="I328" t="s">
        <v>4263</v>
      </c>
      <c r="J328">
        <f t="shared" si="17"/>
        <v>0</v>
      </c>
      <c r="K328" s="1043" t="s">
        <v>4264</v>
      </c>
      <c r="L328" s="264" t="s">
        <v>4265</v>
      </c>
      <c r="M328" s="1043" t="s">
        <v>4266</v>
      </c>
      <c r="N328">
        <f t="shared" si="15"/>
        <v>0.16636548728582279</v>
      </c>
    </row>
    <row r="329" spans="1:14" ht="15">
      <c r="A329" s="1043" t="s">
        <v>1234</v>
      </c>
      <c r="B329" s="1043" t="s">
        <v>4267</v>
      </c>
      <c r="C329" s="1043" t="s">
        <v>4262</v>
      </c>
      <c r="E329" t="s">
        <v>4268</v>
      </c>
      <c r="F329" s="1043" t="s">
        <v>4269</v>
      </c>
      <c r="G329" s="264">
        <f t="shared" si="16"/>
        <v>0.17211931834000627</v>
      </c>
      <c r="H329">
        <v>0</v>
      </c>
      <c r="I329" t="s">
        <v>4270</v>
      </c>
      <c r="J329">
        <f t="shared" si="17"/>
        <v>9.8915888535874341</v>
      </c>
      <c r="K329" s="1043" t="s">
        <v>4271</v>
      </c>
      <c r="L329" s="264" t="s">
        <v>2045</v>
      </c>
      <c r="M329" s="1043" t="s">
        <v>4272</v>
      </c>
      <c r="N329">
        <f t="shared" si="15"/>
        <v>0.74000026867190738</v>
      </c>
    </row>
    <row r="330" spans="1:14" ht="15">
      <c r="A330" s="1043" t="s">
        <v>1236</v>
      </c>
      <c r="B330" s="1053"/>
      <c r="C330" s="1043">
        <v>0</v>
      </c>
      <c r="E330" t="s">
        <v>4273</v>
      </c>
      <c r="F330" s="1043" t="s">
        <v>4274</v>
      </c>
      <c r="G330" s="264">
        <f t="shared" si="16"/>
        <v>-7.704183489194659E-2</v>
      </c>
      <c r="H330" t="s">
        <v>4275</v>
      </c>
      <c r="I330" t="s">
        <v>4276</v>
      </c>
      <c r="J330">
        <f t="shared" si="17"/>
        <v>2.1798825256975038</v>
      </c>
      <c r="K330" s="1043" t="s">
        <v>4277</v>
      </c>
      <c r="L330" s="264"/>
      <c r="M330" s="1043" t="s">
        <v>4278</v>
      </c>
      <c r="N330">
        <f t="shared" si="15"/>
        <v>0.146844036495411</v>
      </c>
    </row>
    <row r="331" spans="1:14" ht="15">
      <c r="A331" s="1043" t="s">
        <v>1238</v>
      </c>
      <c r="B331" s="1043" t="s">
        <v>4279</v>
      </c>
      <c r="C331" s="1043" t="s">
        <v>4275</v>
      </c>
      <c r="E331" t="s">
        <v>4280</v>
      </c>
      <c r="F331" s="1043" t="s">
        <v>4281</v>
      </c>
      <c r="G331" s="264">
        <f t="shared" si="16"/>
        <v>0.20727123878986342</v>
      </c>
      <c r="H331" t="s">
        <v>4282</v>
      </c>
      <c r="I331" t="s">
        <v>4283</v>
      </c>
      <c r="J331">
        <f t="shared" si="17"/>
        <v>19.423746803463043</v>
      </c>
      <c r="K331" s="1043">
        <v>27</v>
      </c>
      <c r="L331" s="264" t="s">
        <v>4284</v>
      </c>
      <c r="M331" s="1043" t="s">
        <v>4285</v>
      </c>
      <c r="N331">
        <f t="shared" si="15"/>
        <v>9.8326165650815256E-2</v>
      </c>
    </row>
    <row r="332" spans="1:14" ht="15">
      <c r="A332" s="1043" t="s">
        <v>1240</v>
      </c>
      <c r="B332" s="1053"/>
      <c r="C332" s="1043" t="s">
        <v>4282</v>
      </c>
      <c r="E332" t="s">
        <v>4286</v>
      </c>
      <c r="F332" s="1043" t="s">
        <v>4287</v>
      </c>
      <c r="G332" s="264">
        <f t="shared" si="16"/>
        <v>-2.1350705204550631E-2</v>
      </c>
      <c r="H332" t="s">
        <v>4288</v>
      </c>
      <c r="I332" t="s">
        <v>4289</v>
      </c>
      <c r="J332" t="e">
        <f t="shared" si="17"/>
        <v>#DIV/0!</v>
      </c>
      <c r="K332" s="1043" t="s">
        <v>4290</v>
      </c>
      <c r="L332" s="264"/>
      <c r="M332" s="1043" t="s">
        <v>4291</v>
      </c>
      <c r="N332">
        <f t="shared" si="15"/>
        <v>4.7451000534786826E-2</v>
      </c>
    </row>
    <row r="333" spans="1:14" ht="15">
      <c r="A333" s="1043" t="s">
        <v>1242</v>
      </c>
      <c r="B333" s="1043" t="s">
        <v>4292</v>
      </c>
      <c r="C333" s="1043" t="s">
        <v>4288</v>
      </c>
      <c r="F333" s="1053"/>
      <c r="G333" s="264" t="e">
        <f t="shared" si="16"/>
        <v>#DIV/0!</v>
      </c>
      <c r="J333">
        <f t="shared" si="17"/>
        <v>1.2305753811319313E-2</v>
      </c>
      <c r="K333" s="1043" t="s">
        <v>4293</v>
      </c>
      <c r="L333" s="264" t="s">
        <v>4294</v>
      </c>
      <c r="M333" s="1003"/>
      <c r="N333" t="e">
        <f t="shared" si="15"/>
        <v>#DIV/0!</v>
      </c>
    </row>
    <row r="334" spans="1:14" ht="15">
      <c r="A334" s="1043" t="s">
        <v>1244</v>
      </c>
      <c r="B334" s="1053"/>
      <c r="C334" s="1053"/>
      <c r="E334" t="s">
        <v>4295</v>
      </c>
      <c r="F334" s="1043" t="s">
        <v>4296</v>
      </c>
      <c r="G334" s="264">
        <f t="shared" si="16"/>
        <v>6.3282344062002421E-2</v>
      </c>
      <c r="H334" t="s">
        <v>4297</v>
      </c>
      <c r="I334" t="s">
        <v>4298</v>
      </c>
      <c r="J334">
        <f t="shared" si="17"/>
        <v>0</v>
      </c>
      <c r="K334" s="1043" t="s">
        <v>4299</v>
      </c>
      <c r="L334" s="264"/>
      <c r="M334" s="1043" t="s">
        <v>4300</v>
      </c>
      <c r="N334">
        <f t="shared" si="15"/>
        <v>0.1798773117698434</v>
      </c>
    </row>
    <row r="335" spans="1:14" ht="15">
      <c r="A335" s="1043" t="s">
        <v>1246</v>
      </c>
      <c r="B335" s="1043" t="s">
        <v>2541</v>
      </c>
      <c r="C335" s="1043" t="s">
        <v>4297</v>
      </c>
      <c r="E335" t="s">
        <v>4301</v>
      </c>
      <c r="F335" s="1043" t="s">
        <v>4302</v>
      </c>
      <c r="G335" s="264">
        <f t="shared" si="16"/>
        <v>0.36629497403286942</v>
      </c>
      <c r="H335">
        <v>0</v>
      </c>
      <c r="I335" t="s">
        <v>4303</v>
      </c>
      <c r="J335" t="e">
        <f t="shared" si="17"/>
        <v>#DIV/0!</v>
      </c>
      <c r="K335" s="1043" t="s">
        <v>4304</v>
      </c>
      <c r="L335" s="264" t="s">
        <v>4305</v>
      </c>
      <c r="M335" s="1043" t="s">
        <v>4306</v>
      </c>
      <c r="N335">
        <f t="shared" si="15"/>
        <v>0.22170853155507098</v>
      </c>
    </row>
    <row r="336" spans="1:14" ht="15">
      <c r="A336" s="1043" t="s">
        <v>1248</v>
      </c>
      <c r="B336" s="1043" t="s">
        <v>2095</v>
      </c>
      <c r="C336" s="1043">
        <v>0</v>
      </c>
      <c r="F336" s="1053"/>
      <c r="G336" s="264" t="e">
        <f t="shared" si="16"/>
        <v>#DIV/0!</v>
      </c>
      <c r="J336" t="e">
        <f t="shared" si="17"/>
        <v>#DIV/0!</v>
      </c>
      <c r="K336" s="1043" t="s">
        <v>4307</v>
      </c>
      <c r="L336" s="264" t="s">
        <v>4308</v>
      </c>
      <c r="M336" s="1003"/>
      <c r="N336" t="e">
        <f t="shared" si="15"/>
        <v>#DIV/0!</v>
      </c>
    </row>
    <row r="337" spans="1:14" ht="15">
      <c r="A337" s="1043" t="s">
        <v>1250</v>
      </c>
      <c r="B337" s="1053"/>
      <c r="C337" s="1053"/>
      <c r="F337" s="1053"/>
      <c r="G337" s="264" t="e">
        <f t="shared" si="16"/>
        <v>#DIV/0!</v>
      </c>
      <c r="J337">
        <f t="shared" si="17"/>
        <v>-2.2192867368763749</v>
      </c>
      <c r="K337" s="1043" t="s">
        <v>4309</v>
      </c>
      <c r="L337" s="264"/>
      <c r="M337" s="1003"/>
      <c r="N337" t="e">
        <f t="shared" ref="N337:N400" si="18">I337/M337</f>
        <v>#DIV/0!</v>
      </c>
    </row>
    <row r="338" spans="1:14" ht="15">
      <c r="A338" s="1043" t="s">
        <v>1252</v>
      </c>
      <c r="B338" s="1053"/>
      <c r="C338" s="1053"/>
      <c r="E338" t="s">
        <v>4310</v>
      </c>
      <c r="F338" s="1061" t="s">
        <v>4311</v>
      </c>
      <c r="G338" s="264">
        <f t="shared" si="16"/>
        <v>0.30864494033631951</v>
      </c>
      <c r="H338" t="s">
        <v>4312</v>
      </c>
      <c r="I338" t="s">
        <v>4313</v>
      </c>
      <c r="J338">
        <f t="shared" si="17"/>
        <v>1.3970846619409467</v>
      </c>
      <c r="K338" s="1003"/>
      <c r="L338" s="264"/>
      <c r="M338" s="1043" t="s">
        <v>4314</v>
      </c>
      <c r="N338">
        <f t="shared" si="18"/>
        <v>-2.1248466991832493</v>
      </c>
    </row>
    <row r="339" spans="1:14" ht="15">
      <c r="A339" s="1043" t="s">
        <v>1254</v>
      </c>
      <c r="B339" s="1053"/>
      <c r="C339" s="1043" t="s">
        <v>4312</v>
      </c>
      <c r="E339" t="s">
        <v>4315</v>
      </c>
      <c r="F339" s="1043" t="s">
        <v>4316</v>
      </c>
      <c r="G339" s="264">
        <f t="shared" si="16"/>
        <v>0.21914108045071409</v>
      </c>
      <c r="H339" t="s">
        <v>4317</v>
      </c>
      <c r="I339" t="s">
        <v>4318</v>
      </c>
      <c r="J339">
        <f t="shared" si="17"/>
        <v>-9.8860780064564491</v>
      </c>
      <c r="K339" s="1043" t="s">
        <v>4319</v>
      </c>
      <c r="L339" s="264"/>
      <c r="M339" s="1043" t="s">
        <v>4320</v>
      </c>
      <c r="N339">
        <f t="shared" si="18"/>
        <v>0.24643979729247006</v>
      </c>
    </row>
    <row r="340" spans="1:14" ht="15">
      <c r="A340" s="1043" t="s">
        <v>1256</v>
      </c>
      <c r="B340" s="1043" t="s">
        <v>4321</v>
      </c>
      <c r="C340" s="1043" t="s">
        <v>4317</v>
      </c>
      <c r="E340" t="s">
        <v>4322</v>
      </c>
      <c r="F340" s="1043" t="s">
        <v>4323</v>
      </c>
      <c r="G340" s="264">
        <f t="shared" si="16"/>
        <v>-0.40444992869164342</v>
      </c>
      <c r="H340" t="s">
        <v>4324</v>
      </c>
      <c r="I340" t="s">
        <v>4325</v>
      </c>
      <c r="J340">
        <f t="shared" si="17"/>
        <v>12.678481184067552</v>
      </c>
      <c r="K340" s="1043" t="s">
        <v>4326</v>
      </c>
      <c r="L340" s="264" t="s">
        <v>3039</v>
      </c>
      <c r="M340" s="1043" t="s">
        <v>4327</v>
      </c>
      <c r="N340">
        <f t="shared" si="18"/>
        <v>-8.511275751006224E-2</v>
      </c>
    </row>
    <row r="341" spans="1:14" ht="15">
      <c r="A341" s="1043" t="s">
        <v>1258</v>
      </c>
      <c r="B341" s="1043" t="s">
        <v>4328</v>
      </c>
      <c r="C341" s="1043" t="s">
        <v>4324</v>
      </c>
      <c r="E341" t="s">
        <v>4329</v>
      </c>
      <c r="F341" s="1043" t="s">
        <v>4330</v>
      </c>
      <c r="G341" s="264">
        <f t="shared" si="16"/>
        <v>1.1781962847938254E-2</v>
      </c>
      <c r="H341" t="s">
        <v>4331</v>
      </c>
      <c r="I341" t="s">
        <v>4332</v>
      </c>
      <c r="J341">
        <f t="shared" si="17"/>
        <v>1.1132422650370406</v>
      </c>
      <c r="K341" s="1043" t="s">
        <v>4333</v>
      </c>
      <c r="L341" s="264" t="s">
        <v>4334</v>
      </c>
      <c r="M341" s="1043" t="s">
        <v>4335</v>
      </c>
      <c r="N341">
        <f t="shared" si="18"/>
        <v>2.2228669638980361E-2</v>
      </c>
    </row>
    <row r="342" spans="1:14" ht="15">
      <c r="A342" s="1043" t="s">
        <v>1260</v>
      </c>
      <c r="B342" s="1043" t="s">
        <v>4062</v>
      </c>
      <c r="C342" s="1043" t="s">
        <v>4331</v>
      </c>
      <c r="E342" t="s">
        <v>4336</v>
      </c>
      <c r="F342" s="1043" t="s">
        <v>4337</v>
      </c>
      <c r="G342" s="264">
        <f t="shared" si="16"/>
        <v>0.16789545404906508</v>
      </c>
      <c r="H342" t="s">
        <v>4338</v>
      </c>
      <c r="I342" t="s">
        <v>4339</v>
      </c>
      <c r="J342">
        <f t="shared" si="17"/>
        <v>29.82576026119516</v>
      </c>
      <c r="K342" s="1043" t="s">
        <v>4340</v>
      </c>
      <c r="L342" s="264" t="s">
        <v>4341</v>
      </c>
      <c r="M342" s="1043" t="s">
        <v>4342</v>
      </c>
      <c r="N342">
        <f t="shared" si="18"/>
        <v>0.16933306612841995</v>
      </c>
    </row>
    <row r="343" spans="1:14" ht="15">
      <c r="A343" s="1043" t="s">
        <v>1262</v>
      </c>
      <c r="B343" s="1043" t="s">
        <v>4343</v>
      </c>
      <c r="C343" s="1043" t="s">
        <v>4338</v>
      </c>
      <c r="E343" t="s">
        <v>4344</v>
      </c>
      <c r="F343" s="1043" t="s">
        <v>4345</v>
      </c>
      <c r="G343" s="264">
        <f t="shared" si="16"/>
        <v>-1.8704712201919268E-2</v>
      </c>
      <c r="H343" t="s">
        <v>4346</v>
      </c>
      <c r="I343" t="s">
        <v>4347</v>
      </c>
      <c r="J343">
        <f t="shared" si="17"/>
        <v>-1.288972999383464</v>
      </c>
      <c r="K343" s="1043" t="s">
        <v>4348</v>
      </c>
      <c r="L343" s="264" t="s">
        <v>3508</v>
      </c>
      <c r="M343" s="1043" t="s">
        <v>4349</v>
      </c>
      <c r="N343">
        <f t="shared" si="18"/>
        <v>3.8423771951372758E-3</v>
      </c>
    </row>
    <row r="344" spans="1:14" ht="15">
      <c r="A344" s="1043" t="s">
        <v>1264</v>
      </c>
      <c r="B344" s="1043" t="s">
        <v>2087</v>
      </c>
      <c r="C344" s="1043" t="s">
        <v>4346</v>
      </c>
      <c r="E344" t="s">
        <v>4350</v>
      </c>
      <c r="F344" s="1043" t="s">
        <v>4351</v>
      </c>
      <c r="G344" s="264">
        <f t="shared" si="16"/>
        <v>-0.58229300055772681</v>
      </c>
      <c r="H344" t="s">
        <v>4352</v>
      </c>
      <c r="I344" t="s">
        <v>4353</v>
      </c>
      <c r="J344">
        <f t="shared" si="17"/>
        <v>0.79614174944000216</v>
      </c>
      <c r="K344" s="1003"/>
      <c r="L344" s="264" t="s">
        <v>4354</v>
      </c>
      <c r="M344" s="1043" t="s">
        <v>4355</v>
      </c>
      <c r="N344">
        <f t="shared" si="18"/>
        <v>-0.68961306082165985</v>
      </c>
    </row>
    <row r="345" spans="1:14" ht="15">
      <c r="A345" s="1043" t="s">
        <v>1267</v>
      </c>
      <c r="B345" s="1053"/>
      <c r="C345" s="1043" t="s">
        <v>4352</v>
      </c>
      <c r="E345" t="s">
        <v>4356</v>
      </c>
      <c r="F345" s="1043" t="s">
        <v>4357</v>
      </c>
      <c r="G345" s="264">
        <f t="shared" si="16"/>
        <v>0.24829254602515941</v>
      </c>
      <c r="H345" t="s">
        <v>4358</v>
      </c>
      <c r="I345" t="s">
        <v>4359</v>
      </c>
      <c r="J345">
        <f t="shared" si="17"/>
        <v>8.4427069534212376E-2</v>
      </c>
      <c r="K345" s="1043" t="s">
        <v>4360</v>
      </c>
      <c r="L345" s="264"/>
      <c r="M345" s="1043" t="s">
        <v>4361</v>
      </c>
      <c r="N345">
        <f t="shared" si="18"/>
        <v>0.16527547017014077</v>
      </c>
    </row>
    <row r="346" spans="1:14" ht="15">
      <c r="A346" s="1043" t="s">
        <v>1269</v>
      </c>
      <c r="B346" s="1043" t="s">
        <v>2235</v>
      </c>
      <c r="C346" s="1043" t="s">
        <v>4358</v>
      </c>
      <c r="E346" t="s">
        <v>4362</v>
      </c>
      <c r="F346" s="1043" t="s">
        <v>4363</v>
      </c>
      <c r="G346" s="264">
        <f t="shared" si="16"/>
        <v>0.10093804524408642</v>
      </c>
      <c r="H346" t="s">
        <v>4364</v>
      </c>
      <c r="I346" t="s">
        <v>4365</v>
      </c>
      <c r="J346">
        <f t="shared" si="17"/>
        <v>0.41756137178544395</v>
      </c>
      <c r="K346" s="1043" t="s">
        <v>4366</v>
      </c>
      <c r="L346" s="264" t="s">
        <v>4367</v>
      </c>
      <c r="M346" s="1043" t="s">
        <v>4368</v>
      </c>
      <c r="N346">
        <f t="shared" si="18"/>
        <v>2.5207298022157276E-2</v>
      </c>
    </row>
    <row r="347" spans="1:14" ht="15">
      <c r="A347" s="1043" t="s">
        <v>1271</v>
      </c>
      <c r="B347" s="1043" t="s">
        <v>2907</v>
      </c>
      <c r="C347" s="1043" t="s">
        <v>4364</v>
      </c>
      <c r="E347" t="s">
        <v>4369</v>
      </c>
      <c r="F347" s="1043" t="s">
        <v>4370</v>
      </c>
      <c r="G347" s="264">
        <f t="shared" si="16"/>
        <v>1.189774008290057E-2</v>
      </c>
      <c r="H347" t="s">
        <v>4371</v>
      </c>
      <c r="I347" t="s">
        <v>4372</v>
      </c>
      <c r="J347">
        <f t="shared" si="17"/>
        <v>1.1192157295592509</v>
      </c>
      <c r="K347" s="1043" t="s">
        <v>4373</v>
      </c>
      <c r="L347" s="264" t="s">
        <v>4374</v>
      </c>
      <c r="M347" s="1043" t="s">
        <v>4375</v>
      </c>
      <c r="N347">
        <f t="shared" si="18"/>
        <v>8.210535844441727E-2</v>
      </c>
    </row>
    <row r="348" spans="1:14" ht="15">
      <c r="A348" s="1043" t="s">
        <v>1273</v>
      </c>
      <c r="B348" s="1043" t="s">
        <v>3069</v>
      </c>
      <c r="C348" s="1043" t="s">
        <v>4371</v>
      </c>
      <c r="E348" t="s">
        <v>4376</v>
      </c>
      <c r="F348" s="1043" t="s">
        <v>4377</v>
      </c>
      <c r="G348" s="264">
        <f t="shared" si="16"/>
        <v>0.17186290931755882</v>
      </c>
      <c r="H348" t="s">
        <v>4378</v>
      </c>
      <c r="I348" t="s">
        <v>4379</v>
      </c>
      <c r="J348">
        <f t="shared" si="17"/>
        <v>5.7649785129822968</v>
      </c>
      <c r="K348" s="1043" t="s">
        <v>4380</v>
      </c>
      <c r="L348" s="264" t="s">
        <v>4381</v>
      </c>
      <c r="M348" s="1043" t="s">
        <v>4382</v>
      </c>
      <c r="N348">
        <f t="shared" si="18"/>
        <v>0.16849498814288713</v>
      </c>
    </row>
    <row r="349" spans="1:14" ht="15">
      <c r="A349" s="1043" t="s">
        <v>1275</v>
      </c>
      <c r="B349" s="1043" t="s">
        <v>4383</v>
      </c>
      <c r="C349" s="1043" t="s">
        <v>4378</v>
      </c>
      <c r="E349" t="s">
        <v>4384</v>
      </c>
      <c r="F349" s="1043" t="s">
        <v>4385</v>
      </c>
      <c r="G349" s="264">
        <f t="shared" si="16"/>
        <v>0.10648716820256375</v>
      </c>
      <c r="H349" t="s">
        <v>4386</v>
      </c>
      <c r="I349" t="s">
        <v>4387</v>
      </c>
      <c r="J349">
        <f t="shared" si="17"/>
        <v>-6.4890345598229793</v>
      </c>
      <c r="K349" s="1043" t="s">
        <v>4388</v>
      </c>
      <c r="L349" s="264" t="s">
        <v>3599</v>
      </c>
      <c r="M349" s="1043" t="s">
        <v>4389</v>
      </c>
      <c r="N349">
        <f t="shared" si="18"/>
        <v>6.758165094950401E-2</v>
      </c>
    </row>
    <row r="350" spans="1:14" ht="15">
      <c r="A350" s="1043" t="s">
        <v>1277</v>
      </c>
      <c r="B350" s="1043" t="s">
        <v>4390</v>
      </c>
      <c r="C350" s="1043" t="s">
        <v>4386</v>
      </c>
      <c r="E350" t="s">
        <v>4391</v>
      </c>
      <c r="F350" s="1043" t="s">
        <v>4392</v>
      </c>
      <c r="G350" s="264">
        <f t="shared" si="16"/>
        <v>-7.8576799918069484E-2</v>
      </c>
      <c r="H350" t="s">
        <v>4393</v>
      </c>
      <c r="I350" t="s">
        <v>4394</v>
      </c>
      <c r="J350">
        <f t="shared" si="17"/>
        <v>9.1954484886730192</v>
      </c>
      <c r="K350" s="1043" t="s">
        <v>4395</v>
      </c>
      <c r="L350" s="264" t="s">
        <v>4396</v>
      </c>
      <c r="M350" s="1043" t="s">
        <v>4397</v>
      </c>
      <c r="N350">
        <f t="shared" si="18"/>
        <v>-0.30790629477350329</v>
      </c>
    </row>
    <row r="351" spans="1:14" ht="15">
      <c r="A351" s="1043" t="s">
        <v>1279</v>
      </c>
      <c r="B351" s="1043" t="s">
        <v>4398</v>
      </c>
      <c r="C351" s="1043" t="s">
        <v>4393</v>
      </c>
      <c r="E351" t="s">
        <v>4399</v>
      </c>
      <c r="F351" s="1043" t="s">
        <v>4400</v>
      </c>
      <c r="G351" s="264">
        <f t="shared" si="16"/>
        <v>0.12742056936661286</v>
      </c>
      <c r="H351" t="s">
        <v>4401</v>
      </c>
      <c r="I351" t="s">
        <v>4402</v>
      </c>
      <c r="J351" t="e">
        <f t="shared" si="17"/>
        <v>#DIV/0!</v>
      </c>
      <c r="K351" s="1043" t="s">
        <v>4403</v>
      </c>
      <c r="L351" s="264" t="s">
        <v>4404</v>
      </c>
      <c r="M351" s="1043" t="s">
        <v>4405</v>
      </c>
      <c r="N351">
        <f t="shared" si="18"/>
        <v>4.0472281105169955E-2</v>
      </c>
    </row>
    <row r="352" spans="1:14" ht="15">
      <c r="A352" s="1043" t="s">
        <v>1281</v>
      </c>
      <c r="B352" s="1043" t="s">
        <v>4406</v>
      </c>
      <c r="C352" s="1043" t="s">
        <v>4401</v>
      </c>
      <c r="F352" s="1053"/>
      <c r="G352" s="264" t="e">
        <f t="shared" si="16"/>
        <v>#DIV/0!</v>
      </c>
      <c r="J352">
        <f t="shared" si="17"/>
        <v>0.62189182260958731</v>
      </c>
      <c r="K352" s="1043" t="s">
        <v>4407</v>
      </c>
      <c r="L352" s="264" t="s">
        <v>4408</v>
      </c>
      <c r="M352" s="1003"/>
      <c r="N352" t="e">
        <f t="shared" si="18"/>
        <v>#DIV/0!</v>
      </c>
    </row>
    <row r="353" spans="1:14" ht="15">
      <c r="A353" s="1043" t="s">
        <v>1283</v>
      </c>
      <c r="B353" s="1053"/>
      <c r="C353" s="1053"/>
      <c r="E353" t="s">
        <v>4409</v>
      </c>
      <c r="F353" s="1043" t="s">
        <v>4410</v>
      </c>
      <c r="G353" s="264">
        <f t="shared" si="16"/>
        <v>2.938111597766091E-2</v>
      </c>
      <c r="H353" t="s">
        <v>4411</v>
      </c>
      <c r="I353" t="s">
        <v>4412</v>
      </c>
      <c r="J353" t="e">
        <f t="shared" si="17"/>
        <v>#DIV/0!</v>
      </c>
      <c r="K353" s="1043">
        <v>34</v>
      </c>
      <c r="L353" s="264"/>
      <c r="M353" s="1043" t="s">
        <v>4413</v>
      </c>
      <c r="N353">
        <f t="shared" si="18"/>
        <v>5.7965846065833805E-2</v>
      </c>
    </row>
    <row r="354" spans="1:14" ht="15">
      <c r="A354" s="1043" t="s">
        <v>1285</v>
      </c>
      <c r="B354" s="1043" t="s">
        <v>3615</v>
      </c>
      <c r="C354" s="1043" t="s">
        <v>4411</v>
      </c>
      <c r="F354" s="1053"/>
      <c r="G354" s="264" t="e">
        <f t="shared" si="16"/>
        <v>#DIV/0!</v>
      </c>
      <c r="J354" t="e">
        <f t="shared" si="17"/>
        <v>#DIV/0!</v>
      </c>
      <c r="K354" s="1043" t="s">
        <v>4414</v>
      </c>
      <c r="L354" s="264"/>
      <c r="M354" s="1003"/>
      <c r="N354" t="e">
        <f t="shared" si="18"/>
        <v>#DIV/0!</v>
      </c>
    </row>
    <row r="355" spans="1:14" ht="15">
      <c r="A355" s="1043" t="s">
        <v>1288</v>
      </c>
      <c r="B355" s="1053"/>
      <c r="C355" s="1053"/>
      <c r="F355" s="1053"/>
      <c r="G355" s="264" t="e">
        <f t="shared" si="16"/>
        <v>#DIV/0!</v>
      </c>
      <c r="J355" t="e">
        <f t="shared" si="17"/>
        <v>#DIV/0!</v>
      </c>
      <c r="K355" s="1043" t="s">
        <v>4415</v>
      </c>
      <c r="L355" s="264"/>
      <c r="M355" s="1003"/>
      <c r="N355" t="e">
        <f t="shared" si="18"/>
        <v>#DIV/0!</v>
      </c>
    </row>
    <row r="356" spans="1:14" ht="15">
      <c r="A356" s="1043" t="s">
        <v>1290</v>
      </c>
      <c r="B356" s="1053"/>
      <c r="C356" s="1053"/>
      <c r="F356" s="1053"/>
      <c r="G356" s="264" t="e">
        <f t="shared" si="16"/>
        <v>#DIV/0!</v>
      </c>
      <c r="J356" t="e">
        <f t="shared" si="17"/>
        <v>#DIV/0!</v>
      </c>
      <c r="K356" s="1043" t="s">
        <v>4416</v>
      </c>
      <c r="L356" s="264"/>
      <c r="M356" s="1003"/>
      <c r="N356" t="e">
        <f t="shared" si="18"/>
        <v>#DIV/0!</v>
      </c>
    </row>
    <row r="357" spans="1:14" ht="15">
      <c r="A357" s="1043" t="s">
        <v>1292</v>
      </c>
      <c r="B357" s="1053"/>
      <c r="C357" s="1053"/>
      <c r="F357" s="1053"/>
      <c r="G357" s="264" t="e">
        <f t="shared" si="16"/>
        <v>#DIV/0!</v>
      </c>
      <c r="J357" t="e">
        <f t="shared" si="17"/>
        <v>#DIV/0!</v>
      </c>
      <c r="K357" s="1043" t="s">
        <v>4417</v>
      </c>
      <c r="L357" s="264"/>
      <c r="M357" s="1003"/>
      <c r="N357" t="e">
        <f t="shared" si="18"/>
        <v>#DIV/0!</v>
      </c>
    </row>
    <row r="358" spans="1:14" ht="15">
      <c r="A358" s="1043" t="s">
        <v>1294</v>
      </c>
      <c r="B358" s="1053"/>
      <c r="C358" s="1053"/>
      <c r="F358" s="1053"/>
      <c r="G358" s="264" t="e">
        <f t="shared" si="16"/>
        <v>#DIV/0!</v>
      </c>
      <c r="J358">
        <f t="shared" si="17"/>
        <v>0</v>
      </c>
      <c r="K358" s="1043" t="s">
        <v>4418</v>
      </c>
      <c r="L358" s="264"/>
      <c r="M358" s="1003"/>
      <c r="N358" t="e">
        <f t="shared" si="18"/>
        <v>#DIV/0!</v>
      </c>
    </row>
    <row r="359" spans="1:14" ht="15">
      <c r="A359" s="1043" t="s">
        <v>1296</v>
      </c>
      <c r="B359" s="1053"/>
      <c r="C359" s="1053"/>
      <c r="E359" t="s">
        <v>4419</v>
      </c>
      <c r="F359" s="1043" t="s">
        <v>4420</v>
      </c>
      <c r="G359" s="264">
        <f t="shared" si="16"/>
        <v>7.8626434838596368E-2</v>
      </c>
      <c r="H359">
        <v>0</v>
      </c>
      <c r="I359" t="s">
        <v>4421</v>
      </c>
      <c r="J359">
        <f t="shared" si="17"/>
        <v>-1.5236463453341487</v>
      </c>
      <c r="K359" s="1043" t="s">
        <v>4422</v>
      </c>
      <c r="L359" s="264"/>
      <c r="M359" s="1043" t="s">
        <v>4423</v>
      </c>
      <c r="N359">
        <f t="shared" si="18"/>
        <v>2.687986447297629E-2</v>
      </c>
    </row>
    <row r="360" spans="1:14" ht="15">
      <c r="A360" s="1043" t="s">
        <v>1298</v>
      </c>
      <c r="B360" s="1043" t="s">
        <v>2095</v>
      </c>
      <c r="C360" s="1043">
        <v>0</v>
      </c>
      <c r="E360" t="s">
        <v>4424</v>
      </c>
      <c r="F360" s="1043" t="s">
        <v>4425</v>
      </c>
      <c r="G360" s="264">
        <f t="shared" si="16"/>
        <v>-0.22994306010852955</v>
      </c>
      <c r="H360" t="s">
        <v>4426</v>
      </c>
      <c r="I360" t="s">
        <v>4427</v>
      </c>
      <c r="J360">
        <f t="shared" si="17"/>
        <v>2.2048539548294097</v>
      </c>
      <c r="K360" s="1043" t="s">
        <v>4428</v>
      </c>
      <c r="L360" s="264" t="s">
        <v>4429</v>
      </c>
      <c r="M360" s="1043" t="s">
        <v>4430</v>
      </c>
      <c r="N360">
        <f t="shared" si="18"/>
        <v>-0.13919904915406645</v>
      </c>
    </row>
    <row r="361" spans="1:14" ht="15">
      <c r="A361" s="1043" t="s">
        <v>1300</v>
      </c>
      <c r="B361" s="1043" t="s">
        <v>2627</v>
      </c>
      <c r="C361" s="1043" t="s">
        <v>4426</v>
      </c>
      <c r="E361" t="s">
        <v>4431</v>
      </c>
      <c r="F361" s="1043" t="s">
        <v>4432</v>
      </c>
      <c r="G361" s="264">
        <f t="shared" si="16"/>
        <v>0.4442714934634967</v>
      </c>
      <c r="H361" t="s">
        <v>4433</v>
      </c>
      <c r="I361" t="s">
        <v>4434</v>
      </c>
      <c r="J361">
        <f t="shared" si="17"/>
        <v>-1.0410050109393747</v>
      </c>
      <c r="K361" s="1043" t="s">
        <v>4435</v>
      </c>
      <c r="L361" s="264" t="s">
        <v>4436</v>
      </c>
      <c r="M361" s="1043" t="s">
        <v>4437</v>
      </c>
      <c r="N361">
        <f t="shared" si="18"/>
        <v>0.18785719675978682</v>
      </c>
    </row>
    <row r="362" spans="1:14" ht="15">
      <c r="A362" s="1043" t="s">
        <v>1302</v>
      </c>
      <c r="B362" s="1043" t="s">
        <v>4438</v>
      </c>
      <c r="C362" s="1043" t="s">
        <v>4433</v>
      </c>
      <c r="E362" t="s">
        <v>4439</v>
      </c>
      <c r="F362" s="1043" t="s">
        <v>4440</v>
      </c>
      <c r="G362" s="264">
        <f t="shared" si="16"/>
        <v>-0.50134971251277383</v>
      </c>
      <c r="H362" t="s">
        <v>4441</v>
      </c>
      <c r="I362" t="s">
        <v>4442</v>
      </c>
      <c r="J362">
        <f t="shared" si="17"/>
        <v>-2.0596433704123625</v>
      </c>
      <c r="K362" s="1043" t="s">
        <v>4443</v>
      </c>
      <c r="L362" s="264" t="s">
        <v>4444</v>
      </c>
      <c r="M362" s="1043" t="s">
        <v>4445</v>
      </c>
      <c r="N362">
        <f t="shared" si="18"/>
        <v>-0.20205491661259617</v>
      </c>
    </row>
    <row r="363" spans="1:14" ht="15">
      <c r="A363" s="1043" t="s">
        <v>1304</v>
      </c>
      <c r="B363" s="1043" t="s">
        <v>4446</v>
      </c>
      <c r="C363" s="1043" t="s">
        <v>4441</v>
      </c>
      <c r="E363" t="s">
        <v>4447</v>
      </c>
      <c r="F363" s="1061" t="s">
        <v>4448</v>
      </c>
      <c r="G363" s="264">
        <f t="shared" si="16"/>
        <v>0.42669260668189235</v>
      </c>
      <c r="H363" t="s">
        <v>4449</v>
      </c>
      <c r="I363" t="s">
        <v>4450</v>
      </c>
      <c r="J363">
        <f t="shared" si="17"/>
        <v>-2.4821684796372017</v>
      </c>
      <c r="K363" s="1043" t="s">
        <v>4451</v>
      </c>
      <c r="L363" s="264" t="s">
        <v>4452</v>
      </c>
      <c r="M363" s="1043" t="s">
        <v>4453</v>
      </c>
      <c r="N363">
        <f t="shared" si="18"/>
        <v>-0.86861313814823582</v>
      </c>
    </row>
    <row r="364" spans="1:14" ht="15">
      <c r="A364" s="1043" t="s">
        <v>1306</v>
      </c>
      <c r="B364" s="1053"/>
      <c r="C364" s="1043" t="s">
        <v>4449</v>
      </c>
      <c r="E364" t="s">
        <v>4454</v>
      </c>
      <c r="F364" s="1043" t="s">
        <v>4455</v>
      </c>
      <c r="G364" s="264">
        <f t="shared" si="16"/>
        <v>-3.3304381579900686</v>
      </c>
      <c r="H364" t="s">
        <v>4456</v>
      </c>
      <c r="I364" t="s">
        <v>4457</v>
      </c>
      <c r="J364">
        <f t="shared" si="17"/>
        <v>-12.708742664804314</v>
      </c>
      <c r="K364" s="1043" t="s">
        <v>4458</v>
      </c>
      <c r="L364" s="264"/>
      <c r="M364" s="1043" t="s">
        <v>4459</v>
      </c>
      <c r="N364">
        <f t="shared" si="18"/>
        <v>-0.57354976693458504</v>
      </c>
    </row>
    <row r="365" spans="1:14" ht="15">
      <c r="A365" s="1043" t="s">
        <v>1308</v>
      </c>
      <c r="B365" s="1043" t="s">
        <v>4460</v>
      </c>
      <c r="C365" s="1043" t="s">
        <v>4456</v>
      </c>
      <c r="E365" t="s">
        <v>4461</v>
      </c>
      <c r="F365" s="1061" t="s">
        <v>4462</v>
      </c>
      <c r="G365" s="264">
        <f t="shared" si="16"/>
        <v>7.8259674637789683E-2</v>
      </c>
      <c r="H365" t="s">
        <v>4463</v>
      </c>
      <c r="I365" t="s">
        <v>4464</v>
      </c>
      <c r="J365" t="e">
        <f t="shared" si="17"/>
        <v>#DIV/0!</v>
      </c>
      <c r="K365" s="1043" t="s">
        <v>4465</v>
      </c>
      <c r="L365" s="264" t="s">
        <v>3613</v>
      </c>
      <c r="M365" s="1043">
        <v>0</v>
      </c>
      <c r="N365" t="e">
        <f t="shared" si="18"/>
        <v>#DIV/0!</v>
      </c>
    </row>
    <row r="366" spans="1:14" ht="15">
      <c r="A366" s="1043" t="s">
        <v>1310</v>
      </c>
      <c r="B366" s="1053"/>
      <c r="C366" s="1043" t="s">
        <v>4463</v>
      </c>
      <c r="F366" s="1053"/>
      <c r="G366" s="264" t="e">
        <f t="shared" si="16"/>
        <v>#DIV/0!</v>
      </c>
      <c r="J366" t="e">
        <f t="shared" si="17"/>
        <v>#DIV/0!</v>
      </c>
      <c r="K366" s="1043" t="s">
        <v>4466</v>
      </c>
      <c r="L366" s="264" t="s">
        <v>4467</v>
      </c>
      <c r="M366" s="1003"/>
      <c r="N366" t="e">
        <f t="shared" si="18"/>
        <v>#DIV/0!</v>
      </c>
    </row>
    <row r="367" spans="1:14" ht="15">
      <c r="A367" s="1043" t="s">
        <v>1312</v>
      </c>
      <c r="B367" s="1053"/>
      <c r="C367" s="1053"/>
      <c r="F367" s="1053"/>
      <c r="G367" s="264" t="e">
        <f t="shared" si="16"/>
        <v>#DIV/0!</v>
      </c>
      <c r="J367">
        <f t="shared" si="17"/>
        <v>8.272294152694295</v>
      </c>
      <c r="K367" s="1043" t="s">
        <v>4468</v>
      </c>
      <c r="L367" s="264"/>
      <c r="M367" s="1003"/>
      <c r="N367" t="e">
        <f t="shared" si="18"/>
        <v>#DIV/0!</v>
      </c>
    </row>
    <row r="368" spans="1:14" ht="15">
      <c r="A368" s="1043" t="s">
        <v>1314</v>
      </c>
      <c r="B368" s="1053"/>
      <c r="C368" s="1053"/>
      <c r="E368" t="s">
        <v>4469</v>
      </c>
      <c r="F368" s="1043" t="s">
        <v>4470</v>
      </c>
      <c r="G368" s="264">
        <f t="shared" si="16"/>
        <v>6.6787599327095978E-2</v>
      </c>
      <c r="H368" t="s">
        <v>4471</v>
      </c>
      <c r="I368" t="s">
        <v>4472</v>
      </c>
      <c r="J368" t="e">
        <f t="shared" si="17"/>
        <v>#DIV/0!</v>
      </c>
      <c r="K368" s="1043" t="s">
        <v>4473</v>
      </c>
      <c r="L368" s="264"/>
      <c r="M368" s="1043" t="s">
        <v>4474</v>
      </c>
      <c r="N368">
        <f t="shared" si="18"/>
        <v>4.6116764252388032E-2</v>
      </c>
    </row>
    <row r="369" spans="1:14" ht="15">
      <c r="A369" s="1043" t="s">
        <v>1316</v>
      </c>
      <c r="B369" s="1043" t="s">
        <v>4475</v>
      </c>
      <c r="C369" s="1043" t="s">
        <v>4471</v>
      </c>
      <c r="F369" s="1053"/>
      <c r="G369" s="264" t="e">
        <f t="shared" si="16"/>
        <v>#DIV/0!</v>
      </c>
      <c r="J369">
        <f t="shared" si="17"/>
        <v>-0.18890853945769939</v>
      </c>
      <c r="K369" s="1043" t="s">
        <v>4476</v>
      </c>
      <c r="L369" s="264" t="s">
        <v>4477</v>
      </c>
      <c r="M369" s="1003"/>
      <c r="N369" t="e">
        <f t="shared" si="18"/>
        <v>#DIV/0!</v>
      </c>
    </row>
    <row r="370" spans="1:14" ht="15">
      <c r="A370" s="1043" t="s">
        <v>1318</v>
      </c>
      <c r="B370" s="1053"/>
      <c r="C370" s="1053"/>
      <c r="E370" t="s">
        <v>4478</v>
      </c>
      <c r="F370" s="1061" t="s">
        <v>4479</v>
      </c>
      <c r="G370" s="264">
        <f t="shared" si="16"/>
        <v>5.939657450335103</v>
      </c>
      <c r="H370" t="s">
        <v>4480</v>
      </c>
      <c r="I370" t="s">
        <v>4481</v>
      </c>
      <c r="J370">
        <f t="shared" si="17"/>
        <v>0.95980761945471038</v>
      </c>
      <c r="K370" s="1043">
        <v>155</v>
      </c>
      <c r="L370" s="264"/>
      <c r="M370" s="1043" t="s">
        <v>4482</v>
      </c>
      <c r="N370">
        <f t="shared" si="18"/>
        <v>-7.7903106389827776</v>
      </c>
    </row>
    <row r="371" spans="1:14" ht="15">
      <c r="A371" s="1043" t="s">
        <v>1320</v>
      </c>
      <c r="B371" s="1053"/>
      <c r="C371" s="1043" t="s">
        <v>4480</v>
      </c>
      <c r="E371" t="s">
        <v>4483</v>
      </c>
      <c r="F371" s="1043" t="s">
        <v>4484</v>
      </c>
      <c r="G371" s="264">
        <f t="shared" si="16"/>
        <v>0.2010057987635871</v>
      </c>
      <c r="H371" t="s">
        <v>4485</v>
      </c>
      <c r="I371" t="s">
        <v>4486</v>
      </c>
      <c r="J371">
        <f t="shared" si="17"/>
        <v>2.6656258182950521</v>
      </c>
      <c r="K371" s="1043" t="s">
        <v>4487</v>
      </c>
      <c r="L371" s="264"/>
      <c r="M371" s="1043" t="s">
        <v>4488</v>
      </c>
      <c r="N371">
        <f t="shared" si="18"/>
        <v>7.4965649194587647E-2</v>
      </c>
    </row>
    <row r="372" spans="1:14" ht="15">
      <c r="A372" s="1043" t="s">
        <v>1322</v>
      </c>
      <c r="B372" s="1043" t="s">
        <v>4489</v>
      </c>
      <c r="C372" s="1043" t="s">
        <v>4485</v>
      </c>
      <c r="E372" t="s">
        <v>4490</v>
      </c>
      <c r="F372" s="1043" t="s">
        <v>4491</v>
      </c>
      <c r="G372" s="264">
        <f t="shared" si="16"/>
        <v>0.17405027532925055</v>
      </c>
      <c r="H372" t="s">
        <v>4492</v>
      </c>
      <c r="I372" t="s">
        <v>4493</v>
      </c>
      <c r="J372" t="e">
        <f t="shared" si="17"/>
        <v>#DIV/0!</v>
      </c>
      <c r="K372" s="1043" t="s">
        <v>4494</v>
      </c>
      <c r="L372" s="264" t="s">
        <v>4495</v>
      </c>
      <c r="M372" s="1043" t="s">
        <v>4496</v>
      </c>
      <c r="N372">
        <f t="shared" si="18"/>
        <v>9.740409854447693E-2</v>
      </c>
    </row>
    <row r="373" spans="1:14" ht="15">
      <c r="A373" s="1043" t="s">
        <v>1324</v>
      </c>
      <c r="B373" s="1043" t="s">
        <v>4497</v>
      </c>
      <c r="C373" s="1043" t="s">
        <v>4492</v>
      </c>
      <c r="F373" s="1053"/>
      <c r="G373" s="264" t="e">
        <f t="shared" si="16"/>
        <v>#DIV/0!</v>
      </c>
      <c r="J373" t="e">
        <f t="shared" si="17"/>
        <v>#DIV/0!</v>
      </c>
      <c r="K373" s="1043" t="s">
        <v>4498</v>
      </c>
      <c r="L373" s="264" t="s">
        <v>4499</v>
      </c>
      <c r="M373" s="1003"/>
      <c r="N373" t="e">
        <f t="shared" si="18"/>
        <v>#DIV/0!</v>
      </c>
    </row>
    <row r="374" spans="1:14" ht="15">
      <c r="A374" s="1043" t="s">
        <v>1327</v>
      </c>
      <c r="B374" s="1053"/>
      <c r="C374" s="1053"/>
      <c r="F374" s="1053"/>
      <c r="G374" s="264" t="e">
        <f t="shared" si="16"/>
        <v>#DIV/0!</v>
      </c>
      <c r="J374" t="e">
        <f t="shared" si="17"/>
        <v>#DIV/0!</v>
      </c>
      <c r="K374" s="1043" t="s">
        <v>4500</v>
      </c>
      <c r="L374" s="264"/>
      <c r="M374" s="1003"/>
      <c r="N374" t="e">
        <f t="shared" si="18"/>
        <v>#DIV/0!</v>
      </c>
    </row>
    <row r="375" spans="1:14" ht="15">
      <c r="A375" s="1043" t="s">
        <v>1329</v>
      </c>
      <c r="B375" s="1053"/>
      <c r="C375" s="1053"/>
      <c r="F375" s="1053"/>
      <c r="G375" s="264" t="e">
        <f t="shared" si="16"/>
        <v>#DIV/0!</v>
      </c>
      <c r="J375">
        <f t="shared" si="17"/>
        <v>-0.90182868142444661</v>
      </c>
      <c r="K375" s="1003"/>
      <c r="L375" s="264"/>
      <c r="M375" s="1003"/>
      <c r="N375" t="e">
        <f t="shared" si="18"/>
        <v>#DIV/0!</v>
      </c>
    </row>
    <row r="376" spans="1:14" ht="15">
      <c r="A376" s="1043" t="s">
        <v>1331</v>
      </c>
      <c r="B376" s="1053"/>
      <c r="C376" s="1053"/>
      <c r="E376" t="s">
        <v>4501</v>
      </c>
      <c r="F376" s="1061" t="s">
        <v>4502</v>
      </c>
      <c r="G376" s="264">
        <f t="shared" si="16"/>
        <v>1.1124197002141327</v>
      </c>
      <c r="H376" t="s">
        <v>4503</v>
      </c>
      <c r="I376" t="s">
        <v>4501</v>
      </c>
      <c r="J376" t="e">
        <f t="shared" si="17"/>
        <v>#DIV/0!</v>
      </c>
      <c r="K376" s="1043" t="s">
        <v>4504</v>
      </c>
      <c r="L376" s="264"/>
      <c r="M376" s="1043">
        <v>0</v>
      </c>
      <c r="N376" t="e">
        <f t="shared" si="18"/>
        <v>#DIV/0!</v>
      </c>
    </row>
    <row r="377" spans="1:14" ht="15">
      <c r="A377" s="1043" t="s">
        <v>1333</v>
      </c>
      <c r="B377" s="1053"/>
      <c r="C377" s="1043" t="s">
        <v>4503</v>
      </c>
      <c r="F377" s="1053"/>
      <c r="G377" s="264" t="e">
        <f t="shared" si="16"/>
        <v>#DIV/0!</v>
      </c>
      <c r="J377" t="e">
        <f t="shared" si="17"/>
        <v>#DIV/0!</v>
      </c>
      <c r="K377" s="1003"/>
      <c r="L377" s="264"/>
      <c r="M377" s="1003"/>
      <c r="N377" t="e">
        <f t="shared" si="18"/>
        <v>#DIV/0!</v>
      </c>
    </row>
    <row r="378" spans="1:14" ht="15">
      <c r="A378" s="1043" t="s">
        <v>1335</v>
      </c>
      <c r="B378" s="1053"/>
      <c r="C378" s="1053"/>
      <c r="F378" s="1053"/>
      <c r="G378" s="264" t="e">
        <f t="shared" si="16"/>
        <v>#DIV/0!</v>
      </c>
      <c r="J378" t="e">
        <f t="shared" si="17"/>
        <v>#DIV/0!</v>
      </c>
      <c r="K378" s="1003"/>
      <c r="L378" s="264"/>
      <c r="M378" s="1003"/>
      <c r="N378" t="e">
        <f t="shared" si="18"/>
        <v>#DIV/0!</v>
      </c>
    </row>
    <row r="379" spans="1:14" ht="15">
      <c r="A379" s="1043" t="s">
        <v>1337</v>
      </c>
      <c r="B379" s="1053"/>
      <c r="C379" s="1053"/>
      <c r="F379" s="1053"/>
      <c r="G379" s="264" t="e">
        <f t="shared" si="16"/>
        <v>#DIV/0!</v>
      </c>
      <c r="J379" t="e">
        <f t="shared" si="17"/>
        <v>#DIV/0!</v>
      </c>
      <c r="K379" s="1003"/>
      <c r="L379" s="264"/>
      <c r="M379" s="1003"/>
      <c r="N379" t="e">
        <f t="shared" si="18"/>
        <v>#DIV/0!</v>
      </c>
    </row>
    <row r="380" spans="1:14" ht="15">
      <c r="A380" s="1043" t="s">
        <v>1339</v>
      </c>
      <c r="B380" s="1053"/>
      <c r="C380" s="1053"/>
      <c r="F380" s="1053"/>
      <c r="G380" s="264" t="e">
        <f t="shared" si="16"/>
        <v>#DIV/0!</v>
      </c>
      <c r="J380" t="e">
        <f t="shared" si="17"/>
        <v>#DIV/0!</v>
      </c>
      <c r="K380" s="1043">
        <v>451</v>
      </c>
      <c r="L380" s="264"/>
      <c r="M380" s="1003"/>
      <c r="N380" t="e">
        <f t="shared" si="18"/>
        <v>#DIV/0!</v>
      </c>
    </row>
    <row r="381" spans="1:14" ht="15">
      <c r="A381" s="1043" t="s">
        <v>1341</v>
      </c>
      <c r="B381" s="1053"/>
      <c r="C381" s="1053"/>
      <c r="F381" s="1053"/>
      <c r="G381" s="264" t="e">
        <f t="shared" si="16"/>
        <v>#DIV/0!</v>
      </c>
      <c r="J381" t="e">
        <f t="shared" si="17"/>
        <v>#DIV/0!</v>
      </c>
      <c r="K381" s="1003"/>
      <c r="L381" s="264"/>
      <c r="M381" s="1003"/>
      <c r="N381" t="e">
        <f t="shared" si="18"/>
        <v>#DIV/0!</v>
      </c>
    </row>
    <row r="382" spans="1:14" ht="15">
      <c r="A382" s="1043" t="s">
        <v>1343</v>
      </c>
      <c r="B382" s="1053"/>
      <c r="C382" s="1053"/>
      <c r="F382" s="1053"/>
      <c r="G382" s="264" t="e">
        <f t="shared" si="16"/>
        <v>#DIV/0!</v>
      </c>
      <c r="J382" t="e">
        <f t="shared" si="17"/>
        <v>#DIV/0!</v>
      </c>
      <c r="K382" s="1003"/>
      <c r="L382" s="264"/>
      <c r="M382" s="1003"/>
      <c r="N382" t="e">
        <f t="shared" si="18"/>
        <v>#DIV/0!</v>
      </c>
    </row>
    <row r="383" spans="1:14" ht="15">
      <c r="A383" s="1043" t="s">
        <v>1345</v>
      </c>
      <c r="B383" s="1053"/>
      <c r="C383" s="1053"/>
      <c r="F383" s="1053"/>
      <c r="G383" s="264" t="e">
        <f t="shared" si="16"/>
        <v>#DIV/0!</v>
      </c>
      <c r="J383" t="e">
        <f t="shared" si="17"/>
        <v>#DIV/0!</v>
      </c>
      <c r="K383" s="1003"/>
      <c r="L383" s="264"/>
      <c r="M383" s="1003"/>
      <c r="N383" t="e">
        <f t="shared" si="18"/>
        <v>#DIV/0!</v>
      </c>
    </row>
    <row r="384" spans="1:14" ht="15">
      <c r="A384" s="1043" t="s">
        <v>1347</v>
      </c>
      <c r="B384" s="1053"/>
      <c r="C384" s="1053"/>
      <c r="F384" s="1053"/>
      <c r="G384" s="264" t="e">
        <f t="shared" si="16"/>
        <v>#DIV/0!</v>
      </c>
      <c r="J384" t="e">
        <f t="shared" si="17"/>
        <v>#DIV/0!</v>
      </c>
      <c r="K384" s="1003"/>
      <c r="L384" s="264"/>
      <c r="M384" s="1003"/>
      <c r="N384" t="e">
        <f t="shared" si="18"/>
        <v>#DIV/0!</v>
      </c>
    </row>
    <row r="385" spans="1:14" ht="15">
      <c r="A385" s="1043" t="s">
        <v>1349</v>
      </c>
      <c r="B385" s="1053"/>
      <c r="C385" s="1053"/>
      <c r="F385" s="1053"/>
      <c r="G385" s="264" t="e">
        <f t="shared" si="16"/>
        <v>#DIV/0!</v>
      </c>
      <c r="J385" t="e">
        <f t="shared" si="17"/>
        <v>#DIV/0!</v>
      </c>
      <c r="K385" s="1003"/>
      <c r="L385" s="264"/>
      <c r="M385" s="1003"/>
      <c r="N385" t="e">
        <f t="shared" si="18"/>
        <v>#DIV/0!</v>
      </c>
    </row>
    <row r="386" spans="1:14" ht="15">
      <c r="A386" s="1043" t="s">
        <v>1351</v>
      </c>
      <c r="B386" s="1053"/>
      <c r="C386" s="1053"/>
      <c r="F386" s="1053"/>
      <c r="G386" s="264" t="e">
        <f t="shared" ref="G386:G449" si="19">E386/F386</f>
        <v>#DIV/0!</v>
      </c>
      <c r="J386" t="e">
        <f t="shared" ref="J386:J449" si="20">H387/I387</f>
        <v>#DIV/0!</v>
      </c>
      <c r="K386" s="1003"/>
      <c r="L386" s="264"/>
      <c r="M386" s="1003"/>
      <c r="N386" t="e">
        <f t="shared" si="18"/>
        <v>#DIV/0!</v>
      </c>
    </row>
    <row r="387" spans="1:14" ht="15">
      <c r="A387" s="1043" t="s">
        <v>1353</v>
      </c>
      <c r="B387" s="1053"/>
      <c r="C387" s="1053"/>
      <c r="F387" s="1053"/>
      <c r="G387" s="264" t="e">
        <f t="shared" si="19"/>
        <v>#DIV/0!</v>
      </c>
      <c r="J387" t="e">
        <f t="shared" si="20"/>
        <v>#DIV/0!</v>
      </c>
      <c r="K387" s="1043" t="s">
        <v>4505</v>
      </c>
      <c r="L387" s="264"/>
      <c r="M387" s="1003"/>
      <c r="N387" t="e">
        <f t="shared" si="18"/>
        <v>#DIV/0!</v>
      </c>
    </row>
    <row r="388" spans="1:14" ht="15">
      <c r="A388" s="1043" t="s">
        <v>1355</v>
      </c>
      <c r="B388" s="1053"/>
      <c r="C388" s="1053"/>
      <c r="F388" s="1053"/>
      <c r="G388" s="264" t="e">
        <f t="shared" si="19"/>
        <v>#DIV/0!</v>
      </c>
      <c r="J388">
        <f t="shared" si="20"/>
        <v>1.0841821789865678</v>
      </c>
      <c r="K388" s="1003"/>
      <c r="L388" s="264"/>
      <c r="M388" s="1003"/>
      <c r="N388" t="e">
        <f t="shared" si="18"/>
        <v>#DIV/0!</v>
      </c>
    </row>
    <row r="389" spans="1:14" ht="15">
      <c r="A389" s="1043" t="s">
        <v>1357</v>
      </c>
      <c r="B389" s="1053"/>
      <c r="C389" s="1053"/>
      <c r="E389" t="s">
        <v>4506</v>
      </c>
      <c r="F389" s="1043" t="s">
        <v>4507</v>
      </c>
      <c r="G389" s="264">
        <f t="shared" si="19"/>
        <v>0.16419026858326757</v>
      </c>
      <c r="H389" t="s">
        <v>4508</v>
      </c>
      <c r="I389" t="s">
        <v>4509</v>
      </c>
      <c r="J389">
        <f t="shared" si="20"/>
        <v>2.0753009533430697</v>
      </c>
      <c r="K389" s="1043" t="s">
        <v>4510</v>
      </c>
      <c r="L389" s="264"/>
      <c r="M389" s="1043" t="s">
        <v>4511</v>
      </c>
      <c r="N389">
        <f t="shared" si="18"/>
        <v>0.17541945289790623</v>
      </c>
    </row>
    <row r="390" spans="1:14" ht="15">
      <c r="A390" s="1043" t="s">
        <v>1359</v>
      </c>
      <c r="B390" s="1043" t="s">
        <v>4512</v>
      </c>
      <c r="C390" s="1043" t="s">
        <v>4508</v>
      </c>
      <c r="E390" t="s">
        <v>4513</v>
      </c>
      <c r="F390" s="1043" t="s">
        <v>4514</v>
      </c>
      <c r="G390" s="264">
        <f t="shared" si="19"/>
        <v>0.13369664504846132</v>
      </c>
      <c r="H390" t="s">
        <v>4515</v>
      </c>
      <c r="I390" t="s">
        <v>4516</v>
      </c>
      <c r="J390">
        <f t="shared" si="20"/>
        <v>13.541641681479133</v>
      </c>
      <c r="K390" s="1043" t="s">
        <v>4517</v>
      </c>
      <c r="L390" s="264" t="s">
        <v>3954</v>
      </c>
      <c r="M390" s="1043" t="s">
        <v>4518</v>
      </c>
      <c r="N390">
        <f t="shared" si="18"/>
        <v>0.17231329690021391</v>
      </c>
    </row>
    <row r="391" spans="1:14" ht="15">
      <c r="A391" s="1043" t="s">
        <v>1361</v>
      </c>
      <c r="B391" s="1043" t="s">
        <v>3474</v>
      </c>
      <c r="C391" s="1043" t="s">
        <v>4515</v>
      </c>
      <c r="E391" t="s">
        <v>4519</v>
      </c>
      <c r="F391" s="1043" t="s">
        <v>4520</v>
      </c>
      <c r="G391" s="264">
        <f t="shared" si="19"/>
        <v>2.8520932673388923E-2</v>
      </c>
      <c r="H391" t="s">
        <v>4521</v>
      </c>
      <c r="I391" t="s">
        <v>4522</v>
      </c>
      <c r="J391">
        <f t="shared" si="20"/>
        <v>0.98856587796201489</v>
      </c>
      <c r="K391" s="1043" t="s">
        <v>4523</v>
      </c>
      <c r="L391" s="264" t="s">
        <v>4524</v>
      </c>
      <c r="M391" s="1043" t="s">
        <v>4525</v>
      </c>
      <c r="N391">
        <f t="shared" si="18"/>
        <v>2.6308004372447982E-2</v>
      </c>
    </row>
    <row r="392" spans="1:14" ht="15">
      <c r="A392" s="1043" t="s">
        <v>1363</v>
      </c>
      <c r="B392" s="1043" t="s">
        <v>4526</v>
      </c>
      <c r="C392" s="1043" t="s">
        <v>4521</v>
      </c>
      <c r="E392" t="s">
        <v>4527</v>
      </c>
      <c r="F392" s="1043" t="s">
        <v>4528</v>
      </c>
      <c r="G392" s="264">
        <f t="shared" si="19"/>
        <v>2.590868548004344E-2</v>
      </c>
      <c r="H392" t="s">
        <v>4529</v>
      </c>
      <c r="I392" t="s">
        <v>4530</v>
      </c>
      <c r="J392">
        <f t="shared" si="20"/>
        <v>2.5743734816924464</v>
      </c>
      <c r="K392" s="1043" t="s">
        <v>4531</v>
      </c>
      <c r="L392" s="264" t="s">
        <v>4532</v>
      </c>
      <c r="M392" s="1043" t="s">
        <v>4533</v>
      </c>
      <c r="N392">
        <f t="shared" si="18"/>
        <v>5.0094679434088143E-2</v>
      </c>
    </row>
    <row r="393" spans="1:14" ht="15">
      <c r="A393" s="1043" t="s">
        <v>1365</v>
      </c>
      <c r="B393" s="1043" t="s">
        <v>4534</v>
      </c>
      <c r="C393" s="1043" t="s">
        <v>4529</v>
      </c>
      <c r="E393" t="s">
        <v>4535</v>
      </c>
      <c r="F393" s="1043" t="s">
        <v>4536</v>
      </c>
      <c r="G393" s="264">
        <f t="shared" si="19"/>
        <v>0.30373596832972277</v>
      </c>
      <c r="H393" t="s">
        <v>4537</v>
      </c>
      <c r="I393" t="s">
        <v>4538</v>
      </c>
      <c r="J393">
        <f t="shared" si="20"/>
        <v>-100.85045838668613</v>
      </c>
      <c r="K393" s="1043" t="s">
        <v>4539</v>
      </c>
      <c r="L393" s="264" t="s">
        <v>4540</v>
      </c>
      <c r="M393" s="1043" t="s">
        <v>4541</v>
      </c>
      <c r="N393">
        <f t="shared" si="18"/>
        <v>0.20145502599186571</v>
      </c>
    </row>
    <row r="394" spans="1:14" ht="15">
      <c r="A394" s="1043" t="s">
        <v>1367</v>
      </c>
      <c r="B394" s="1043" t="s">
        <v>4542</v>
      </c>
      <c r="C394" s="1043" t="s">
        <v>4537</v>
      </c>
      <c r="E394" t="s">
        <v>4543</v>
      </c>
      <c r="F394" s="1043" t="s">
        <v>4544</v>
      </c>
      <c r="G394" s="264">
        <f t="shared" si="19"/>
        <v>-9.6132815503891644E-3</v>
      </c>
      <c r="H394" t="s">
        <v>4545</v>
      </c>
      <c r="I394" t="s">
        <v>4546</v>
      </c>
      <c r="J394">
        <f t="shared" si="20"/>
        <v>3.7618022970642779</v>
      </c>
      <c r="K394" s="1043" t="s">
        <v>4547</v>
      </c>
      <c r="L394" s="264" t="s">
        <v>4548</v>
      </c>
      <c r="M394" s="1043" t="s">
        <v>4549</v>
      </c>
      <c r="N394">
        <f t="shared" si="18"/>
        <v>-1.0781538278900185</v>
      </c>
    </row>
    <row r="395" spans="1:14" ht="15">
      <c r="A395" s="1043" t="s">
        <v>1369</v>
      </c>
      <c r="B395" s="1043" t="s">
        <v>4550</v>
      </c>
      <c r="C395" s="1043" t="s">
        <v>4545</v>
      </c>
      <c r="E395" t="s">
        <v>4551</v>
      </c>
      <c r="F395" s="1043" t="s">
        <v>4552</v>
      </c>
      <c r="G395" s="264">
        <f t="shared" si="19"/>
        <v>0.67527689820944647</v>
      </c>
      <c r="H395" t="s">
        <v>4553</v>
      </c>
      <c r="I395" t="s">
        <v>4554</v>
      </c>
      <c r="J395">
        <f t="shared" si="20"/>
        <v>2.0833103688004471</v>
      </c>
      <c r="K395" s="1043" t="s">
        <v>4555</v>
      </c>
      <c r="L395" s="264" t="s">
        <v>3946</v>
      </c>
      <c r="M395" s="1003"/>
      <c r="N395" t="e">
        <f t="shared" si="18"/>
        <v>#DIV/0!</v>
      </c>
    </row>
    <row r="396" spans="1:14" ht="15">
      <c r="A396" s="1043" t="s">
        <v>1371</v>
      </c>
      <c r="B396" s="1043" t="s">
        <v>4556</v>
      </c>
      <c r="C396" s="1043" t="s">
        <v>4553</v>
      </c>
      <c r="E396" t="s">
        <v>4557</v>
      </c>
      <c r="F396" s="1043" t="s">
        <v>4558</v>
      </c>
      <c r="G396" s="264">
        <f t="shared" si="19"/>
        <v>0.11334119882706452</v>
      </c>
      <c r="H396" t="s">
        <v>4559</v>
      </c>
      <c r="I396" t="s">
        <v>4560</v>
      </c>
      <c r="J396">
        <f t="shared" si="20"/>
        <v>0</v>
      </c>
      <c r="K396" s="1043" t="s">
        <v>4561</v>
      </c>
      <c r="L396" s="264"/>
      <c r="M396" s="1043" t="s">
        <v>4562</v>
      </c>
      <c r="N396">
        <f t="shared" si="18"/>
        <v>0.13800199214434475</v>
      </c>
    </row>
    <row r="397" spans="1:14" ht="15">
      <c r="A397" s="1043" t="s">
        <v>1373</v>
      </c>
      <c r="B397" s="1043" t="s">
        <v>4267</v>
      </c>
      <c r="C397" s="1043" t="s">
        <v>4559</v>
      </c>
      <c r="E397" t="s">
        <v>4563</v>
      </c>
      <c r="F397" s="1043" t="s">
        <v>4564</v>
      </c>
      <c r="G397" s="264">
        <f t="shared" si="19"/>
        <v>0.26683412055409111</v>
      </c>
      <c r="H397">
        <v>0</v>
      </c>
      <c r="I397" t="s">
        <v>4565</v>
      </c>
      <c r="J397">
        <f t="shared" si="20"/>
        <v>3.2684440596282731</v>
      </c>
      <c r="K397" s="1043" t="s">
        <v>4566</v>
      </c>
      <c r="L397" s="264" t="s">
        <v>4008</v>
      </c>
      <c r="M397" s="1043" t="s">
        <v>4567</v>
      </c>
      <c r="N397">
        <f t="shared" si="18"/>
        <v>0.12473562772714863</v>
      </c>
    </row>
    <row r="398" spans="1:14" ht="15">
      <c r="A398" s="1043" t="s">
        <v>1375</v>
      </c>
      <c r="B398" s="1043" t="s">
        <v>2095</v>
      </c>
      <c r="C398" s="1043">
        <v>0</v>
      </c>
      <c r="E398" t="s">
        <v>4568</v>
      </c>
      <c r="F398" s="1043" t="s">
        <v>4569</v>
      </c>
      <c r="G398" s="264">
        <f t="shared" si="19"/>
        <v>5.7889246366190493E-2</v>
      </c>
      <c r="H398" t="s">
        <v>4570</v>
      </c>
      <c r="I398" t="s">
        <v>4571</v>
      </c>
      <c r="J398">
        <f t="shared" si="20"/>
        <v>0.65213230507772824</v>
      </c>
      <c r="K398" s="1043" t="s">
        <v>4572</v>
      </c>
      <c r="L398" s="264"/>
      <c r="M398" s="1043" t="s">
        <v>4573</v>
      </c>
      <c r="N398">
        <f t="shared" si="18"/>
        <v>5.6926079375907705E-2</v>
      </c>
    </row>
    <row r="399" spans="1:14" ht="15">
      <c r="A399" s="1043" t="s">
        <v>1377</v>
      </c>
      <c r="B399" s="1043" t="s">
        <v>3834</v>
      </c>
      <c r="C399" s="1043" t="s">
        <v>4570</v>
      </c>
      <c r="E399" t="s">
        <v>4574</v>
      </c>
      <c r="F399" s="1043" t="s">
        <v>4575</v>
      </c>
      <c r="G399" s="264">
        <f t="shared" si="19"/>
        <v>0.31372671442819056</v>
      </c>
      <c r="H399" t="s">
        <v>4576</v>
      </c>
      <c r="I399" t="s">
        <v>4577</v>
      </c>
      <c r="J399" t="e">
        <f t="shared" si="20"/>
        <v>#DIV/0!</v>
      </c>
      <c r="K399" s="1043" t="s">
        <v>4578</v>
      </c>
      <c r="L399" s="264" t="s">
        <v>4579</v>
      </c>
      <c r="M399" s="1043" t="s">
        <v>4580</v>
      </c>
      <c r="N399">
        <f t="shared" si="18"/>
        <v>6.0730419478917844E-2</v>
      </c>
    </row>
    <row r="400" spans="1:14" ht="15">
      <c r="A400" s="1043" t="s">
        <v>1379</v>
      </c>
      <c r="B400" s="1043" t="s">
        <v>4581</v>
      </c>
      <c r="C400" s="1043" t="s">
        <v>4576</v>
      </c>
      <c r="F400" s="1053"/>
      <c r="G400" s="264" t="e">
        <f t="shared" si="19"/>
        <v>#DIV/0!</v>
      </c>
      <c r="J400">
        <f t="shared" si="20"/>
        <v>0</v>
      </c>
      <c r="K400" s="1003"/>
      <c r="L400" s="264"/>
      <c r="M400" s="1003"/>
      <c r="N400" t="e">
        <f t="shared" si="18"/>
        <v>#DIV/0!</v>
      </c>
    </row>
    <row r="401" spans="1:14" ht="15">
      <c r="A401" s="1043" t="s">
        <v>1382</v>
      </c>
      <c r="B401" s="1053"/>
      <c r="C401" s="1053"/>
      <c r="E401" t="s">
        <v>4582</v>
      </c>
      <c r="F401" s="1043" t="s">
        <v>4583</v>
      </c>
      <c r="G401" s="264">
        <f t="shared" si="19"/>
        <v>9.5013801014615581E-2</v>
      </c>
      <c r="H401">
        <v>0</v>
      </c>
      <c r="I401" t="s">
        <v>4584</v>
      </c>
      <c r="J401">
        <f t="shared" si="20"/>
        <v>3.0013437981093682</v>
      </c>
      <c r="K401" s="1043" t="s">
        <v>4585</v>
      </c>
      <c r="L401" s="264"/>
      <c r="M401" s="1043" t="s">
        <v>4586</v>
      </c>
      <c r="N401">
        <f t="shared" ref="N401:N464" si="21">I401/M401</f>
        <v>0.49808012096936899</v>
      </c>
    </row>
    <row r="402" spans="1:14" ht="15">
      <c r="A402" s="1043" t="s">
        <v>1384</v>
      </c>
      <c r="B402" s="1043" t="s">
        <v>2095</v>
      </c>
      <c r="C402" s="1043">
        <v>0</v>
      </c>
      <c r="E402" t="s">
        <v>4587</v>
      </c>
      <c r="F402" s="1043" t="s">
        <v>4588</v>
      </c>
      <c r="G402" s="264">
        <f t="shared" si="19"/>
        <v>0.11247219175320647</v>
      </c>
      <c r="H402" t="s">
        <v>4589</v>
      </c>
      <c r="I402" t="s">
        <v>4590</v>
      </c>
      <c r="J402" t="e">
        <f t="shared" si="20"/>
        <v>#DIV/0!</v>
      </c>
      <c r="K402" s="1043" t="s">
        <v>4591</v>
      </c>
      <c r="L402" s="264"/>
      <c r="M402" s="1043" t="s">
        <v>4592</v>
      </c>
      <c r="N402">
        <f t="shared" si="21"/>
        <v>6.5029202047247922E-2</v>
      </c>
    </row>
    <row r="403" spans="1:14" ht="15">
      <c r="A403" s="1043" t="s">
        <v>1386</v>
      </c>
      <c r="B403" s="1043" t="s">
        <v>4593</v>
      </c>
      <c r="C403" s="1043" t="s">
        <v>4589</v>
      </c>
      <c r="F403" s="1053"/>
      <c r="G403" s="264" t="e">
        <f t="shared" si="19"/>
        <v>#DIV/0!</v>
      </c>
      <c r="J403">
        <f t="shared" si="20"/>
        <v>0.23570363525362786</v>
      </c>
      <c r="K403" s="1043" t="s">
        <v>4594</v>
      </c>
      <c r="L403" s="264" t="s">
        <v>4595</v>
      </c>
      <c r="M403" s="1003"/>
      <c r="N403" t="e">
        <f t="shared" si="21"/>
        <v>#DIV/0!</v>
      </c>
    </row>
    <row r="404" spans="1:14" ht="15">
      <c r="A404" s="1043" t="s">
        <v>1388</v>
      </c>
      <c r="B404" s="1053"/>
      <c r="C404" s="1053"/>
      <c r="E404" t="s">
        <v>4596</v>
      </c>
      <c r="F404" s="1043" t="s">
        <v>4597</v>
      </c>
      <c r="G404" s="264">
        <f t="shared" si="19"/>
        <v>0.13154761864767131</v>
      </c>
      <c r="H404" t="s">
        <v>4598</v>
      </c>
      <c r="I404" t="s">
        <v>4599</v>
      </c>
      <c r="J404">
        <f t="shared" si="20"/>
        <v>0.94937790810911549</v>
      </c>
      <c r="K404" s="1043" t="s">
        <v>4600</v>
      </c>
      <c r="L404" s="264"/>
      <c r="M404" s="1043" t="s">
        <v>4601</v>
      </c>
      <c r="N404">
        <f t="shared" si="21"/>
        <v>0.18989675313316468</v>
      </c>
    </row>
    <row r="405" spans="1:14" ht="15">
      <c r="A405" s="1043" t="s">
        <v>531</v>
      </c>
      <c r="B405" s="1043" t="s">
        <v>4602</v>
      </c>
      <c r="C405" s="1043" t="s">
        <v>4598</v>
      </c>
      <c r="E405" t="s">
        <v>4603</v>
      </c>
      <c r="F405" s="1043" t="s">
        <v>4604</v>
      </c>
      <c r="G405" s="264">
        <f t="shared" si="19"/>
        <v>0.1903665921561995</v>
      </c>
      <c r="H405" t="s">
        <v>4605</v>
      </c>
      <c r="I405" t="s">
        <v>4606</v>
      </c>
      <c r="J405">
        <f t="shared" si="20"/>
        <v>2.446705824284598</v>
      </c>
      <c r="K405" s="1043" t="s">
        <v>4607</v>
      </c>
      <c r="L405" s="264" t="s">
        <v>533</v>
      </c>
      <c r="M405" s="1043" t="s">
        <v>4608</v>
      </c>
      <c r="N405">
        <f t="shared" si="21"/>
        <v>0.29952211920087901</v>
      </c>
    </row>
    <row r="406" spans="1:14" ht="15">
      <c r="A406" s="1043" t="s">
        <v>167</v>
      </c>
      <c r="B406" s="1043" t="s">
        <v>2633</v>
      </c>
      <c r="C406" s="1043" t="s">
        <v>4605</v>
      </c>
      <c r="E406" t="s">
        <v>4609</v>
      </c>
      <c r="F406" s="1043" t="s">
        <v>4610</v>
      </c>
      <c r="G406" s="264">
        <f t="shared" si="19"/>
        <v>0.17473477442429625</v>
      </c>
      <c r="H406" t="s">
        <v>4611</v>
      </c>
      <c r="I406" t="s">
        <v>4612</v>
      </c>
      <c r="J406">
        <f t="shared" si="20"/>
        <v>0</v>
      </c>
      <c r="K406" s="1043" t="s">
        <v>4613</v>
      </c>
      <c r="L406" s="264" t="s">
        <v>4614</v>
      </c>
      <c r="M406" s="1043" t="s">
        <v>4615</v>
      </c>
      <c r="N406">
        <f t="shared" si="21"/>
        <v>0.22462963969909377</v>
      </c>
    </row>
    <row r="407" spans="1:14" ht="15">
      <c r="A407" s="1043" t="s">
        <v>1392</v>
      </c>
      <c r="B407" s="1043" t="s">
        <v>4616</v>
      </c>
      <c r="C407" s="1043" t="s">
        <v>4611</v>
      </c>
      <c r="E407" t="s">
        <v>4617</v>
      </c>
      <c r="F407" s="1043" t="s">
        <v>4618</v>
      </c>
      <c r="G407" s="264">
        <f t="shared" si="19"/>
        <v>3.0154388313731826E-2</v>
      </c>
      <c r="H407">
        <v>0</v>
      </c>
      <c r="I407" t="s">
        <v>4619</v>
      </c>
      <c r="J407">
        <f t="shared" si="20"/>
        <v>107.60690397889925</v>
      </c>
      <c r="K407" s="1043" t="s">
        <v>4620</v>
      </c>
      <c r="L407" s="264" t="s">
        <v>4621</v>
      </c>
      <c r="M407" s="1043" t="s">
        <v>4622</v>
      </c>
      <c r="N407">
        <f t="shared" si="21"/>
        <v>2.2179928884886128E-2</v>
      </c>
    </row>
    <row r="408" spans="1:14" ht="15">
      <c r="A408" s="1043" t="s">
        <v>1394</v>
      </c>
      <c r="B408" s="1043" t="s">
        <v>2095</v>
      </c>
      <c r="C408" s="1043">
        <v>0</v>
      </c>
      <c r="E408" t="s">
        <v>4623</v>
      </c>
      <c r="F408" s="1043" t="s">
        <v>4624</v>
      </c>
      <c r="G408" s="264">
        <f t="shared" si="19"/>
        <v>-3.4006864959203471E-2</v>
      </c>
      <c r="H408" t="s">
        <v>4625</v>
      </c>
      <c r="I408" t="s">
        <v>4626</v>
      </c>
      <c r="J408">
        <f t="shared" si="20"/>
        <v>-122.21180061165533</v>
      </c>
      <c r="K408" s="1043" t="s">
        <v>4627</v>
      </c>
      <c r="L408" s="264" t="s">
        <v>4475</v>
      </c>
      <c r="M408" s="1043" t="s">
        <v>4628</v>
      </c>
      <c r="N408">
        <f t="shared" si="21"/>
        <v>3.142354404281943E-3</v>
      </c>
    </row>
    <row r="409" spans="1:14" ht="15">
      <c r="A409" s="1043" t="s">
        <v>1396</v>
      </c>
      <c r="B409" s="1043" t="s">
        <v>4629</v>
      </c>
      <c r="C409" s="1043" t="s">
        <v>4625</v>
      </c>
      <c r="E409" t="s">
        <v>4630</v>
      </c>
      <c r="F409" s="1043" t="s">
        <v>4631</v>
      </c>
      <c r="G409" s="264">
        <f t="shared" si="19"/>
        <v>-0.12983536445577948</v>
      </c>
      <c r="H409" t="s">
        <v>4632</v>
      </c>
      <c r="I409" t="s">
        <v>4633</v>
      </c>
      <c r="J409">
        <f t="shared" si="20"/>
        <v>1.5864469384834101</v>
      </c>
      <c r="K409" s="1043" t="s">
        <v>4634</v>
      </c>
      <c r="L409" s="264"/>
      <c r="M409" s="1043" t="s">
        <v>4635</v>
      </c>
      <c r="N409">
        <f t="shared" si="21"/>
        <v>-1.7368092556994931E-2</v>
      </c>
    </row>
    <row r="410" spans="1:14" ht="15">
      <c r="A410" s="1043" t="s">
        <v>1398</v>
      </c>
      <c r="B410" s="1043" t="s">
        <v>4636</v>
      </c>
      <c r="C410" s="1043" t="s">
        <v>4632</v>
      </c>
      <c r="E410" t="s">
        <v>4637</v>
      </c>
      <c r="F410" s="1043" t="s">
        <v>4638</v>
      </c>
      <c r="G410" s="264">
        <f t="shared" si="19"/>
        <v>0.88515406161931498</v>
      </c>
      <c r="H410" t="s">
        <v>4639</v>
      </c>
      <c r="I410" t="s">
        <v>4640</v>
      </c>
      <c r="J410">
        <f t="shared" si="20"/>
        <v>0</v>
      </c>
      <c r="K410" s="1043" t="s">
        <v>4641</v>
      </c>
      <c r="L410" s="264" t="s">
        <v>4642</v>
      </c>
      <c r="M410" s="1043" t="s">
        <v>4643</v>
      </c>
      <c r="N410">
        <f t="shared" si="21"/>
        <v>0.25017770827421759</v>
      </c>
    </row>
    <row r="411" spans="1:14" ht="15">
      <c r="A411" s="1043" t="s">
        <v>1401</v>
      </c>
      <c r="B411" s="1043" t="s">
        <v>4644</v>
      </c>
      <c r="C411" s="1043" t="s">
        <v>4639</v>
      </c>
      <c r="E411" t="s">
        <v>4645</v>
      </c>
      <c r="F411" s="1043" t="s">
        <v>4646</v>
      </c>
      <c r="G411" s="264">
        <f t="shared" si="19"/>
        <v>-6.0306513239357241E-2</v>
      </c>
      <c r="H411">
        <v>0</v>
      </c>
      <c r="I411" t="s">
        <v>4645</v>
      </c>
      <c r="J411">
        <f t="shared" si="20"/>
        <v>-8.0298539796156143E-2</v>
      </c>
      <c r="K411" s="1043" t="s">
        <v>4647</v>
      </c>
      <c r="L411" s="264" t="s">
        <v>4648</v>
      </c>
      <c r="M411" s="1043" t="s">
        <v>4649</v>
      </c>
      <c r="N411">
        <f t="shared" si="21"/>
        <v>-4.4712279727857858E-2</v>
      </c>
    </row>
    <row r="412" spans="1:14" ht="15">
      <c r="A412" s="1043" t="s">
        <v>1403</v>
      </c>
      <c r="B412" s="1043" t="s">
        <v>2095</v>
      </c>
      <c r="C412" s="1043">
        <v>0</v>
      </c>
      <c r="E412" t="s">
        <v>4650</v>
      </c>
      <c r="F412" s="1043" t="s">
        <v>4651</v>
      </c>
      <c r="G412" s="264">
        <f t="shared" si="19"/>
        <v>-0.44120799046182008</v>
      </c>
      <c r="H412" t="s">
        <v>4652</v>
      </c>
      <c r="I412" t="s">
        <v>4653</v>
      </c>
      <c r="J412">
        <f t="shared" si="20"/>
        <v>-0.24858354141448941</v>
      </c>
      <c r="K412" s="1043" t="s">
        <v>4654</v>
      </c>
      <c r="L412" s="264" t="s">
        <v>4655</v>
      </c>
      <c r="M412" s="1043" t="s">
        <v>4656</v>
      </c>
      <c r="N412">
        <f t="shared" si="21"/>
        <v>-0.51207082691866856</v>
      </c>
    </row>
    <row r="413" spans="1:14" ht="15">
      <c r="A413" s="1043" t="s">
        <v>1405</v>
      </c>
      <c r="B413" s="1043" t="s">
        <v>4657</v>
      </c>
      <c r="C413" s="1043" t="s">
        <v>4652</v>
      </c>
      <c r="E413" t="s">
        <v>4658</v>
      </c>
      <c r="F413" s="1043" t="s">
        <v>4659</v>
      </c>
      <c r="G413" s="264">
        <f t="shared" si="19"/>
        <v>-0.61395953131472691</v>
      </c>
      <c r="H413" t="s">
        <v>4660</v>
      </c>
      <c r="I413" t="s">
        <v>4661</v>
      </c>
      <c r="J413">
        <f t="shared" si="20"/>
        <v>-17.269240690589456</v>
      </c>
      <c r="K413" s="1043" t="s">
        <v>4662</v>
      </c>
      <c r="L413" s="264" t="s">
        <v>4663</v>
      </c>
      <c r="M413" s="1043" t="s">
        <v>4664</v>
      </c>
      <c r="N413">
        <f t="shared" si="21"/>
        <v>-0.52385894375988107</v>
      </c>
    </row>
    <row r="414" spans="1:14" ht="15">
      <c r="A414" s="1043" t="s">
        <v>1407</v>
      </c>
      <c r="B414" s="1043" t="s">
        <v>4665</v>
      </c>
      <c r="C414" s="1043" t="s">
        <v>4660</v>
      </c>
      <c r="E414" t="s">
        <v>4666</v>
      </c>
      <c r="F414" s="1043" t="s">
        <v>4667</v>
      </c>
      <c r="G414" s="264">
        <f t="shared" si="19"/>
        <v>-1.0622059065643707E-2</v>
      </c>
      <c r="H414" t="s">
        <v>4668</v>
      </c>
      <c r="I414" t="s">
        <v>4669</v>
      </c>
      <c r="J414">
        <f t="shared" si="20"/>
        <v>5.7491956796754105</v>
      </c>
      <c r="K414" s="1043" t="s">
        <v>4670</v>
      </c>
      <c r="L414" s="264" t="s">
        <v>4671</v>
      </c>
      <c r="M414" s="1043" t="s">
        <v>4672</v>
      </c>
      <c r="N414">
        <f t="shared" si="21"/>
        <v>-2.7185793160482398E-2</v>
      </c>
    </row>
    <row r="415" spans="1:14" ht="15">
      <c r="A415" s="1043" t="s">
        <v>1409</v>
      </c>
      <c r="B415" s="1043" t="s">
        <v>4673</v>
      </c>
      <c r="C415" s="1043" t="s">
        <v>4668</v>
      </c>
      <c r="E415" t="s">
        <v>4674</v>
      </c>
      <c r="F415" s="1043" t="s">
        <v>4675</v>
      </c>
      <c r="G415" s="264">
        <f t="shared" si="19"/>
        <v>0.17271757271951885</v>
      </c>
      <c r="H415" t="s">
        <v>4676</v>
      </c>
      <c r="I415" t="s">
        <v>4677</v>
      </c>
      <c r="J415">
        <f t="shared" si="20"/>
        <v>-1.2166126884020585</v>
      </c>
      <c r="K415" s="1043" t="s">
        <v>4678</v>
      </c>
      <c r="L415" s="264"/>
      <c r="M415" s="1043" t="s">
        <v>4679</v>
      </c>
      <c r="N415">
        <f t="shared" si="21"/>
        <v>6.4633184469138391E-2</v>
      </c>
    </row>
    <row r="416" spans="1:14" ht="15">
      <c r="A416" s="1043" t="s">
        <v>1411</v>
      </c>
      <c r="B416" s="1043" t="s">
        <v>4680</v>
      </c>
      <c r="C416" s="1043" t="s">
        <v>4676</v>
      </c>
      <c r="E416" t="s">
        <v>4681</v>
      </c>
      <c r="F416" s="1043" t="s">
        <v>4682</v>
      </c>
      <c r="G416" s="264">
        <f t="shared" si="19"/>
        <v>-4.1792705257073982E-4</v>
      </c>
      <c r="H416" t="s">
        <v>4683</v>
      </c>
      <c r="I416" t="s">
        <v>4684</v>
      </c>
      <c r="J416" t="e">
        <f t="shared" si="20"/>
        <v>#DIV/0!</v>
      </c>
      <c r="K416" s="1043" t="s">
        <v>4685</v>
      </c>
      <c r="L416" s="264" t="s">
        <v>4686</v>
      </c>
      <c r="M416" s="1043" t="s">
        <v>4687</v>
      </c>
      <c r="N416">
        <f t="shared" si="21"/>
        <v>-5.6256695844298182E-2</v>
      </c>
    </row>
    <row r="417" spans="1:14" ht="15">
      <c r="A417" s="1043" t="s">
        <v>1413</v>
      </c>
      <c r="B417" s="1043" t="s">
        <v>3202</v>
      </c>
      <c r="C417" s="1043" t="s">
        <v>4683</v>
      </c>
      <c r="F417" s="1053"/>
      <c r="G417" s="264" t="e">
        <f t="shared" si="19"/>
        <v>#DIV/0!</v>
      </c>
      <c r="J417">
        <f t="shared" si="20"/>
        <v>-1.0687316337736608</v>
      </c>
      <c r="K417" s="1043" t="s">
        <v>4688</v>
      </c>
      <c r="L417" s="264" t="s">
        <v>4689</v>
      </c>
      <c r="M417" s="1003"/>
      <c r="N417" t="e">
        <f t="shared" si="21"/>
        <v>#DIV/0!</v>
      </c>
    </row>
    <row r="418" spans="1:14" ht="15">
      <c r="A418" s="1043" t="s">
        <v>1415</v>
      </c>
      <c r="B418" s="1053"/>
      <c r="C418" s="1053"/>
      <c r="E418" t="s">
        <v>4690</v>
      </c>
      <c r="F418" s="1043" t="s">
        <v>4691</v>
      </c>
      <c r="G418" s="264">
        <f t="shared" si="19"/>
        <v>-0.64735204012158909</v>
      </c>
      <c r="H418" t="s">
        <v>4692</v>
      </c>
      <c r="I418" t="s">
        <v>4693</v>
      </c>
      <c r="J418">
        <f t="shared" si="20"/>
        <v>-0.78559318838983727</v>
      </c>
      <c r="K418" s="1043" t="s">
        <v>4694</v>
      </c>
      <c r="L418" s="264"/>
      <c r="M418" s="1043" t="s">
        <v>4695</v>
      </c>
      <c r="N418">
        <f t="shared" si="21"/>
        <v>-0.25277998704274168</v>
      </c>
    </row>
    <row r="419" spans="1:14" ht="15">
      <c r="A419" s="1043" t="s">
        <v>1417</v>
      </c>
      <c r="B419" s="1043" t="s">
        <v>4696</v>
      </c>
      <c r="C419" s="1043" t="s">
        <v>4692</v>
      </c>
      <c r="E419" t="s">
        <v>4697</v>
      </c>
      <c r="F419" s="1061" t="s">
        <v>4698</v>
      </c>
      <c r="G419" s="264">
        <f t="shared" si="19"/>
        <v>1.0537349902040876</v>
      </c>
      <c r="H419" t="s">
        <v>4699</v>
      </c>
      <c r="I419" t="s">
        <v>4700</v>
      </c>
      <c r="J419">
        <f t="shared" si="20"/>
        <v>1.7719554581985706</v>
      </c>
      <c r="K419" s="1043" t="s">
        <v>4701</v>
      </c>
      <c r="L419" s="264" t="s">
        <v>4702</v>
      </c>
      <c r="M419" s="1043" t="s">
        <v>4703</v>
      </c>
      <c r="N419">
        <f t="shared" si="21"/>
        <v>-7.8030872972129854</v>
      </c>
    </row>
    <row r="420" spans="1:14" ht="15">
      <c r="A420" s="1043" t="s">
        <v>1419</v>
      </c>
      <c r="B420" s="1053"/>
      <c r="C420" s="1043" t="s">
        <v>4699</v>
      </c>
      <c r="E420" t="s">
        <v>4704</v>
      </c>
      <c r="F420" s="1043" t="s">
        <v>4705</v>
      </c>
      <c r="G420" s="264">
        <f t="shared" si="19"/>
        <v>9.7409949180456645E-2</v>
      </c>
      <c r="H420" t="s">
        <v>4706</v>
      </c>
      <c r="I420" t="s">
        <v>4707</v>
      </c>
      <c r="J420">
        <f t="shared" si="20"/>
        <v>-1.2982101920744475</v>
      </c>
      <c r="K420" s="1043" t="s">
        <v>4708</v>
      </c>
      <c r="L420" s="264" t="s">
        <v>4616</v>
      </c>
      <c r="M420" s="1043" t="s">
        <v>4709</v>
      </c>
      <c r="N420">
        <f t="shared" si="21"/>
        <v>0.11014579737463297</v>
      </c>
    </row>
    <row r="421" spans="1:14" ht="15">
      <c r="A421" s="1043" t="s">
        <v>1421</v>
      </c>
      <c r="B421" s="1043" t="s">
        <v>3834</v>
      </c>
      <c r="C421" s="1043" t="s">
        <v>4706</v>
      </c>
      <c r="E421" t="s">
        <v>4710</v>
      </c>
      <c r="F421" s="1043" t="s">
        <v>4711</v>
      </c>
      <c r="G421" s="264">
        <f t="shared" si="19"/>
        <v>-5.5410289905423515E-2</v>
      </c>
      <c r="H421" t="s">
        <v>4712</v>
      </c>
      <c r="I421" t="s">
        <v>4713</v>
      </c>
      <c r="J421">
        <f t="shared" si="20"/>
        <v>3.3306918613716348</v>
      </c>
      <c r="K421" s="1043" t="s">
        <v>4714</v>
      </c>
      <c r="L421" s="264" t="s">
        <v>4715</v>
      </c>
      <c r="M421" s="1043" t="s">
        <v>4716</v>
      </c>
      <c r="N421">
        <f t="shared" si="21"/>
        <v>-6.1471464046516107E-2</v>
      </c>
    </row>
    <row r="422" spans="1:14" ht="15">
      <c r="A422" s="1043" t="s">
        <v>1423</v>
      </c>
      <c r="B422" s="1043" t="s">
        <v>4717</v>
      </c>
      <c r="C422" s="1043" t="s">
        <v>4712</v>
      </c>
      <c r="E422" t="s">
        <v>4718</v>
      </c>
      <c r="F422" s="1043" t="s">
        <v>4719</v>
      </c>
      <c r="G422" s="264">
        <f t="shared" si="19"/>
        <v>3.351611984909203E-2</v>
      </c>
      <c r="H422" t="s">
        <v>4720</v>
      </c>
      <c r="I422" t="s">
        <v>4721</v>
      </c>
      <c r="J422">
        <f t="shared" si="20"/>
        <v>-9.0057636887608067E-2</v>
      </c>
      <c r="K422" s="1043" t="s">
        <v>4722</v>
      </c>
      <c r="L422" s="264" t="s">
        <v>3179</v>
      </c>
      <c r="M422" s="1043" t="s">
        <v>4723</v>
      </c>
      <c r="N422">
        <f t="shared" si="21"/>
        <v>6.5515175739147363E-2</v>
      </c>
    </row>
    <row r="423" spans="1:14" ht="15">
      <c r="A423" s="1043" t="s">
        <v>1425</v>
      </c>
      <c r="B423" s="1043" t="s">
        <v>2380</v>
      </c>
      <c r="C423" s="1043" t="s">
        <v>4720</v>
      </c>
      <c r="E423" t="s">
        <v>4724</v>
      </c>
      <c r="F423" s="1061" t="s">
        <v>4725</v>
      </c>
      <c r="G423" s="264">
        <f t="shared" si="19"/>
        <v>1.0017411984541555</v>
      </c>
      <c r="H423" t="s">
        <v>4726</v>
      </c>
      <c r="I423" t="s">
        <v>4727</v>
      </c>
      <c r="J423">
        <f t="shared" si="20"/>
        <v>-8.0779986855466603</v>
      </c>
      <c r="K423" s="1043" t="s">
        <v>4728</v>
      </c>
      <c r="L423" s="264" t="s">
        <v>4729</v>
      </c>
      <c r="M423" s="1043">
        <v>0</v>
      </c>
      <c r="N423" t="e">
        <f t="shared" si="21"/>
        <v>#DIV/0!</v>
      </c>
    </row>
    <row r="424" spans="1:14" ht="15">
      <c r="A424" s="1043" t="s">
        <v>1427</v>
      </c>
      <c r="B424" s="1053"/>
      <c r="C424" s="1043" t="s">
        <v>4726</v>
      </c>
      <c r="E424" t="s">
        <v>4730</v>
      </c>
      <c r="F424" s="1043" t="s">
        <v>4731</v>
      </c>
      <c r="G424" s="264">
        <f t="shared" si="19"/>
        <v>-2.8002096313811467E-2</v>
      </c>
      <c r="H424" t="s">
        <v>4732</v>
      </c>
      <c r="I424" t="s">
        <v>4733</v>
      </c>
      <c r="J424">
        <f t="shared" si="20"/>
        <v>2.8327481483338697</v>
      </c>
      <c r="K424" s="1043" t="s">
        <v>4734</v>
      </c>
      <c r="L424" s="264"/>
      <c r="M424" s="1043" t="s">
        <v>4735</v>
      </c>
      <c r="N424">
        <f t="shared" si="21"/>
        <v>-4.3656398761599158E-2</v>
      </c>
    </row>
    <row r="425" spans="1:14" ht="15">
      <c r="A425" s="1043" t="s">
        <v>1429</v>
      </c>
      <c r="B425" s="1043" t="s">
        <v>4736</v>
      </c>
      <c r="C425" s="1043" t="s">
        <v>4732</v>
      </c>
      <c r="E425" t="s">
        <v>4737</v>
      </c>
      <c r="F425" s="1043" t="s">
        <v>4738</v>
      </c>
      <c r="G425" s="264">
        <f t="shared" si="19"/>
        <v>0.16944260959321714</v>
      </c>
      <c r="H425" t="s">
        <v>4739</v>
      </c>
      <c r="I425" t="s">
        <v>4740</v>
      </c>
      <c r="J425">
        <f t="shared" si="20"/>
        <v>-1.1620686596292025</v>
      </c>
      <c r="K425" s="1043" t="s">
        <v>4741</v>
      </c>
      <c r="L425" s="264" t="s">
        <v>4742</v>
      </c>
      <c r="M425" s="1043" t="s">
        <v>4743</v>
      </c>
      <c r="N425">
        <f t="shared" si="21"/>
        <v>8.2419067977458807E-2</v>
      </c>
    </row>
    <row r="426" spans="1:14" ht="15">
      <c r="A426" s="1043" t="s">
        <v>1431</v>
      </c>
      <c r="B426" s="1043" t="s">
        <v>4744</v>
      </c>
      <c r="C426" s="1043" t="s">
        <v>4739</v>
      </c>
      <c r="E426" t="s">
        <v>4745</v>
      </c>
      <c r="F426" s="1061" t="s">
        <v>4746</v>
      </c>
      <c r="G426" s="264">
        <f t="shared" si="19"/>
        <v>0.5212103522086009</v>
      </c>
      <c r="H426" t="s">
        <v>4747</v>
      </c>
      <c r="I426" t="s">
        <v>4748</v>
      </c>
      <c r="J426">
        <f t="shared" si="20"/>
        <v>10.985129543749048</v>
      </c>
      <c r="K426" s="1043" t="s">
        <v>4749</v>
      </c>
      <c r="L426" s="264" t="s">
        <v>4750</v>
      </c>
      <c r="M426" s="1043">
        <v>0</v>
      </c>
      <c r="N426" t="e">
        <f t="shared" si="21"/>
        <v>#DIV/0!</v>
      </c>
    </row>
    <row r="427" spans="1:14" ht="15">
      <c r="A427" s="1043" t="s">
        <v>1433</v>
      </c>
      <c r="B427" s="1053"/>
      <c r="C427" s="1043" t="s">
        <v>4747</v>
      </c>
      <c r="E427" t="s">
        <v>4751</v>
      </c>
      <c r="F427" s="1043" t="s">
        <v>4752</v>
      </c>
      <c r="G427" s="264">
        <f t="shared" si="19"/>
        <v>3.6378586902899156E-2</v>
      </c>
      <c r="H427" t="s">
        <v>4753</v>
      </c>
      <c r="I427" t="s">
        <v>4754</v>
      </c>
      <c r="J427">
        <f t="shared" si="20"/>
        <v>-12.609313168151496</v>
      </c>
      <c r="K427" s="1043" t="s">
        <v>4755</v>
      </c>
      <c r="L427" s="264" t="s">
        <v>4756</v>
      </c>
      <c r="M427" s="1043" t="s">
        <v>4757</v>
      </c>
      <c r="N427">
        <f t="shared" si="21"/>
        <v>6.2288166009573341E-2</v>
      </c>
    </row>
    <row r="428" spans="1:14" ht="15">
      <c r="A428" s="1043" t="s">
        <v>1435</v>
      </c>
      <c r="B428" s="1043" t="s">
        <v>3250</v>
      </c>
      <c r="C428" s="1043" t="s">
        <v>4753</v>
      </c>
      <c r="E428" t="s">
        <v>4758</v>
      </c>
      <c r="F428" s="1043" t="s">
        <v>4759</v>
      </c>
      <c r="G428" s="264">
        <f t="shared" si="19"/>
        <v>-7.3205781231747327E-2</v>
      </c>
      <c r="H428" t="s">
        <v>4760</v>
      </c>
      <c r="I428" t="s">
        <v>4761</v>
      </c>
      <c r="J428">
        <f t="shared" si="20"/>
        <v>-84.372881305306962</v>
      </c>
      <c r="K428" s="1043" t="s">
        <v>4762</v>
      </c>
      <c r="L428" s="264"/>
      <c r="M428" s="1043" t="s">
        <v>4763</v>
      </c>
      <c r="N428">
        <f t="shared" si="21"/>
        <v>-2.8266631860153494E-2</v>
      </c>
    </row>
    <row r="429" spans="1:14" ht="15">
      <c r="A429" s="1043" t="s">
        <v>1437</v>
      </c>
      <c r="B429" s="1043" t="s">
        <v>4764</v>
      </c>
      <c r="C429" s="1043" t="s">
        <v>4760</v>
      </c>
      <c r="E429" t="s">
        <v>4765</v>
      </c>
      <c r="F429" s="1043" t="s">
        <v>4766</v>
      </c>
      <c r="G429" s="264">
        <f t="shared" si="19"/>
        <v>4.9049801720042856E-2</v>
      </c>
      <c r="H429" t="s">
        <v>4767</v>
      </c>
      <c r="I429" t="s">
        <v>4768</v>
      </c>
      <c r="J429">
        <f t="shared" si="20"/>
        <v>-8.6539922969480446E-2</v>
      </c>
      <c r="K429" s="1043" t="s">
        <v>4769</v>
      </c>
      <c r="L429" s="264" t="s">
        <v>4770</v>
      </c>
      <c r="M429" s="1043" t="s">
        <v>4771</v>
      </c>
      <c r="N429">
        <f t="shared" si="21"/>
        <v>-7.5941383592973853E-4</v>
      </c>
    </row>
    <row r="430" spans="1:14" ht="15">
      <c r="A430" s="1043" t="s">
        <v>1439</v>
      </c>
      <c r="B430" s="1043" t="s">
        <v>4772</v>
      </c>
      <c r="C430" s="1043" t="s">
        <v>4767</v>
      </c>
      <c r="E430" t="s">
        <v>4773</v>
      </c>
      <c r="F430" s="1043" t="s">
        <v>4774</v>
      </c>
      <c r="G430" s="264">
        <f t="shared" si="19"/>
        <v>-0.12785122779313912</v>
      </c>
      <c r="H430" t="s">
        <v>4775</v>
      </c>
      <c r="I430" t="s">
        <v>4776</v>
      </c>
      <c r="J430">
        <f t="shared" si="20"/>
        <v>8.1852754064447346</v>
      </c>
      <c r="K430" s="1043" t="s">
        <v>4777</v>
      </c>
      <c r="L430" s="264" t="s">
        <v>4778</v>
      </c>
      <c r="M430" s="1043" t="s">
        <v>4779</v>
      </c>
      <c r="N430">
        <f t="shared" si="21"/>
        <v>-0.60208513901949812</v>
      </c>
    </row>
    <row r="431" spans="1:14" ht="15">
      <c r="A431" s="1043" t="s">
        <v>1441</v>
      </c>
      <c r="B431" s="1043" t="s">
        <v>2907</v>
      </c>
      <c r="C431" s="1043" t="s">
        <v>4775</v>
      </c>
      <c r="E431" t="s">
        <v>4780</v>
      </c>
      <c r="F431" s="1043" t="s">
        <v>4781</v>
      </c>
      <c r="G431" s="264">
        <f t="shared" si="19"/>
        <v>0.10347999324797506</v>
      </c>
      <c r="H431" t="s">
        <v>4782</v>
      </c>
      <c r="I431" t="s">
        <v>4783</v>
      </c>
      <c r="J431">
        <f t="shared" si="20"/>
        <v>3.0872663708484605</v>
      </c>
      <c r="K431" s="1043" t="s">
        <v>4784</v>
      </c>
      <c r="L431" s="264" t="s">
        <v>4785</v>
      </c>
      <c r="M431" s="1043" t="s">
        <v>4786</v>
      </c>
      <c r="N431">
        <f t="shared" si="21"/>
        <v>9.9724155055437802E-2</v>
      </c>
    </row>
    <row r="432" spans="1:14" ht="15">
      <c r="A432" s="1043" t="s">
        <v>1443</v>
      </c>
      <c r="B432" s="1043" t="s">
        <v>4787</v>
      </c>
      <c r="C432" s="1043" t="s">
        <v>4782</v>
      </c>
      <c r="E432" t="s">
        <v>4788</v>
      </c>
      <c r="F432" s="1043" t="s">
        <v>4789</v>
      </c>
      <c r="G432" s="264">
        <f t="shared" si="19"/>
        <v>0.31033769813921436</v>
      </c>
      <c r="H432" t="s">
        <v>4790</v>
      </c>
      <c r="I432" t="s">
        <v>4791</v>
      </c>
      <c r="J432">
        <f t="shared" si="20"/>
        <v>0.48137177646479584</v>
      </c>
      <c r="K432" s="1043" t="s">
        <v>4792</v>
      </c>
      <c r="L432" s="264" t="s">
        <v>4793</v>
      </c>
      <c r="M432" s="1043" t="s">
        <v>4794</v>
      </c>
      <c r="N432">
        <f t="shared" si="21"/>
        <v>0.20196067781881383</v>
      </c>
    </row>
    <row r="433" spans="1:14" ht="15">
      <c r="A433" s="1043" t="s">
        <v>1446</v>
      </c>
      <c r="B433" s="1043" t="s">
        <v>2549</v>
      </c>
      <c r="C433" s="1043" t="s">
        <v>4790</v>
      </c>
      <c r="E433" t="s">
        <v>4795</v>
      </c>
      <c r="F433" s="1043" t="s">
        <v>4796</v>
      </c>
      <c r="G433" s="264">
        <f t="shared" si="19"/>
        <v>8.5537305791458837E-2</v>
      </c>
      <c r="H433" t="s">
        <v>4797</v>
      </c>
      <c r="I433" t="s">
        <v>4798</v>
      </c>
      <c r="J433">
        <f t="shared" si="20"/>
        <v>2.5118680650647094</v>
      </c>
      <c r="K433" s="1043" t="s">
        <v>4799</v>
      </c>
      <c r="L433" s="264" t="s">
        <v>4800</v>
      </c>
      <c r="M433" s="1043" t="s">
        <v>4801</v>
      </c>
      <c r="N433">
        <f t="shared" si="21"/>
        <v>4.3359441217572348E-2</v>
      </c>
    </row>
    <row r="434" spans="1:14" ht="15">
      <c r="A434" s="1043" t="s">
        <v>1448</v>
      </c>
      <c r="B434" s="1043" t="s">
        <v>4802</v>
      </c>
      <c r="C434" s="1043" t="s">
        <v>4797</v>
      </c>
      <c r="E434" t="s">
        <v>4803</v>
      </c>
      <c r="F434" s="1043" t="s">
        <v>4804</v>
      </c>
      <c r="G434" s="264">
        <f t="shared" si="19"/>
        <v>0.13823725696309019</v>
      </c>
      <c r="H434" t="s">
        <v>4805</v>
      </c>
      <c r="I434" t="s">
        <v>4806</v>
      </c>
      <c r="J434">
        <f t="shared" si="20"/>
        <v>290.01265705231236</v>
      </c>
      <c r="K434" s="1043" t="s">
        <v>4807</v>
      </c>
      <c r="L434" s="264" t="s">
        <v>4808</v>
      </c>
      <c r="M434" s="1043" t="s">
        <v>4809</v>
      </c>
      <c r="N434">
        <f t="shared" si="21"/>
        <v>5.3666182763764121E-2</v>
      </c>
    </row>
    <row r="435" spans="1:14" ht="15">
      <c r="A435" s="1043" t="s">
        <v>1450</v>
      </c>
      <c r="B435" s="1043" t="s">
        <v>3666</v>
      </c>
      <c r="C435" s="1043" t="s">
        <v>4805</v>
      </c>
      <c r="E435" t="s">
        <v>4810</v>
      </c>
      <c r="F435" s="1043" t="s">
        <v>4811</v>
      </c>
      <c r="G435" s="264">
        <f t="shared" si="19"/>
        <v>2.3105287771253084E-2</v>
      </c>
      <c r="H435" t="s">
        <v>4812</v>
      </c>
      <c r="I435" t="s">
        <v>4813</v>
      </c>
      <c r="J435">
        <f t="shared" si="20"/>
        <v>6.3989981043648498</v>
      </c>
      <c r="K435" s="1043" t="s">
        <v>4814</v>
      </c>
      <c r="L435" s="264" t="s">
        <v>4815</v>
      </c>
      <c r="M435" s="1043" t="s">
        <v>4816</v>
      </c>
      <c r="N435">
        <f t="shared" si="21"/>
        <v>1.8042179851585865E-3</v>
      </c>
    </row>
    <row r="436" spans="1:14" ht="15">
      <c r="A436" s="1043" t="s">
        <v>1452</v>
      </c>
      <c r="B436" s="1043" t="s">
        <v>4817</v>
      </c>
      <c r="C436" s="1043" t="s">
        <v>4812</v>
      </c>
      <c r="E436" t="s">
        <v>4818</v>
      </c>
      <c r="F436" s="1043" t="s">
        <v>4819</v>
      </c>
      <c r="G436" s="264">
        <f t="shared" si="19"/>
        <v>8.3698589953939348E-2</v>
      </c>
      <c r="H436" t="s">
        <v>4820</v>
      </c>
      <c r="I436" t="s">
        <v>4821</v>
      </c>
      <c r="J436">
        <f t="shared" si="20"/>
        <v>0.10631530645776992</v>
      </c>
      <c r="K436" s="1043" t="s">
        <v>4822</v>
      </c>
      <c r="L436" s="264" t="s">
        <v>4823</v>
      </c>
      <c r="M436" s="1043" t="s">
        <v>4824</v>
      </c>
      <c r="N436">
        <f t="shared" si="21"/>
        <v>5.8029774507152472E-2</v>
      </c>
    </row>
    <row r="437" spans="1:14" ht="15">
      <c r="A437" s="1043" t="s">
        <v>1454</v>
      </c>
      <c r="B437" s="1043" t="s">
        <v>2111</v>
      </c>
      <c r="C437" s="1043" t="s">
        <v>4820</v>
      </c>
      <c r="E437" t="s">
        <v>4825</v>
      </c>
      <c r="F437" s="1043" t="s">
        <v>4826</v>
      </c>
      <c r="G437" s="264">
        <f t="shared" si="19"/>
        <v>7.312979046340605E-2</v>
      </c>
      <c r="H437" t="s">
        <v>4827</v>
      </c>
      <c r="I437" t="s">
        <v>4828</v>
      </c>
      <c r="J437">
        <f t="shared" si="20"/>
        <v>-2.3335110185119574</v>
      </c>
      <c r="K437" s="1043" t="s">
        <v>4829</v>
      </c>
      <c r="L437" s="264" t="s">
        <v>4830</v>
      </c>
      <c r="M437" s="1043" t="s">
        <v>4831</v>
      </c>
      <c r="N437">
        <f t="shared" si="21"/>
        <v>7.7863212568025475E-2</v>
      </c>
    </row>
    <row r="438" spans="1:14" ht="15">
      <c r="A438" s="1043" t="s">
        <v>1456</v>
      </c>
      <c r="B438" s="1043" t="s">
        <v>2359</v>
      </c>
      <c r="C438" s="1043" t="s">
        <v>4827</v>
      </c>
      <c r="E438" t="s">
        <v>4832</v>
      </c>
      <c r="F438" s="1043" t="s">
        <v>4833</v>
      </c>
      <c r="G438" s="264">
        <f t="shared" si="19"/>
        <v>-0.21697796938509328</v>
      </c>
      <c r="H438" t="s">
        <v>4834</v>
      </c>
      <c r="I438" t="s">
        <v>4835</v>
      </c>
      <c r="J438">
        <f t="shared" si="20"/>
        <v>3.4086304819529496</v>
      </c>
      <c r="K438" s="1043" t="s">
        <v>4836</v>
      </c>
      <c r="L438" s="264" t="s">
        <v>4837</v>
      </c>
      <c r="M438" s="1043" t="s">
        <v>4838</v>
      </c>
      <c r="N438">
        <f t="shared" si="21"/>
        <v>-0.72641464010365975</v>
      </c>
    </row>
    <row r="439" spans="1:14" ht="15">
      <c r="A439" s="1043" t="s">
        <v>1458</v>
      </c>
      <c r="B439" s="1043" t="s">
        <v>4839</v>
      </c>
      <c r="C439" s="1043" t="s">
        <v>4834</v>
      </c>
      <c r="E439" t="s">
        <v>4840</v>
      </c>
      <c r="F439" s="1043" t="s">
        <v>4841</v>
      </c>
      <c r="G439" s="264">
        <f t="shared" si="19"/>
        <v>5.8931477473591766E-2</v>
      </c>
      <c r="H439" t="s">
        <v>4842</v>
      </c>
      <c r="I439" t="s">
        <v>4843</v>
      </c>
      <c r="J439">
        <f t="shared" si="20"/>
        <v>3.0568351779838467</v>
      </c>
      <c r="K439" s="1043" t="s">
        <v>4844</v>
      </c>
      <c r="L439" s="264" t="s">
        <v>4845</v>
      </c>
      <c r="M439" s="1043" t="s">
        <v>4846</v>
      </c>
      <c r="N439">
        <f t="shared" si="21"/>
        <v>6.6268397793186745E-2</v>
      </c>
    </row>
    <row r="440" spans="1:14" ht="15">
      <c r="A440" s="1043" t="s">
        <v>1460</v>
      </c>
      <c r="B440" s="1043" t="s">
        <v>3771</v>
      </c>
      <c r="C440" s="1043" t="s">
        <v>4842</v>
      </c>
      <c r="E440" t="s">
        <v>4847</v>
      </c>
      <c r="F440" s="1043" t="s">
        <v>4848</v>
      </c>
      <c r="G440" s="264">
        <f t="shared" si="19"/>
        <v>0.12197028928850664</v>
      </c>
      <c r="H440" t="s">
        <v>4849</v>
      </c>
      <c r="I440" t="s">
        <v>4850</v>
      </c>
      <c r="J440">
        <f t="shared" si="20"/>
        <v>1.9859026139990612</v>
      </c>
      <c r="K440" s="1043" t="s">
        <v>4851</v>
      </c>
      <c r="L440" s="264" t="s">
        <v>4852</v>
      </c>
      <c r="M440" s="1043" t="s">
        <v>4853</v>
      </c>
      <c r="N440">
        <f t="shared" si="21"/>
        <v>5.4102605599611588E-2</v>
      </c>
    </row>
    <row r="441" spans="1:14" ht="15">
      <c r="A441" s="1043" t="s">
        <v>1462</v>
      </c>
      <c r="B441" s="1043" t="s">
        <v>4854</v>
      </c>
      <c r="C441" s="1043" t="s">
        <v>4849</v>
      </c>
      <c r="E441" t="s">
        <v>4855</v>
      </c>
      <c r="F441" s="1043" t="s">
        <v>4856</v>
      </c>
      <c r="G441" s="264">
        <f t="shared" si="19"/>
        <v>7.926876642253694E-2</v>
      </c>
      <c r="H441" t="s">
        <v>4857</v>
      </c>
      <c r="I441" t="s">
        <v>4858</v>
      </c>
      <c r="J441">
        <f t="shared" si="20"/>
        <v>-3.1348825848377091</v>
      </c>
      <c r="K441" s="1043" t="s">
        <v>4859</v>
      </c>
      <c r="L441" s="264" t="s">
        <v>4860</v>
      </c>
      <c r="M441" s="1043" t="s">
        <v>4861</v>
      </c>
      <c r="N441">
        <f t="shared" si="21"/>
        <v>0.13000097590915766</v>
      </c>
    </row>
    <row r="442" spans="1:14" ht="15">
      <c r="A442" s="1043" t="s">
        <v>1464</v>
      </c>
      <c r="B442" s="1043" t="s">
        <v>4862</v>
      </c>
      <c r="C442" s="1043" t="s">
        <v>4857</v>
      </c>
      <c r="E442" t="s">
        <v>4863</v>
      </c>
      <c r="F442" s="1043" t="s">
        <v>4864</v>
      </c>
      <c r="G442" s="264">
        <f t="shared" si="19"/>
        <v>1.1503500640485029E-2</v>
      </c>
      <c r="H442" t="s">
        <v>4865</v>
      </c>
      <c r="I442" t="s">
        <v>4866</v>
      </c>
      <c r="J442">
        <f t="shared" si="20"/>
        <v>16.905977107881984</v>
      </c>
      <c r="K442" s="1043" t="s">
        <v>4867</v>
      </c>
      <c r="L442" s="264" t="s">
        <v>4868</v>
      </c>
      <c r="M442" s="1043" t="s">
        <v>4869</v>
      </c>
      <c r="N442">
        <f t="shared" si="21"/>
        <v>-0.16350709634934429</v>
      </c>
    </row>
    <row r="443" spans="1:14" ht="15">
      <c r="A443" s="1043" t="s">
        <v>1466</v>
      </c>
      <c r="B443" s="1043" t="s">
        <v>4870</v>
      </c>
      <c r="C443" s="1043" t="s">
        <v>4865</v>
      </c>
      <c r="E443" t="s">
        <v>4871</v>
      </c>
      <c r="F443" s="1043" t="s">
        <v>4872</v>
      </c>
      <c r="G443" s="264">
        <f t="shared" si="19"/>
        <v>-5.5059543980394268E-2</v>
      </c>
      <c r="H443" t="s">
        <v>4873</v>
      </c>
      <c r="I443" t="s">
        <v>4874</v>
      </c>
      <c r="J443">
        <f t="shared" si="20"/>
        <v>-8.7004958087836126</v>
      </c>
      <c r="K443" s="1043" t="s">
        <v>4875</v>
      </c>
      <c r="L443" s="264" t="s">
        <v>4876</v>
      </c>
      <c r="M443" s="1043" t="s">
        <v>4877</v>
      </c>
      <c r="N443">
        <f t="shared" si="21"/>
        <v>8.9380752851449391E-2</v>
      </c>
    </row>
    <row r="444" spans="1:14" ht="15">
      <c r="A444" s="1043" t="s">
        <v>1468</v>
      </c>
      <c r="B444" s="1043" t="s">
        <v>4878</v>
      </c>
      <c r="C444" s="1043" t="s">
        <v>4873</v>
      </c>
      <c r="E444" t="s">
        <v>4879</v>
      </c>
      <c r="F444" s="1043" t="s">
        <v>4880</v>
      </c>
      <c r="G444" s="264">
        <f t="shared" si="19"/>
        <v>-8.1900013942008229E-2</v>
      </c>
      <c r="H444" t="s">
        <v>4881</v>
      </c>
      <c r="I444" t="s">
        <v>4882</v>
      </c>
      <c r="J444">
        <f t="shared" si="20"/>
        <v>49.607266649079079</v>
      </c>
      <c r="K444" s="1043" t="s">
        <v>4883</v>
      </c>
      <c r="L444" s="264" t="s">
        <v>4884</v>
      </c>
      <c r="M444" s="1043" t="s">
        <v>4885</v>
      </c>
      <c r="N444">
        <f t="shared" si="21"/>
        <v>-6.6361638770655471E-2</v>
      </c>
    </row>
    <row r="445" spans="1:14" ht="15">
      <c r="A445" s="1043" t="s">
        <v>1470</v>
      </c>
      <c r="B445" s="1043" t="s">
        <v>4886</v>
      </c>
      <c r="C445" s="1043" t="s">
        <v>4881</v>
      </c>
      <c r="E445" t="s">
        <v>4887</v>
      </c>
      <c r="F445" s="1043" t="s">
        <v>4888</v>
      </c>
      <c r="G445" s="264">
        <f t="shared" si="19"/>
        <v>-3.6009047004930773E-2</v>
      </c>
      <c r="H445" t="s">
        <v>4889</v>
      </c>
      <c r="I445" t="s">
        <v>4890</v>
      </c>
      <c r="J445">
        <f t="shared" si="20"/>
        <v>0.18153473464827355</v>
      </c>
      <c r="K445" s="1043" t="s">
        <v>4891</v>
      </c>
      <c r="L445" s="264" t="s">
        <v>4892</v>
      </c>
      <c r="M445" s="1043" t="s">
        <v>4893</v>
      </c>
      <c r="N445">
        <f t="shared" si="21"/>
        <v>6.8184230829593699E-3</v>
      </c>
    </row>
    <row r="446" spans="1:14" ht="15">
      <c r="A446" s="1043" t="s">
        <v>1472</v>
      </c>
      <c r="B446" s="1043" t="s">
        <v>4894</v>
      </c>
      <c r="C446" s="1043" t="s">
        <v>4889</v>
      </c>
      <c r="E446" t="s">
        <v>4895</v>
      </c>
      <c r="F446" s="1043" t="s">
        <v>4896</v>
      </c>
      <c r="G446" s="264">
        <f t="shared" si="19"/>
        <v>0.11394646884019713</v>
      </c>
      <c r="H446" t="s">
        <v>4897</v>
      </c>
      <c r="I446" t="s">
        <v>4898</v>
      </c>
      <c r="J446" t="e">
        <f t="shared" si="20"/>
        <v>#DIV/0!</v>
      </c>
      <c r="K446" s="1043" t="s">
        <v>4899</v>
      </c>
      <c r="L446" s="264" t="s">
        <v>4900</v>
      </c>
      <c r="M446" s="1043" t="s">
        <v>4901</v>
      </c>
      <c r="N446">
        <f t="shared" si="21"/>
        <v>0.14318532962620364</v>
      </c>
    </row>
    <row r="447" spans="1:14" ht="15">
      <c r="A447" s="1043" t="s">
        <v>1474</v>
      </c>
      <c r="B447" s="1043" t="s">
        <v>4534</v>
      </c>
      <c r="C447" s="1043" t="s">
        <v>4897</v>
      </c>
      <c r="F447" s="1053"/>
      <c r="G447" s="264" t="e">
        <f t="shared" si="19"/>
        <v>#DIV/0!</v>
      </c>
      <c r="J447">
        <f t="shared" si="20"/>
        <v>-0.27109752976369017</v>
      </c>
      <c r="K447" s="1043" t="s">
        <v>4902</v>
      </c>
      <c r="L447" s="264" t="s">
        <v>4903</v>
      </c>
      <c r="M447" s="1003"/>
      <c r="N447" t="e">
        <f t="shared" si="21"/>
        <v>#DIV/0!</v>
      </c>
    </row>
    <row r="448" spans="1:14" ht="15">
      <c r="A448" s="1043" t="s">
        <v>1476</v>
      </c>
      <c r="B448" s="1053"/>
      <c r="C448" s="1053"/>
      <c r="E448" t="s">
        <v>4904</v>
      </c>
      <c r="F448" s="1043" t="s">
        <v>4905</v>
      </c>
      <c r="G448" s="264">
        <f t="shared" si="19"/>
        <v>-3.0944353621338454E-2</v>
      </c>
      <c r="H448" t="s">
        <v>4906</v>
      </c>
      <c r="I448" t="s">
        <v>4907</v>
      </c>
      <c r="J448">
        <f t="shared" si="20"/>
        <v>3.5850933266979998</v>
      </c>
      <c r="K448" s="1043" t="s">
        <v>4908</v>
      </c>
      <c r="L448" s="264"/>
      <c r="M448" s="1043" t="s">
        <v>4909</v>
      </c>
      <c r="N448">
        <f t="shared" si="21"/>
        <v>-0.74342106479545145</v>
      </c>
    </row>
    <row r="449" spans="1:14" ht="15">
      <c r="A449" s="1043" t="s">
        <v>1478</v>
      </c>
      <c r="B449" s="1043" t="s">
        <v>4910</v>
      </c>
      <c r="C449" s="1043" t="s">
        <v>4906</v>
      </c>
      <c r="E449" t="s">
        <v>4911</v>
      </c>
      <c r="F449" s="1043" t="s">
        <v>4912</v>
      </c>
      <c r="G449" s="264">
        <f t="shared" si="19"/>
        <v>0.28024337298648166</v>
      </c>
      <c r="H449" t="s">
        <v>4913</v>
      </c>
      <c r="I449" t="s">
        <v>4914</v>
      </c>
      <c r="J449">
        <f t="shared" si="20"/>
        <v>-4.3435482487235371</v>
      </c>
      <c r="K449" s="1043" t="s">
        <v>4915</v>
      </c>
      <c r="L449" s="264" t="s">
        <v>4916</v>
      </c>
      <c r="M449" s="1043" t="s">
        <v>4917</v>
      </c>
      <c r="N449">
        <f t="shared" si="21"/>
        <v>0.16447490828989356</v>
      </c>
    </row>
    <row r="450" spans="1:14" ht="15">
      <c r="A450" s="1043" t="s">
        <v>1480</v>
      </c>
      <c r="B450" s="1043" t="s">
        <v>4918</v>
      </c>
      <c r="C450" s="1043" t="s">
        <v>4913</v>
      </c>
      <c r="E450" t="s">
        <v>4919</v>
      </c>
      <c r="F450" s="1043" t="s">
        <v>4920</v>
      </c>
      <c r="G450" s="264">
        <f t="shared" ref="G450:G513" si="22">E450/F450</f>
        <v>-9.5597363964364676E-2</v>
      </c>
      <c r="H450" t="s">
        <v>4921</v>
      </c>
      <c r="I450" t="s">
        <v>4922</v>
      </c>
      <c r="J450">
        <f t="shared" ref="J450:J513" si="23">H451/I451</f>
        <v>17.509029742373919</v>
      </c>
      <c r="K450" s="1043" t="s">
        <v>4923</v>
      </c>
      <c r="L450" s="264" t="s">
        <v>3538</v>
      </c>
      <c r="M450" s="1043" t="s">
        <v>4924</v>
      </c>
      <c r="N450">
        <f t="shared" si="21"/>
        <v>-4.4093511152530053E-2</v>
      </c>
    </row>
    <row r="451" spans="1:14" ht="15">
      <c r="A451" s="1043" t="s">
        <v>1482</v>
      </c>
      <c r="B451" s="1043" t="s">
        <v>3644</v>
      </c>
      <c r="C451" s="1043" t="s">
        <v>4921</v>
      </c>
      <c r="E451" t="s">
        <v>4925</v>
      </c>
      <c r="F451" s="1043" t="s">
        <v>4926</v>
      </c>
      <c r="G451" s="264">
        <f t="shared" si="22"/>
        <v>3.5127540873426379E-2</v>
      </c>
      <c r="H451" t="s">
        <v>4927</v>
      </c>
      <c r="I451" t="s">
        <v>4928</v>
      </c>
      <c r="J451" t="e">
        <f t="shared" si="23"/>
        <v>#DIV/0!</v>
      </c>
      <c r="K451" s="1043" t="s">
        <v>4929</v>
      </c>
      <c r="L451" s="264" t="s">
        <v>4930</v>
      </c>
      <c r="M451" s="1043" t="s">
        <v>4931</v>
      </c>
      <c r="N451">
        <f t="shared" si="21"/>
        <v>1.6163988530388303E-2</v>
      </c>
    </row>
    <row r="452" spans="1:14" ht="15">
      <c r="A452" s="1043" t="s">
        <v>1484</v>
      </c>
      <c r="B452" s="1043" t="s">
        <v>4932</v>
      </c>
      <c r="C452" s="1043" t="s">
        <v>4927</v>
      </c>
      <c r="F452" s="1053"/>
      <c r="G452" s="264" t="e">
        <f t="shared" si="22"/>
        <v>#DIV/0!</v>
      </c>
      <c r="J452" t="e">
        <f t="shared" si="23"/>
        <v>#DIV/0!</v>
      </c>
      <c r="K452" s="1043" t="s">
        <v>4933</v>
      </c>
      <c r="L452" s="264" t="s">
        <v>4934</v>
      </c>
      <c r="M452" s="1003"/>
      <c r="N452" t="e">
        <f t="shared" si="21"/>
        <v>#DIV/0!</v>
      </c>
    </row>
    <row r="453" spans="1:14" ht="15">
      <c r="A453" s="1043" t="s">
        <v>1486</v>
      </c>
      <c r="B453" s="1053"/>
      <c r="C453" s="1053"/>
      <c r="F453" s="1053"/>
      <c r="G453" s="264" t="e">
        <f t="shared" si="22"/>
        <v>#DIV/0!</v>
      </c>
      <c r="J453" t="e">
        <f t="shared" si="23"/>
        <v>#DIV/0!</v>
      </c>
      <c r="K453" s="1043" t="s">
        <v>4935</v>
      </c>
      <c r="L453" s="264"/>
      <c r="M453" s="1003"/>
      <c r="N453" t="e">
        <f t="shared" si="21"/>
        <v>#DIV/0!</v>
      </c>
    </row>
    <row r="454" spans="1:14" ht="15">
      <c r="A454" s="1043" t="s">
        <v>1488</v>
      </c>
      <c r="B454" s="1053"/>
      <c r="C454" s="1053"/>
      <c r="F454" s="1053"/>
      <c r="G454" s="264" t="e">
        <f t="shared" si="22"/>
        <v>#DIV/0!</v>
      </c>
      <c r="J454" t="e">
        <f t="shared" si="23"/>
        <v>#DIV/0!</v>
      </c>
      <c r="K454" s="1043" t="s">
        <v>4936</v>
      </c>
      <c r="L454" s="264"/>
      <c r="M454" s="1003"/>
      <c r="N454" t="e">
        <f t="shared" si="21"/>
        <v>#DIV/0!</v>
      </c>
    </row>
    <row r="455" spans="1:14" ht="15">
      <c r="A455" s="1043" t="s">
        <v>1490</v>
      </c>
      <c r="B455" s="1053"/>
      <c r="C455" s="1053"/>
      <c r="F455" s="1053"/>
      <c r="G455" s="264" t="e">
        <f t="shared" si="22"/>
        <v>#DIV/0!</v>
      </c>
      <c r="J455" t="e">
        <f t="shared" si="23"/>
        <v>#DIV/0!</v>
      </c>
      <c r="K455" s="1043" t="s">
        <v>4937</v>
      </c>
      <c r="L455" s="264"/>
      <c r="M455" s="1003"/>
      <c r="N455" t="e">
        <f t="shared" si="21"/>
        <v>#DIV/0!</v>
      </c>
    </row>
    <row r="456" spans="1:14" ht="15">
      <c r="A456" s="1043" t="s">
        <v>1492</v>
      </c>
      <c r="B456" s="1053"/>
      <c r="C456" s="1053"/>
      <c r="F456" s="1053"/>
      <c r="G456" s="264" t="e">
        <f t="shared" si="22"/>
        <v>#DIV/0!</v>
      </c>
      <c r="J456" t="e">
        <f t="shared" si="23"/>
        <v>#DIV/0!</v>
      </c>
      <c r="K456" s="1043" t="s">
        <v>4938</v>
      </c>
      <c r="L456" s="264"/>
      <c r="M456" s="1003"/>
      <c r="N456" t="e">
        <f t="shared" si="21"/>
        <v>#DIV/0!</v>
      </c>
    </row>
    <row r="457" spans="1:14" ht="15">
      <c r="A457" s="1043" t="s">
        <v>1494</v>
      </c>
      <c r="B457" s="1053"/>
      <c r="C457" s="1053"/>
      <c r="F457" s="1053"/>
      <c r="G457" s="264" t="e">
        <f t="shared" si="22"/>
        <v>#DIV/0!</v>
      </c>
      <c r="J457" t="e">
        <f t="shared" si="23"/>
        <v>#DIV/0!</v>
      </c>
      <c r="K457" s="1043" t="s">
        <v>4939</v>
      </c>
      <c r="L457" s="264"/>
      <c r="M457" s="1003"/>
      <c r="N457" t="e">
        <f t="shared" si="21"/>
        <v>#DIV/0!</v>
      </c>
    </row>
    <row r="458" spans="1:14" ht="15">
      <c r="A458" s="1043" t="s">
        <v>1496</v>
      </c>
      <c r="B458" s="1053"/>
      <c r="C458" s="1053"/>
      <c r="F458" s="1053"/>
      <c r="G458" s="264" t="e">
        <f t="shared" si="22"/>
        <v>#DIV/0!</v>
      </c>
      <c r="J458">
        <f t="shared" si="23"/>
        <v>0.40256824755871928</v>
      </c>
      <c r="K458" s="1003"/>
      <c r="L458" s="264"/>
      <c r="M458" s="1003"/>
      <c r="N458" t="e">
        <f t="shared" si="21"/>
        <v>#DIV/0!</v>
      </c>
    </row>
    <row r="459" spans="1:14" ht="15">
      <c r="A459" s="1043" t="s">
        <v>1498</v>
      </c>
      <c r="B459" s="1053"/>
      <c r="C459" s="1053"/>
      <c r="E459" t="s">
        <v>4940</v>
      </c>
      <c r="F459" s="1043" t="s">
        <v>4941</v>
      </c>
      <c r="G459" s="264">
        <f t="shared" si="22"/>
        <v>0.13482231041344667</v>
      </c>
      <c r="H459" t="s">
        <v>4942</v>
      </c>
      <c r="I459" t="s">
        <v>4943</v>
      </c>
      <c r="J459" t="e">
        <f t="shared" si="23"/>
        <v>#DIV/0!</v>
      </c>
      <c r="K459" s="1043" t="s">
        <v>4944</v>
      </c>
      <c r="L459" s="264"/>
      <c r="M459" s="1043" t="s">
        <v>4945</v>
      </c>
      <c r="N459">
        <f t="shared" si="21"/>
        <v>0.16287825515224011</v>
      </c>
    </row>
    <row r="460" spans="1:14" ht="15">
      <c r="A460" s="1043" t="s">
        <v>1500</v>
      </c>
      <c r="B460" s="1043" t="s">
        <v>4946</v>
      </c>
      <c r="C460" s="1043" t="s">
        <v>4942</v>
      </c>
      <c r="F460" s="1053"/>
      <c r="G460" s="264" t="e">
        <f t="shared" si="22"/>
        <v>#DIV/0!</v>
      </c>
      <c r="J460">
        <f t="shared" si="23"/>
        <v>3.3685165563744394E-2</v>
      </c>
      <c r="K460" s="1003"/>
      <c r="L460" s="264" t="s">
        <v>4947</v>
      </c>
      <c r="M460" s="1003"/>
      <c r="N460" t="e">
        <f t="shared" si="21"/>
        <v>#DIV/0!</v>
      </c>
    </row>
    <row r="461" spans="1:14" ht="15">
      <c r="A461" s="1043" t="s">
        <v>1502</v>
      </c>
      <c r="B461" s="1053"/>
      <c r="C461" s="1053"/>
      <c r="E461" t="s">
        <v>4948</v>
      </c>
      <c r="F461" s="1043" t="s">
        <v>4949</v>
      </c>
      <c r="G461" s="264">
        <f t="shared" si="22"/>
        <v>0.3123511154163639</v>
      </c>
      <c r="H461" t="s">
        <v>4950</v>
      </c>
      <c r="I461" t="s">
        <v>4951</v>
      </c>
      <c r="J461">
        <f t="shared" si="23"/>
        <v>2.4390304612730533</v>
      </c>
      <c r="K461" s="1043" t="s">
        <v>4952</v>
      </c>
      <c r="L461" s="264"/>
      <c r="M461" s="1043" t="s">
        <v>4953</v>
      </c>
      <c r="N461">
        <f t="shared" si="21"/>
        <v>0.44113794568822701</v>
      </c>
    </row>
    <row r="462" spans="1:14" ht="15">
      <c r="A462" s="1043" t="s">
        <v>1504</v>
      </c>
      <c r="B462" s="1043" t="s">
        <v>2567</v>
      </c>
      <c r="C462" s="1043" t="s">
        <v>4950</v>
      </c>
      <c r="E462" t="s">
        <v>4954</v>
      </c>
      <c r="F462" s="1043" t="s">
        <v>4955</v>
      </c>
      <c r="G462" s="264">
        <f t="shared" si="22"/>
        <v>0.1461519890654174</v>
      </c>
      <c r="H462" t="s">
        <v>4956</v>
      </c>
      <c r="I462" t="s">
        <v>4957</v>
      </c>
      <c r="J462">
        <f t="shared" si="23"/>
        <v>-0.65432397798144581</v>
      </c>
      <c r="K462" s="1043" t="s">
        <v>4958</v>
      </c>
      <c r="L462" s="264" t="s">
        <v>4959</v>
      </c>
      <c r="M462" s="1043" t="s">
        <v>4960</v>
      </c>
      <c r="N462">
        <f t="shared" si="21"/>
        <v>6.7484691008715347E-2</v>
      </c>
    </row>
    <row r="463" spans="1:14" ht="15">
      <c r="A463" s="1043" t="s">
        <v>1506</v>
      </c>
      <c r="B463" s="1043" t="s">
        <v>4961</v>
      </c>
      <c r="C463" s="1043" t="s">
        <v>4956</v>
      </c>
      <c r="E463" t="s">
        <v>4962</v>
      </c>
      <c r="F463" s="1043" t="s">
        <v>4963</v>
      </c>
      <c r="G463" s="264">
        <f t="shared" si="22"/>
        <v>-0.10197833627439219</v>
      </c>
      <c r="H463" t="s">
        <v>4964</v>
      </c>
      <c r="I463" t="s">
        <v>4965</v>
      </c>
      <c r="J463">
        <f t="shared" si="23"/>
        <v>-9.7189286659819611</v>
      </c>
      <c r="K463" s="1043" t="s">
        <v>4966</v>
      </c>
      <c r="L463" s="264" t="s">
        <v>4967</v>
      </c>
      <c r="M463" s="1043" t="s">
        <v>4968</v>
      </c>
      <c r="N463">
        <f t="shared" si="21"/>
        <v>-0.10906751515289398</v>
      </c>
    </row>
    <row r="464" spans="1:14" ht="15">
      <c r="A464" s="1043" t="s">
        <v>1508</v>
      </c>
      <c r="B464" s="1043" t="s">
        <v>4969</v>
      </c>
      <c r="C464" s="1043" t="s">
        <v>4964</v>
      </c>
      <c r="E464" t="s">
        <v>4970</v>
      </c>
      <c r="F464" s="1043" t="s">
        <v>4971</v>
      </c>
      <c r="G464" s="264">
        <f t="shared" si="22"/>
        <v>1.1293352235210864E-2</v>
      </c>
      <c r="H464" t="s">
        <v>4972</v>
      </c>
      <c r="I464" t="s">
        <v>4973</v>
      </c>
      <c r="J464">
        <f t="shared" si="23"/>
        <v>6.2962839668914583</v>
      </c>
      <c r="K464" s="1043" t="s">
        <v>4974</v>
      </c>
      <c r="L464" s="264" t="s">
        <v>4975</v>
      </c>
      <c r="M464" s="1043" t="s">
        <v>4976</v>
      </c>
      <c r="N464">
        <f t="shared" si="21"/>
        <v>-6.2369488439282882E-2</v>
      </c>
    </row>
    <row r="465" spans="1:14" ht="15">
      <c r="A465" s="1043" t="s">
        <v>1510</v>
      </c>
      <c r="B465" s="1043" t="s">
        <v>4229</v>
      </c>
      <c r="C465" s="1043" t="s">
        <v>4972</v>
      </c>
      <c r="E465" t="s">
        <v>4977</v>
      </c>
      <c r="F465" s="1043" t="s">
        <v>4978</v>
      </c>
      <c r="G465" s="264">
        <f t="shared" si="22"/>
        <v>6.1973269473090738E-2</v>
      </c>
      <c r="H465" t="s">
        <v>4979</v>
      </c>
      <c r="I465" t="s">
        <v>4980</v>
      </c>
      <c r="J465">
        <f t="shared" si="23"/>
        <v>0</v>
      </c>
      <c r="K465" s="1043" t="s">
        <v>4981</v>
      </c>
      <c r="L465" s="264" t="s">
        <v>4982</v>
      </c>
      <c r="M465" s="1043" t="s">
        <v>4983</v>
      </c>
      <c r="N465">
        <f t="shared" ref="N465:N528" si="24">I465/M465</f>
        <v>6.4423797780968226E-2</v>
      </c>
    </row>
    <row r="466" spans="1:14" ht="15">
      <c r="A466" s="1043" t="s">
        <v>1512</v>
      </c>
      <c r="B466" s="1043" t="s">
        <v>3543</v>
      </c>
      <c r="C466" s="1043" t="s">
        <v>4979</v>
      </c>
      <c r="E466" t="s">
        <v>4984</v>
      </c>
      <c r="F466" s="1043" t="s">
        <v>4985</v>
      </c>
      <c r="G466" s="264">
        <f t="shared" si="22"/>
        <v>0.28093977771957895</v>
      </c>
      <c r="H466">
        <v>0</v>
      </c>
      <c r="I466" t="s">
        <v>4986</v>
      </c>
      <c r="J466">
        <f t="shared" si="23"/>
        <v>0</v>
      </c>
      <c r="K466" s="1043" t="s">
        <v>4987</v>
      </c>
      <c r="L466" s="264" t="s">
        <v>2581</v>
      </c>
      <c r="M466" s="1043" t="s">
        <v>4988</v>
      </c>
      <c r="N466">
        <f t="shared" si="24"/>
        <v>0.75003164591188509</v>
      </c>
    </row>
    <row r="467" spans="1:14" ht="15">
      <c r="A467" s="1043" t="s">
        <v>1515</v>
      </c>
      <c r="B467" s="1043" t="s">
        <v>2095</v>
      </c>
      <c r="C467" s="1043">
        <v>0</v>
      </c>
      <c r="E467" t="s">
        <v>4989</v>
      </c>
      <c r="F467" s="1043" t="s">
        <v>4990</v>
      </c>
      <c r="G467" s="264">
        <f t="shared" si="22"/>
        <v>2.8417117246334302E-2</v>
      </c>
      <c r="H467">
        <v>0</v>
      </c>
      <c r="I467" t="s">
        <v>4991</v>
      </c>
      <c r="J467">
        <f t="shared" si="23"/>
        <v>-0.1360761292054781</v>
      </c>
      <c r="K467" s="1043" t="s">
        <v>4992</v>
      </c>
      <c r="L467" s="264" t="s">
        <v>4993</v>
      </c>
      <c r="M467" s="1043" t="s">
        <v>4994</v>
      </c>
      <c r="N467">
        <f t="shared" si="24"/>
        <v>1.0473591037231415E-2</v>
      </c>
    </row>
    <row r="468" spans="1:14" ht="15">
      <c r="A468" s="1043" t="s">
        <v>1517</v>
      </c>
      <c r="B468" s="1043" t="s">
        <v>2095</v>
      </c>
      <c r="C468" s="1043">
        <v>0</v>
      </c>
      <c r="E468" t="s">
        <v>4995</v>
      </c>
      <c r="F468" s="1043" t="s">
        <v>4996</v>
      </c>
      <c r="G468" s="264">
        <f t="shared" si="22"/>
        <v>-0.68973758536811303</v>
      </c>
      <c r="H468" t="s">
        <v>4997</v>
      </c>
      <c r="I468" t="s">
        <v>4998</v>
      </c>
      <c r="J468" t="e">
        <f t="shared" si="23"/>
        <v>#DIV/0!</v>
      </c>
      <c r="K468" s="1043" t="s">
        <v>4999</v>
      </c>
      <c r="L468" s="264" t="s">
        <v>5000</v>
      </c>
      <c r="M468" s="1043" t="s">
        <v>5001</v>
      </c>
      <c r="N468">
        <f t="shared" si="24"/>
        <v>-3.3420775357372956</v>
      </c>
    </row>
    <row r="469" spans="1:14" ht="15">
      <c r="A469" s="1043" t="s">
        <v>1519</v>
      </c>
      <c r="B469" s="1043" t="s">
        <v>5002</v>
      </c>
      <c r="C469" s="1043" t="s">
        <v>4997</v>
      </c>
      <c r="F469" s="1053"/>
      <c r="G469" s="264" t="e">
        <f t="shared" si="22"/>
        <v>#DIV/0!</v>
      </c>
      <c r="J469">
        <f t="shared" si="23"/>
        <v>1.8645364537144236</v>
      </c>
      <c r="K469" s="1043" t="s">
        <v>5003</v>
      </c>
      <c r="L469" s="264" t="s">
        <v>5004</v>
      </c>
      <c r="M469" s="1003"/>
      <c r="N469" t="e">
        <f t="shared" si="24"/>
        <v>#DIV/0!</v>
      </c>
    </row>
    <row r="470" spans="1:14" ht="15">
      <c r="A470" s="1043" t="s">
        <v>1521</v>
      </c>
      <c r="B470" s="1053"/>
      <c r="C470" s="1053"/>
      <c r="E470" t="s">
        <v>5005</v>
      </c>
      <c r="F470" s="1043" t="s">
        <v>5006</v>
      </c>
      <c r="G470" s="264">
        <f t="shared" si="22"/>
        <v>0.17068521382006241</v>
      </c>
      <c r="H470" t="s">
        <v>5007</v>
      </c>
      <c r="I470" t="s">
        <v>5008</v>
      </c>
      <c r="J470">
        <f t="shared" si="23"/>
        <v>1.1557483055040198E-2</v>
      </c>
      <c r="K470" s="1043" t="s">
        <v>5009</v>
      </c>
      <c r="L470" s="264"/>
      <c r="M470" s="1043" t="s">
        <v>5010</v>
      </c>
      <c r="N470">
        <f t="shared" si="24"/>
        <v>0.15903946460043877</v>
      </c>
    </row>
    <row r="471" spans="1:14" ht="15">
      <c r="A471" s="1043" t="s">
        <v>1523</v>
      </c>
      <c r="B471" s="1043" t="s">
        <v>5011</v>
      </c>
      <c r="C471" s="1043" t="s">
        <v>5007</v>
      </c>
      <c r="E471" t="s">
        <v>5012</v>
      </c>
      <c r="F471" s="1043" t="s">
        <v>5013</v>
      </c>
      <c r="G471" s="264">
        <f t="shared" si="22"/>
        <v>0.53952372941406213</v>
      </c>
      <c r="H471" t="s">
        <v>5014</v>
      </c>
      <c r="I471" t="s">
        <v>5015</v>
      </c>
      <c r="J471">
        <f t="shared" si="23"/>
        <v>0.68037940536193287</v>
      </c>
      <c r="K471" s="1043" t="s">
        <v>5016</v>
      </c>
      <c r="L471" s="264" t="s">
        <v>2610</v>
      </c>
      <c r="M471" s="1043" t="s">
        <v>5017</v>
      </c>
      <c r="N471">
        <f t="shared" si="24"/>
        <v>0.66887209188762442</v>
      </c>
    </row>
    <row r="472" spans="1:14" ht="15">
      <c r="A472" s="1043" t="s">
        <v>1525</v>
      </c>
      <c r="B472" s="1043" t="s">
        <v>5018</v>
      </c>
      <c r="C472" s="1043" t="s">
        <v>5014</v>
      </c>
      <c r="E472" t="s">
        <v>5019</v>
      </c>
      <c r="F472" s="1043" t="s">
        <v>5020</v>
      </c>
      <c r="G472" s="264">
        <f t="shared" si="22"/>
        <v>1.5933805485246078E-2</v>
      </c>
      <c r="H472" t="s">
        <v>5021</v>
      </c>
      <c r="I472" t="s">
        <v>5022</v>
      </c>
      <c r="J472">
        <f t="shared" si="23"/>
        <v>-70.452292355795976</v>
      </c>
      <c r="K472" s="1043" t="s">
        <v>5023</v>
      </c>
      <c r="L472" s="264" t="s">
        <v>5024</v>
      </c>
      <c r="M472" s="1043" t="s">
        <v>5025</v>
      </c>
      <c r="N472">
        <f t="shared" si="24"/>
        <v>4.7142886273586676E-2</v>
      </c>
    </row>
    <row r="473" spans="1:14" ht="15">
      <c r="A473" s="1043" t="s">
        <v>1527</v>
      </c>
      <c r="B473" s="1043" t="s">
        <v>5026</v>
      </c>
      <c r="C473" s="1043" t="s">
        <v>5021</v>
      </c>
      <c r="E473" t="s">
        <v>5027</v>
      </c>
      <c r="F473" s="1043" t="s">
        <v>5028</v>
      </c>
      <c r="G473" s="264">
        <f t="shared" si="22"/>
        <v>-7.1187171794974302E-2</v>
      </c>
      <c r="H473" t="s">
        <v>5029</v>
      </c>
      <c r="I473" t="s">
        <v>5030</v>
      </c>
      <c r="J473">
        <f t="shared" si="23"/>
        <v>0</v>
      </c>
      <c r="K473" s="1043" t="s">
        <v>5031</v>
      </c>
      <c r="L473" s="264" t="s">
        <v>5032</v>
      </c>
      <c r="M473" s="1043" t="s">
        <v>5033</v>
      </c>
      <c r="N473">
        <f t="shared" si="24"/>
        <v>-2.9697338859264793E-3</v>
      </c>
    </row>
    <row r="474" spans="1:14" ht="15">
      <c r="A474" s="1043" t="s">
        <v>1529</v>
      </c>
      <c r="B474" s="1043" t="s">
        <v>5034</v>
      </c>
      <c r="C474" s="1043" t="s">
        <v>5029</v>
      </c>
      <c r="E474" t="s">
        <v>5035</v>
      </c>
      <c r="F474" s="1043" t="s">
        <v>5036</v>
      </c>
      <c r="G474" s="264">
        <f t="shared" si="22"/>
        <v>-4.4932479520748601</v>
      </c>
      <c r="H474">
        <v>0</v>
      </c>
      <c r="I474" t="s">
        <v>5037</v>
      </c>
      <c r="J474">
        <f t="shared" si="23"/>
        <v>1.7007940512574038</v>
      </c>
      <c r="K474" s="1043" t="s">
        <v>5038</v>
      </c>
      <c r="L474" s="264" t="s">
        <v>5039</v>
      </c>
      <c r="M474" s="1043" t="s">
        <v>5040</v>
      </c>
      <c r="N474">
        <f t="shared" si="24"/>
        <v>-0.69355702360433646</v>
      </c>
    </row>
    <row r="475" spans="1:14" ht="15">
      <c r="A475" s="1043" t="s">
        <v>1531</v>
      </c>
      <c r="B475" s="1043" t="s">
        <v>2095</v>
      </c>
      <c r="C475" s="1043">
        <v>0</v>
      </c>
      <c r="E475" t="s">
        <v>5041</v>
      </c>
      <c r="F475" s="1043" t="s">
        <v>5042</v>
      </c>
      <c r="G475" s="264">
        <f t="shared" si="22"/>
        <v>0.27944094288958182</v>
      </c>
      <c r="H475" t="s">
        <v>5043</v>
      </c>
      <c r="I475" t="s">
        <v>5044</v>
      </c>
      <c r="J475" t="e">
        <f t="shared" si="23"/>
        <v>#DIV/0!</v>
      </c>
      <c r="K475" s="1043" t="s">
        <v>5045</v>
      </c>
      <c r="L475" s="264" t="s">
        <v>5046</v>
      </c>
      <c r="M475" s="1043" t="s">
        <v>5047</v>
      </c>
      <c r="N475">
        <f t="shared" si="24"/>
        <v>0.16164874848631</v>
      </c>
    </row>
    <row r="476" spans="1:14" ht="15">
      <c r="A476" s="1043" t="s">
        <v>1533</v>
      </c>
      <c r="B476" s="1043" t="s">
        <v>5048</v>
      </c>
      <c r="C476" s="1043" t="s">
        <v>5043</v>
      </c>
      <c r="F476" s="1053"/>
      <c r="G476" s="264" t="e">
        <f t="shared" si="22"/>
        <v>#DIV/0!</v>
      </c>
      <c r="J476">
        <f t="shared" si="23"/>
        <v>1.2079289838407026</v>
      </c>
      <c r="K476" s="1043" t="s">
        <v>5049</v>
      </c>
      <c r="L476" s="264" t="s">
        <v>5050</v>
      </c>
      <c r="M476" s="1003"/>
      <c r="N476" t="e">
        <f t="shared" si="24"/>
        <v>#DIV/0!</v>
      </c>
    </row>
    <row r="477" spans="1:14" ht="15">
      <c r="A477" s="1043" t="s">
        <v>1535</v>
      </c>
      <c r="B477" s="1053"/>
      <c r="C477" s="1053"/>
      <c r="E477" t="s">
        <v>5051</v>
      </c>
      <c r="F477" s="1043" t="s">
        <v>5052</v>
      </c>
      <c r="G477" s="264">
        <f t="shared" si="22"/>
        <v>0.1730620991189748</v>
      </c>
      <c r="H477" t="s">
        <v>5053</v>
      </c>
      <c r="I477" t="s">
        <v>5054</v>
      </c>
      <c r="J477" t="e">
        <f t="shared" si="23"/>
        <v>#DIV/0!</v>
      </c>
      <c r="K477" s="1043" t="s">
        <v>5055</v>
      </c>
      <c r="L477" s="264"/>
      <c r="M477" s="1043" t="s">
        <v>5056</v>
      </c>
      <c r="N477">
        <f t="shared" si="24"/>
        <v>0.22187365476239074</v>
      </c>
    </row>
    <row r="478" spans="1:14" ht="15">
      <c r="A478" s="1043" t="s">
        <v>1537</v>
      </c>
      <c r="B478" s="1043" t="s">
        <v>2633</v>
      </c>
      <c r="C478" s="1043" t="s">
        <v>5053</v>
      </c>
      <c r="F478" s="1053"/>
      <c r="G478" s="264" t="e">
        <f t="shared" si="22"/>
        <v>#DIV/0!</v>
      </c>
      <c r="J478" t="e">
        <f t="shared" si="23"/>
        <v>#DIV/0!</v>
      </c>
      <c r="K478" s="1043" t="s">
        <v>5057</v>
      </c>
      <c r="L478" s="264" t="s">
        <v>5058</v>
      </c>
      <c r="M478" s="1003"/>
      <c r="N478" t="e">
        <f t="shared" si="24"/>
        <v>#DIV/0!</v>
      </c>
    </row>
    <row r="479" spans="1:14" ht="15">
      <c r="A479" s="1043" t="s">
        <v>1539</v>
      </c>
      <c r="B479" s="1053"/>
      <c r="C479" s="1053"/>
      <c r="F479" s="1053"/>
      <c r="G479" s="264" t="e">
        <f t="shared" si="22"/>
        <v>#DIV/0!</v>
      </c>
      <c r="J479">
        <f t="shared" si="23"/>
        <v>-1.9020424850787421</v>
      </c>
      <c r="K479" s="1043" t="s">
        <v>5059</v>
      </c>
      <c r="L479" s="264"/>
      <c r="M479" s="1043" t="s">
        <v>5060</v>
      </c>
      <c r="N479">
        <f t="shared" si="24"/>
        <v>0</v>
      </c>
    </row>
    <row r="480" spans="1:14" ht="15">
      <c r="A480" s="1043" t="s">
        <v>1542</v>
      </c>
      <c r="B480" s="1053"/>
      <c r="C480" s="1053"/>
      <c r="E480" t="s">
        <v>5061</v>
      </c>
      <c r="F480" s="1061" t="s">
        <v>5062</v>
      </c>
      <c r="G480" s="264">
        <f t="shared" si="22"/>
        <v>0.2774147176862311</v>
      </c>
      <c r="H480" t="s">
        <v>5063</v>
      </c>
      <c r="I480" t="s">
        <v>5064</v>
      </c>
      <c r="J480" t="e">
        <f t="shared" si="23"/>
        <v>#DIV/0!</v>
      </c>
      <c r="K480" s="1043" t="s">
        <v>5065</v>
      </c>
      <c r="L480" s="264"/>
      <c r="M480" s="1043" t="s">
        <v>5066</v>
      </c>
      <c r="N480">
        <f t="shared" si="24"/>
        <v>-5.9905563339113126</v>
      </c>
    </row>
    <row r="481" spans="1:14" ht="15">
      <c r="A481" s="1043" t="s">
        <v>1544</v>
      </c>
      <c r="B481" s="1053"/>
      <c r="C481" s="1043" t="s">
        <v>5063</v>
      </c>
      <c r="F481" s="1053"/>
      <c r="G481" s="264" t="e">
        <f t="shared" si="22"/>
        <v>#DIV/0!</v>
      </c>
      <c r="J481">
        <f t="shared" si="23"/>
        <v>-1.9011670753686172</v>
      </c>
      <c r="K481" s="1043" t="s">
        <v>5067</v>
      </c>
      <c r="L481" s="264" t="s">
        <v>5068</v>
      </c>
      <c r="M481" s="1003"/>
      <c r="N481" t="e">
        <f t="shared" si="24"/>
        <v>#DIV/0!</v>
      </c>
    </row>
    <row r="482" spans="1:14" ht="15">
      <c r="A482" s="1043" t="s">
        <v>1546</v>
      </c>
      <c r="B482" s="1053"/>
      <c r="C482" s="1053"/>
      <c r="E482" t="s">
        <v>5069</v>
      </c>
      <c r="F482" s="1061" t="s">
        <v>5070</v>
      </c>
      <c r="G482" s="264">
        <f t="shared" si="22"/>
        <v>0.23145174422319639</v>
      </c>
      <c r="H482" t="s">
        <v>5071</v>
      </c>
      <c r="I482" t="s">
        <v>5072</v>
      </c>
      <c r="J482">
        <f t="shared" si="23"/>
        <v>4.1657740754822399</v>
      </c>
      <c r="K482" s="1043" t="s">
        <v>5073</v>
      </c>
      <c r="L482" s="264"/>
      <c r="M482" s="1043" t="s">
        <v>5074</v>
      </c>
      <c r="N482">
        <f t="shared" si="24"/>
        <v>-3.3557359616749167</v>
      </c>
    </row>
    <row r="483" spans="1:14" ht="15">
      <c r="A483" s="1043" t="s">
        <v>1548</v>
      </c>
      <c r="B483" s="1053"/>
      <c r="C483" s="1043" t="s">
        <v>5071</v>
      </c>
      <c r="E483" t="s">
        <v>5075</v>
      </c>
      <c r="F483" s="1043" t="s">
        <v>5076</v>
      </c>
      <c r="G483" s="264">
        <f t="shared" si="22"/>
        <v>2.0782756746571512E-2</v>
      </c>
      <c r="H483" t="s">
        <v>5077</v>
      </c>
      <c r="I483" t="s">
        <v>5078</v>
      </c>
      <c r="J483">
        <f t="shared" si="23"/>
        <v>-0.37306004886340044</v>
      </c>
      <c r="K483" s="1043" t="s">
        <v>5079</v>
      </c>
      <c r="L483" s="264"/>
      <c r="M483" s="1043" t="s">
        <v>5080</v>
      </c>
      <c r="N483">
        <f t="shared" si="24"/>
        <v>7.4616707370883995E-2</v>
      </c>
    </row>
    <row r="484" spans="1:14" ht="15">
      <c r="A484" s="1043" t="s">
        <v>1550</v>
      </c>
      <c r="B484" s="1043" t="s">
        <v>2667</v>
      </c>
      <c r="C484" s="1043" t="s">
        <v>5077</v>
      </c>
      <c r="E484" t="s">
        <v>5081</v>
      </c>
      <c r="F484" s="1043" t="s">
        <v>5082</v>
      </c>
      <c r="G484" s="264">
        <f t="shared" si="22"/>
        <v>-0.63477210001227546</v>
      </c>
      <c r="H484" t="s">
        <v>5083</v>
      </c>
      <c r="I484" t="s">
        <v>5084</v>
      </c>
      <c r="J484">
        <f t="shared" si="23"/>
        <v>-2.6311981270904679</v>
      </c>
      <c r="K484" s="1043" t="s">
        <v>5085</v>
      </c>
      <c r="L484" s="264" t="s">
        <v>5086</v>
      </c>
      <c r="M484" s="1043" t="s">
        <v>5087</v>
      </c>
      <c r="N484">
        <f t="shared" si="24"/>
        <v>-1.3299209986015532</v>
      </c>
    </row>
    <row r="485" spans="1:14" ht="15">
      <c r="A485" s="1043" t="s">
        <v>1552</v>
      </c>
      <c r="B485" s="1043" t="s">
        <v>4993</v>
      </c>
      <c r="C485" s="1043" t="s">
        <v>5083</v>
      </c>
      <c r="E485" t="s">
        <v>5088</v>
      </c>
      <c r="F485" s="1043" t="s">
        <v>5089</v>
      </c>
      <c r="G485" s="264">
        <f t="shared" si="22"/>
        <v>-2.4348842990760618E-2</v>
      </c>
      <c r="H485" t="s">
        <v>5090</v>
      </c>
      <c r="I485" t="s">
        <v>5091</v>
      </c>
      <c r="J485">
        <f t="shared" si="23"/>
        <v>-1.5907176875329143</v>
      </c>
      <c r="K485" s="1043" t="s">
        <v>5092</v>
      </c>
      <c r="L485" s="264" t="s">
        <v>5093</v>
      </c>
      <c r="M485" s="1043" t="s">
        <v>5094</v>
      </c>
      <c r="N485">
        <f t="shared" si="24"/>
        <v>-1.7316940671909978E-2</v>
      </c>
    </row>
    <row r="486" spans="1:14" ht="15">
      <c r="A486" s="1043" t="s">
        <v>1554</v>
      </c>
      <c r="B486" s="1043" t="s">
        <v>4025</v>
      </c>
      <c r="C486" s="1043" t="s">
        <v>5090</v>
      </c>
      <c r="E486" t="s">
        <v>5095</v>
      </c>
      <c r="F486" s="1043" t="s">
        <v>5096</v>
      </c>
      <c r="G486" s="264">
        <f t="shared" si="22"/>
        <v>-8.8406240375139111E-2</v>
      </c>
      <c r="H486" t="s">
        <v>5097</v>
      </c>
      <c r="I486" t="s">
        <v>5098</v>
      </c>
      <c r="J486" t="e">
        <f t="shared" si="23"/>
        <v>#DIV/0!</v>
      </c>
      <c r="K486" s="1043" t="s">
        <v>5099</v>
      </c>
      <c r="L486" s="264" t="s">
        <v>5100</v>
      </c>
      <c r="M486" s="1043" t="s">
        <v>5101</v>
      </c>
      <c r="N486">
        <f t="shared" si="24"/>
        <v>-7.0956219415298866E-2</v>
      </c>
    </row>
    <row r="487" spans="1:14" ht="15">
      <c r="A487" s="1043" t="s">
        <v>1556</v>
      </c>
      <c r="B487" s="1043" t="s">
        <v>3685</v>
      </c>
      <c r="C487" s="1043" t="s">
        <v>5097</v>
      </c>
      <c r="F487" s="1053"/>
      <c r="G487" s="264" t="e">
        <f t="shared" si="22"/>
        <v>#DIV/0!</v>
      </c>
      <c r="J487">
        <f t="shared" si="23"/>
        <v>0.29662418026606774</v>
      </c>
      <c r="K487" s="1043" t="s">
        <v>5102</v>
      </c>
      <c r="L487" s="264" t="s">
        <v>5103</v>
      </c>
      <c r="M487" s="1003"/>
      <c r="N487" t="e">
        <f t="shared" si="24"/>
        <v>#DIV/0!</v>
      </c>
    </row>
    <row r="488" spans="1:14" ht="15">
      <c r="A488" s="1043" t="s">
        <v>1559</v>
      </c>
      <c r="B488" s="1053"/>
      <c r="C488" s="1053"/>
      <c r="E488" t="s">
        <v>5104</v>
      </c>
      <c r="F488" s="1043" t="s">
        <v>5105</v>
      </c>
      <c r="G488" s="264">
        <f t="shared" si="22"/>
        <v>0.10448049852867153</v>
      </c>
      <c r="H488" t="s">
        <v>5106</v>
      </c>
      <c r="I488" t="s">
        <v>5107</v>
      </c>
      <c r="J488">
        <f t="shared" si="23"/>
        <v>2.8445814785378203</v>
      </c>
      <c r="K488" s="1043" t="s">
        <v>5108</v>
      </c>
      <c r="L488" s="264"/>
      <c r="M488" s="1043" t="s">
        <v>5109</v>
      </c>
      <c r="N488">
        <f t="shared" si="24"/>
        <v>0.10601757234360971</v>
      </c>
    </row>
    <row r="489" spans="1:14" ht="15">
      <c r="A489" s="1043" t="s">
        <v>1561</v>
      </c>
      <c r="B489" s="1043" t="s">
        <v>5110</v>
      </c>
      <c r="C489" s="1043" t="s">
        <v>5106</v>
      </c>
      <c r="E489" t="s">
        <v>5111</v>
      </c>
      <c r="F489" s="1043" t="s">
        <v>5112</v>
      </c>
      <c r="G489" s="264">
        <f t="shared" si="22"/>
        <v>0.11085408388776789</v>
      </c>
      <c r="H489" t="s">
        <v>5113</v>
      </c>
      <c r="I489" t="s">
        <v>5114</v>
      </c>
      <c r="J489">
        <f t="shared" si="23"/>
        <v>6.4702390631139233</v>
      </c>
      <c r="K489" s="1043" t="s">
        <v>5115</v>
      </c>
      <c r="L489" s="264" t="s">
        <v>5116</v>
      </c>
      <c r="M489" s="1043" t="s">
        <v>5117</v>
      </c>
      <c r="N489">
        <f t="shared" si="24"/>
        <v>0.12219751212895551</v>
      </c>
    </row>
    <row r="490" spans="1:14" ht="15">
      <c r="A490" s="1043" t="s">
        <v>1563</v>
      </c>
      <c r="B490" s="1043" t="s">
        <v>5118</v>
      </c>
      <c r="C490" s="1043" t="s">
        <v>5113</v>
      </c>
      <c r="E490" t="s">
        <v>5119</v>
      </c>
      <c r="F490" s="1043" t="s">
        <v>5120</v>
      </c>
      <c r="G490" s="264">
        <f t="shared" si="22"/>
        <v>7.4515790758159436E-2</v>
      </c>
      <c r="H490" t="s">
        <v>5121</v>
      </c>
      <c r="I490" t="s">
        <v>5122</v>
      </c>
      <c r="J490">
        <f t="shared" si="23"/>
        <v>0.45537314602977225</v>
      </c>
      <c r="K490" s="1043" t="s">
        <v>5123</v>
      </c>
      <c r="L490" s="264"/>
      <c r="M490" s="1043" t="s">
        <v>5124</v>
      </c>
      <c r="N490">
        <f t="shared" si="24"/>
        <v>3.4710038680010075E-2</v>
      </c>
    </row>
    <row r="491" spans="1:14" ht="15">
      <c r="A491" s="1043" t="s">
        <v>1565</v>
      </c>
      <c r="B491" s="1043" t="s">
        <v>5125</v>
      </c>
      <c r="C491" s="1043" t="s">
        <v>5121</v>
      </c>
      <c r="E491" t="s">
        <v>5126</v>
      </c>
      <c r="F491" s="1043" t="s">
        <v>5127</v>
      </c>
      <c r="G491" s="264">
        <f t="shared" si="22"/>
        <v>0.17617271341979876</v>
      </c>
      <c r="H491" t="s">
        <v>5128</v>
      </c>
      <c r="I491" t="s">
        <v>5129</v>
      </c>
      <c r="J491">
        <f t="shared" si="23"/>
        <v>-0.80018819210340397</v>
      </c>
      <c r="K491" s="1043" t="s">
        <v>5130</v>
      </c>
      <c r="L491" s="264" t="s">
        <v>5131</v>
      </c>
      <c r="M491" s="1043" t="s">
        <v>5132</v>
      </c>
      <c r="N491">
        <f t="shared" si="24"/>
        <v>0.29644684220418549</v>
      </c>
    </row>
    <row r="492" spans="1:14" ht="15">
      <c r="A492" s="1043" t="s">
        <v>1567</v>
      </c>
      <c r="B492" s="1043" t="s">
        <v>5002</v>
      </c>
      <c r="C492" s="1043" t="s">
        <v>5128</v>
      </c>
      <c r="E492" t="s">
        <v>5133</v>
      </c>
      <c r="F492" s="1043" t="s">
        <v>5134</v>
      </c>
      <c r="G492" s="264">
        <f t="shared" si="22"/>
        <v>-2.8247116968802003E-2</v>
      </c>
      <c r="H492" t="s">
        <v>5135</v>
      </c>
      <c r="I492" t="s">
        <v>5136</v>
      </c>
      <c r="J492">
        <f t="shared" si="23"/>
        <v>-0.2580680426148057</v>
      </c>
      <c r="K492" s="1043" t="s">
        <v>5137</v>
      </c>
      <c r="L492" s="264" t="s">
        <v>5138</v>
      </c>
      <c r="M492" s="1043" t="s">
        <v>5139</v>
      </c>
      <c r="N492">
        <f t="shared" si="24"/>
        <v>-8.952856051044554E-2</v>
      </c>
    </row>
    <row r="493" spans="1:14" ht="15">
      <c r="A493" s="1043" t="s">
        <v>1569</v>
      </c>
      <c r="B493" s="1043" t="s">
        <v>5140</v>
      </c>
      <c r="C493" s="1043" t="s">
        <v>5135</v>
      </c>
      <c r="E493" t="s">
        <v>5141</v>
      </c>
      <c r="F493" s="1061" t="s">
        <v>5142</v>
      </c>
      <c r="G493" s="264">
        <f t="shared" si="22"/>
        <v>5.1388390536574073</v>
      </c>
      <c r="H493" t="s">
        <v>5143</v>
      </c>
      <c r="I493" t="s">
        <v>5144</v>
      </c>
      <c r="J493">
        <f t="shared" si="23"/>
        <v>10.560003003444114</v>
      </c>
      <c r="K493" s="1043" t="s">
        <v>5145</v>
      </c>
      <c r="L493" s="264" t="s">
        <v>5146</v>
      </c>
      <c r="M493" s="1043" t="s">
        <v>5147</v>
      </c>
      <c r="N493">
        <f t="shared" si="24"/>
        <v>-5.6724710627407546</v>
      </c>
    </row>
    <row r="494" spans="1:14" ht="15">
      <c r="A494" s="1043" t="s">
        <v>1571</v>
      </c>
      <c r="B494" s="1053"/>
      <c r="C494" s="1043" t="s">
        <v>5143</v>
      </c>
      <c r="E494" t="s">
        <v>5148</v>
      </c>
      <c r="F494" s="1043" t="s">
        <v>5149</v>
      </c>
      <c r="G494" s="264">
        <f t="shared" si="22"/>
        <v>2.1091002967544965E-2</v>
      </c>
      <c r="H494" t="s">
        <v>5150</v>
      </c>
      <c r="I494" t="s">
        <v>5151</v>
      </c>
      <c r="J494">
        <f t="shared" si="23"/>
        <v>12.655351423596898</v>
      </c>
      <c r="K494" s="1043" t="s">
        <v>5152</v>
      </c>
      <c r="L494" s="264" t="s">
        <v>3024</v>
      </c>
      <c r="M494" s="1043" t="s">
        <v>5153</v>
      </c>
      <c r="N494">
        <f t="shared" si="24"/>
        <v>2.4157795869694909E-2</v>
      </c>
    </row>
    <row r="495" spans="1:14" ht="15">
      <c r="A495" s="1043" t="s">
        <v>1573</v>
      </c>
      <c r="B495" s="1043" t="s">
        <v>5154</v>
      </c>
      <c r="C495" s="1043" t="s">
        <v>5150</v>
      </c>
      <c r="E495" t="s">
        <v>5155</v>
      </c>
      <c r="F495" s="1043" t="s">
        <v>5156</v>
      </c>
      <c r="G495" s="264">
        <f t="shared" si="22"/>
        <v>0.11246662517139497</v>
      </c>
      <c r="H495" t="s">
        <v>5157</v>
      </c>
      <c r="I495" t="s">
        <v>5158</v>
      </c>
      <c r="J495" t="e">
        <f t="shared" si="23"/>
        <v>#DIV/0!</v>
      </c>
      <c r="K495" s="1043" t="s">
        <v>5159</v>
      </c>
      <c r="L495" s="264" t="s">
        <v>5160</v>
      </c>
      <c r="M495" s="1043" t="s">
        <v>5161</v>
      </c>
      <c r="N495">
        <f t="shared" si="24"/>
        <v>0.16229681054999004</v>
      </c>
    </row>
    <row r="496" spans="1:14" ht="15">
      <c r="A496" s="1043" t="s">
        <v>1575</v>
      </c>
      <c r="B496" s="1043" t="s">
        <v>5162</v>
      </c>
      <c r="C496" s="1043" t="s">
        <v>5157</v>
      </c>
      <c r="F496" s="1053"/>
      <c r="G496" s="264" t="e">
        <f t="shared" si="22"/>
        <v>#DIV/0!</v>
      </c>
      <c r="J496" t="e">
        <f t="shared" si="23"/>
        <v>#DIV/0!</v>
      </c>
      <c r="K496" s="1003"/>
      <c r="L496" s="264" t="s">
        <v>5163</v>
      </c>
      <c r="M496" s="1003"/>
      <c r="N496" t="e">
        <f t="shared" si="24"/>
        <v>#DIV/0!</v>
      </c>
    </row>
    <row r="497" spans="1:14" ht="15">
      <c r="A497" s="1043" t="s">
        <v>1577</v>
      </c>
      <c r="B497" s="1053"/>
      <c r="C497" s="1053"/>
      <c r="F497" s="1053"/>
      <c r="G497" s="264" t="e">
        <f t="shared" si="22"/>
        <v>#DIV/0!</v>
      </c>
      <c r="J497">
        <f t="shared" si="23"/>
        <v>0.83697002992531655</v>
      </c>
      <c r="K497" s="1043" t="s">
        <v>5164</v>
      </c>
      <c r="L497" s="264"/>
      <c r="M497" s="1003"/>
      <c r="N497" t="e">
        <f t="shared" si="24"/>
        <v>#DIV/0!</v>
      </c>
    </row>
    <row r="498" spans="1:14" ht="15">
      <c r="A498" s="1043" t="s">
        <v>1579</v>
      </c>
      <c r="B498" s="1053"/>
      <c r="C498" s="1053"/>
      <c r="E498" t="s">
        <v>5165</v>
      </c>
      <c r="F498" s="1043" t="s">
        <v>5166</v>
      </c>
      <c r="G498" s="264">
        <f t="shared" si="22"/>
        <v>4.5340305338378857E-2</v>
      </c>
      <c r="H498" t="s">
        <v>5167</v>
      </c>
      <c r="I498" t="s">
        <v>5168</v>
      </c>
      <c r="J498">
        <f t="shared" si="23"/>
        <v>68.093023255813947</v>
      </c>
      <c r="K498" s="1043" t="s">
        <v>5169</v>
      </c>
      <c r="L498" s="264"/>
      <c r="M498" s="1043" t="s">
        <v>5170</v>
      </c>
      <c r="N498">
        <f t="shared" si="24"/>
        <v>0.10151644126899416</v>
      </c>
    </row>
    <row r="499" spans="1:14" ht="15">
      <c r="A499" s="1043" t="s">
        <v>1581</v>
      </c>
      <c r="B499" s="1043" t="s">
        <v>2347</v>
      </c>
      <c r="C499" s="1043" t="s">
        <v>5167</v>
      </c>
      <c r="E499" t="s">
        <v>5171</v>
      </c>
      <c r="F499" s="1043" t="s">
        <v>5172</v>
      </c>
      <c r="G499" s="264">
        <f t="shared" si="22"/>
        <v>4.2983915696062115E-3</v>
      </c>
      <c r="H499" t="s">
        <v>5173</v>
      </c>
      <c r="I499" t="s">
        <v>5174</v>
      </c>
      <c r="J499">
        <f t="shared" si="23"/>
        <v>14.463544304233343</v>
      </c>
      <c r="K499" s="1043" t="s">
        <v>5175</v>
      </c>
      <c r="L499" s="264" t="s">
        <v>5176</v>
      </c>
      <c r="M499" s="1043" t="s">
        <v>5177</v>
      </c>
      <c r="N499">
        <f t="shared" si="24"/>
        <v>2.0811167692033437E-4</v>
      </c>
    </row>
    <row r="500" spans="1:14" ht="15">
      <c r="A500" s="1043" t="s">
        <v>1583</v>
      </c>
      <c r="B500" s="1043" t="s">
        <v>5178</v>
      </c>
      <c r="C500" s="1043" t="s">
        <v>5173</v>
      </c>
      <c r="E500" t="s">
        <v>5179</v>
      </c>
      <c r="F500" s="1043" t="s">
        <v>5180</v>
      </c>
      <c r="G500" s="264">
        <f t="shared" si="22"/>
        <v>4.3834851651787854E-2</v>
      </c>
      <c r="H500" t="s">
        <v>5181</v>
      </c>
      <c r="I500" t="s">
        <v>5182</v>
      </c>
      <c r="J500">
        <f t="shared" si="23"/>
        <v>0.28915915411852189</v>
      </c>
      <c r="K500" s="1043" t="s">
        <v>5183</v>
      </c>
      <c r="L500" s="264" t="s">
        <v>3969</v>
      </c>
      <c r="M500" s="1043" t="s">
        <v>5184</v>
      </c>
      <c r="N500">
        <f t="shared" si="24"/>
        <v>6.0057419783526987E-2</v>
      </c>
    </row>
    <row r="501" spans="1:14" ht="15">
      <c r="A501" s="1043" t="s">
        <v>1585</v>
      </c>
      <c r="B501" s="1043" t="s">
        <v>5185</v>
      </c>
      <c r="C501" s="1043" t="s">
        <v>5181</v>
      </c>
      <c r="E501" t="s">
        <v>5186</v>
      </c>
      <c r="F501" s="1043" t="s">
        <v>5187</v>
      </c>
      <c r="G501" s="264">
        <f t="shared" si="22"/>
        <v>0.11138910836314303</v>
      </c>
      <c r="H501" t="s">
        <v>5188</v>
      </c>
      <c r="I501" t="s">
        <v>5189</v>
      </c>
      <c r="J501">
        <f t="shared" si="23"/>
        <v>1.8119680542704288</v>
      </c>
      <c r="K501" s="1043" t="s">
        <v>5190</v>
      </c>
      <c r="L501" s="264" t="s">
        <v>5191</v>
      </c>
      <c r="M501" s="1043" t="s">
        <v>5192</v>
      </c>
      <c r="N501">
        <f t="shared" si="24"/>
        <v>0.10978360929733195</v>
      </c>
    </row>
    <row r="502" spans="1:14" ht="15">
      <c r="A502" s="1043" t="s">
        <v>1587</v>
      </c>
      <c r="B502" s="1043" t="s">
        <v>3496</v>
      </c>
      <c r="C502" s="1043" t="s">
        <v>5188</v>
      </c>
      <c r="E502" t="s">
        <v>5193</v>
      </c>
      <c r="F502" s="1043" t="s">
        <v>5194</v>
      </c>
      <c r="G502" s="264">
        <f t="shared" si="22"/>
        <v>0.31012159971125891</v>
      </c>
      <c r="H502" t="s">
        <v>5195</v>
      </c>
      <c r="I502" t="s">
        <v>5196</v>
      </c>
      <c r="J502">
        <f t="shared" si="23"/>
        <v>9.0456558639655871</v>
      </c>
      <c r="K502" s="1043" t="s">
        <v>5197</v>
      </c>
      <c r="L502" s="264" t="s">
        <v>5198</v>
      </c>
      <c r="M502" s="1043" t="s">
        <v>5199</v>
      </c>
      <c r="N502">
        <f t="shared" si="24"/>
        <v>3.7516265709259089E-2</v>
      </c>
    </row>
    <row r="503" spans="1:14" ht="15">
      <c r="A503" s="1043" t="s">
        <v>1589</v>
      </c>
      <c r="B503" s="1043" t="s">
        <v>4744</v>
      </c>
      <c r="C503" s="1043" t="s">
        <v>5195</v>
      </c>
      <c r="E503" t="s">
        <v>5200</v>
      </c>
      <c r="F503" s="1043" t="s">
        <v>5201</v>
      </c>
      <c r="G503" s="264">
        <f t="shared" si="22"/>
        <v>4.9252545921265933E-2</v>
      </c>
      <c r="H503" t="s">
        <v>5202</v>
      </c>
      <c r="I503" t="s">
        <v>5203</v>
      </c>
      <c r="J503">
        <f t="shared" si="23"/>
        <v>0.12512602831249167</v>
      </c>
      <c r="K503" s="1043" t="s">
        <v>5204</v>
      </c>
      <c r="L503" s="264" t="s">
        <v>5205</v>
      </c>
      <c r="M503" s="1043" t="s">
        <v>5206</v>
      </c>
      <c r="N503">
        <f t="shared" si="24"/>
        <v>3.1999447644563798E-2</v>
      </c>
    </row>
    <row r="504" spans="1:14" ht="15">
      <c r="A504" s="1043" t="s">
        <v>1591</v>
      </c>
      <c r="B504" s="1043" t="s">
        <v>5207</v>
      </c>
      <c r="C504" s="1043" t="s">
        <v>5202</v>
      </c>
      <c r="E504" t="s">
        <v>5208</v>
      </c>
      <c r="F504" s="1043" t="s">
        <v>5209</v>
      </c>
      <c r="G504" s="264">
        <f t="shared" si="22"/>
        <v>0.17992884791865113</v>
      </c>
      <c r="H504" t="s">
        <v>5210</v>
      </c>
      <c r="I504" t="s">
        <v>5211</v>
      </c>
      <c r="J504">
        <f t="shared" si="23"/>
        <v>-0.15809315634843862</v>
      </c>
      <c r="K504" s="1043" t="s">
        <v>5212</v>
      </c>
      <c r="L504" s="264" t="s">
        <v>5213</v>
      </c>
      <c r="M504" s="1043" t="s">
        <v>5214</v>
      </c>
      <c r="N504">
        <f t="shared" si="24"/>
        <v>0.12668312331091902</v>
      </c>
    </row>
    <row r="505" spans="1:14" ht="15">
      <c r="A505" s="1043" t="s">
        <v>1593</v>
      </c>
      <c r="B505" s="1043" t="s">
        <v>2071</v>
      </c>
      <c r="C505" s="1043" t="s">
        <v>5210</v>
      </c>
      <c r="E505" t="s">
        <v>5215</v>
      </c>
      <c r="F505" s="1043" t="s">
        <v>5216</v>
      </c>
      <c r="G505" s="264">
        <f t="shared" si="22"/>
        <v>-0.18641996212189016</v>
      </c>
      <c r="H505" t="s">
        <v>5217</v>
      </c>
      <c r="I505" t="s">
        <v>5218</v>
      </c>
      <c r="J505">
        <f t="shared" si="23"/>
        <v>0</v>
      </c>
      <c r="K505" s="1043" t="s">
        <v>5219</v>
      </c>
      <c r="L505" s="264" t="s">
        <v>4657</v>
      </c>
      <c r="M505" s="1043" t="s">
        <v>5220</v>
      </c>
      <c r="N505">
        <f t="shared" si="24"/>
        <v>-0.17365571038496097</v>
      </c>
    </row>
    <row r="506" spans="1:14" ht="15">
      <c r="A506" s="1043" t="s">
        <v>1595</v>
      </c>
      <c r="B506" s="1043" t="s">
        <v>5221</v>
      </c>
      <c r="C506" s="1043" t="s">
        <v>5217</v>
      </c>
      <c r="E506" t="s">
        <v>5222</v>
      </c>
      <c r="F506" s="1043" t="s">
        <v>5223</v>
      </c>
      <c r="G506" s="264">
        <f t="shared" si="22"/>
        <v>5.0796520057684643E-3</v>
      </c>
      <c r="H506">
        <v>0</v>
      </c>
      <c r="I506" t="s">
        <v>5224</v>
      </c>
      <c r="J506">
        <f t="shared" si="23"/>
        <v>-5.9267219965610289</v>
      </c>
      <c r="K506" s="1043" t="s">
        <v>5225</v>
      </c>
      <c r="L506" s="264" t="s">
        <v>5226</v>
      </c>
      <c r="M506" s="1043" t="s">
        <v>5227</v>
      </c>
      <c r="N506">
        <f t="shared" si="24"/>
        <v>5.0034910725693549E-2</v>
      </c>
    </row>
    <row r="507" spans="1:14" ht="15">
      <c r="A507" s="1043" t="s">
        <v>1597</v>
      </c>
      <c r="B507" s="1043" t="s">
        <v>2095</v>
      </c>
      <c r="C507" s="1043">
        <v>0</v>
      </c>
      <c r="E507" t="s">
        <v>5228</v>
      </c>
      <c r="F507" s="1043" t="s">
        <v>5229</v>
      </c>
      <c r="G507" s="264">
        <f t="shared" si="22"/>
        <v>-0.25167236306520552</v>
      </c>
      <c r="H507" t="s">
        <v>5230</v>
      </c>
      <c r="I507" t="s">
        <v>5231</v>
      </c>
      <c r="J507">
        <f t="shared" si="23"/>
        <v>-0.7549367762558139</v>
      </c>
      <c r="K507" s="1043" t="s">
        <v>5232</v>
      </c>
      <c r="L507" s="264" t="s">
        <v>5233</v>
      </c>
      <c r="M507" s="1043" t="s">
        <v>5234</v>
      </c>
      <c r="N507">
        <f t="shared" si="24"/>
        <v>-0.16001183243736181</v>
      </c>
    </row>
    <row r="508" spans="1:14" ht="15">
      <c r="A508" s="1043" t="s">
        <v>1599</v>
      </c>
      <c r="B508" s="1043" t="s">
        <v>5235</v>
      </c>
      <c r="C508" s="1043" t="s">
        <v>5230</v>
      </c>
      <c r="E508" t="s">
        <v>5236</v>
      </c>
      <c r="F508" s="1043" t="s">
        <v>5237</v>
      </c>
      <c r="G508" s="264">
        <f t="shared" si="22"/>
        <v>-0.48102590251049465</v>
      </c>
      <c r="H508" t="s">
        <v>5238</v>
      </c>
      <c r="I508" t="s">
        <v>5239</v>
      </c>
      <c r="J508">
        <f t="shared" si="23"/>
        <v>-0.81853669443617449</v>
      </c>
      <c r="K508" s="1043" t="s">
        <v>5240</v>
      </c>
      <c r="L508" s="264" t="s">
        <v>5241</v>
      </c>
      <c r="M508" s="1043" t="s">
        <v>5242</v>
      </c>
      <c r="N508">
        <f t="shared" si="24"/>
        <v>-1.1737771181734657</v>
      </c>
    </row>
    <row r="509" spans="1:14" ht="15">
      <c r="A509" s="1043" t="s">
        <v>1601</v>
      </c>
      <c r="B509" s="1043" t="s">
        <v>3732</v>
      </c>
      <c r="C509" s="1043" t="s">
        <v>5238</v>
      </c>
      <c r="E509" t="s">
        <v>5243</v>
      </c>
      <c r="F509" s="1043" t="s">
        <v>5244</v>
      </c>
      <c r="G509" s="264">
        <f t="shared" si="22"/>
        <v>-0.38711091071225179</v>
      </c>
      <c r="H509" t="s">
        <v>5245</v>
      </c>
      <c r="I509" t="s">
        <v>5246</v>
      </c>
      <c r="J509">
        <f t="shared" si="23"/>
        <v>-4.8804705441022445E-2</v>
      </c>
      <c r="K509" s="1043" t="s">
        <v>5247</v>
      </c>
      <c r="L509" s="264" t="s">
        <v>3474</v>
      </c>
      <c r="M509" s="1043" t="s">
        <v>5248</v>
      </c>
      <c r="N509">
        <f t="shared" si="24"/>
        <v>-0.30448233589249551</v>
      </c>
    </row>
    <row r="510" spans="1:14" ht="15">
      <c r="A510" s="1043" t="s">
        <v>1603</v>
      </c>
      <c r="B510" s="1043" t="s">
        <v>5249</v>
      </c>
      <c r="C510" s="1043" t="s">
        <v>5245</v>
      </c>
      <c r="E510" t="s">
        <v>5250</v>
      </c>
      <c r="F510" s="1043" t="s">
        <v>5251</v>
      </c>
      <c r="G510" s="264">
        <f t="shared" si="22"/>
        <v>-0.26090697209113922</v>
      </c>
      <c r="H510" t="s">
        <v>5252</v>
      </c>
      <c r="I510" t="s">
        <v>5253</v>
      </c>
      <c r="J510">
        <f t="shared" si="23"/>
        <v>0</v>
      </c>
      <c r="K510" s="1043" t="s">
        <v>5254</v>
      </c>
      <c r="L510" s="264" t="s">
        <v>5255</v>
      </c>
      <c r="M510" s="1043" t="s">
        <v>5256</v>
      </c>
      <c r="N510">
        <f t="shared" si="24"/>
        <v>-0.14118573141410728</v>
      </c>
    </row>
    <row r="511" spans="1:14" ht="15">
      <c r="A511" s="1043" t="s">
        <v>1605</v>
      </c>
      <c r="B511" s="1043" t="s">
        <v>5026</v>
      </c>
      <c r="C511" s="1043" t="s">
        <v>5252</v>
      </c>
      <c r="E511" t="s">
        <v>5257</v>
      </c>
      <c r="F511" s="1043" t="s">
        <v>5258</v>
      </c>
      <c r="G511" s="264">
        <f t="shared" si="22"/>
        <v>-2.8860322333077515</v>
      </c>
      <c r="H511">
        <v>0</v>
      </c>
      <c r="I511" t="s">
        <v>5259</v>
      </c>
      <c r="J511">
        <f t="shared" si="23"/>
        <v>20.322360370766553</v>
      </c>
      <c r="K511" s="1043">
        <v>32</v>
      </c>
      <c r="L511" s="264" t="s">
        <v>5260</v>
      </c>
      <c r="M511" s="1043" t="s">
        <v>5261</v>
      </c>
      <c r="N511">
        <f t="shared" si="24"/>
        <v>-0.56037104622871048</v>
      </c>
    </row>
    <row r="512" spans="1:14" ht="15">
      <c r="A512" s="1043" t="s">
        <v>1607</v>
      </c>
      <c r="B512" s="1043" t="s">
        <v>2095</v>
      </c>
      <c r="C512" s="1043">
        <v>0</v>
      </c>
      <c r="E512" t="s">
        <v>5262</v>
      </c>
      <c r="F512" s="1043" t="s">
        <v>5263</v>
      </c>
      <c r="G512" s="264">
        <f t="shared" si="22"/>
        <v>-2.6185164449482596E-3</v>
      </c>
      <c r="H512" t="s">
        <v>5264</v>
      </c>
      <c r="I512" t="s">
        <v>5265</v>
      </c>
      <c r="J512">
        <f t="shared" si="23"/>
        <v>7.9560747004958925</v>
      </c>
      <c r="K512" s="1043" t="s">
        <v>5266</v>
      </c>
      <c r="L512" s="264"/>
      <c r="M512" s="1043" t="s">
        <v>5267</v>
      </c>
      <c r="N512">
        <f t="shared" si="24"/>
        <v>4.6481617944159802E-2</v>
      </c>
    </row>
    <row r="513" spans="1:14" ht="15">
      <c r="A513" s="1043" t="s">
        <v>1609</v>
      </c>
      <c r="B513" s="1043" t="s">
        <v>5268</v>
      </c>
      <c r="C513" s="1043" t="s">
        <v>5264</v>
      </c>
      <c r="E513" t="s">
        <v>5269</v>
      </c>
      <c r="F513" s="1043" t="s">
        <v>5270</v>
      </c>
      <c r="G513" s="264">
        <f t="shared" si="22"/>
        <v>2.6686522098992121E-2</v>
      </c>
      <c r="H513" t="s">
        <v>5271</v>
      </c>
      <c r="I513" t="s">
        <v>5272</v>
      </c>
      <c r="J513">
        <f t="shared" si="23"/>
        <v>14.361277605874038</v>
      </c>
      <c r="K513" s="1043" t="s">
        <v>5273</v>
      </c>
      <c r="L513" s="264"/>
      <c r="M513" s="1043" t="s">
        <v>5274</v>
      </c>
      <c r="N513">
        <f t="shared" si="24"/>
        <v>2.9917842436510477E-2</v>
      </c>
    </row>
    <row r="514" spans="1:14" ht="15">
      <c r="A514" s="1043" t="s">
        <v>1611</v>
      </c>
      <c r="B514" s="1043" t="s">
        <v>5275</v>
      </c>
      <c r="C514" s="1043" t="s">
        <v>5271</v>
      </c>
      <c r="E514" t="s">
        <v>5276</v>
      </c>
      <c r="F514" s="1043" t="s">
        <v>5277</v>
      </c>
      <c r="G514" s="264">
        <f t="shared" ref="G514:G577" si="25">E514/F514</f>
        <v>3.1856127317587316E-2</v>
      </c>
      <c r="H514" t="s">
        <v>5278</v>
      </c>
      <c r="I514" t="s">
        <v>5279</v>
      </c>
      <c r="J514">
        <f t="shared" ref="J514:J577" si="26">H515/I515</f>
        <v>0</v>
      </c>
      <c r="K514" s="1043" t="s">
        <v>5280</v>
      </c>
      <c r="L514" s="264" t="s">
        <v>5281</v>
      </c>
      <c r="M514" s="1043" t="s">
        <v>5282</v>
      </c>
      <c r="N514">
        <f t="shared" si="24"/>
        <v>2.9665459557764787E-2</v>
      </c>
    </row>
    <row r="515" spans="1:14" ht="15">
      <c r="A515" s="1043" t="s">
        <v>1613</v>
      </c>
      <c r="B515" s="1043" t="s">
        <v>4744</v>
      </c>
      <c r="C515" s="1043" t="s">
        <v>5278</v>
      </c>
      <c r="E515" t="s">
        <v>5283</v>
      </c>
      <c r="F515" s="1043" t="s">
        <v>5284</v>
      </c>
      <c r="G515" s="264">
        <f t="shared" si="25"/>
        <v>-0.11646105072008975</v>
      </c>
      <c r="H515">
        <v>0</v>
      </c>
      <c r="I515" t="s">
        <v>5285</v>
      </c>
      <c r="J515">
        <f t="shared" si="26"/>
        <v>-1.7670940177908296</v>
      </c>
      <c r="K515" s="1043" t="s">
        <v>5286</v>
      </c>
      <c r="L515" s="264" t="s">
        <v>5287</v>
      </c>
      <c r="M515" s="1043" t="s">
        <v>5288</v>
      </c>
      <c r="N515">
        <f t="shared" si="24"/>
        <v>-0.15814961713474421</v>
      </c>
    </row>
    <row r="516" spans="1:14" ht="15">
      <c r="A516" s="1043" t="s">
        <v>1615</v>
      </c>
      <c r="B516" s="1043" t="s">
        <v>2095</v>
      </c>
      <c r="C516" s="1043">
        <v>0</v>
      </c>
      <c r="E516" t="s">
        <v>5289</v>
      </c>
      <c r="F516" s="1043" t="s">
        <v>5290</v>
      </c>
      <c r="G516" s="264">
        <f t="shared" si="25"/>
        <v>-0.30355865504843421</v>
      </c>
      <c r="H516" t="s">
        <v>5291</v>
      </c>
      <c r="I516" t="s">
        <v>5292</v>
      </c>
      <c r="J516">
        <f t="shared" si="26"/>
        <v>3.6955251915074889</v>
      </c>
      <c r="K516" s="1043" t="s">
        <v>5293</v>
      </c>
      <c r="L516" s="264" t="s">
        <v>5294</v>
      </c>
      <c r="M516" s="1043" t="s">
        <v>5295</v>
      </c>
      <c r="N516">
        <f t="shared" si="24"/>
        <v>-3.0625599796178345E-2</v>
      </c>
    </row>
    <row r="517" spans="1:14" ht="15">
      <c r="A517" s="1043" t="s">
        <v>1617</v>
      </c>
      <c r="B517" s="1043" t="s">
        <v>4993</v>
      </c>
      <c r="C517" s="1043" t="s">
        <v>5291</v>
      </c>
      <c r="E517" t="s">
        <v>5296</v>
      </c>
      <c r="F517" s="1043" t="s">
        <v>5297</v>
      </c>
      <c r="G517" s="264">
        <f t="shared" si="25"/>
        <v>0.11428641642464317</v>
      </c>
      <c r="H517" t="s">
        <v>5298</v>
      </c>
      <c r="I517" t="s">
        <v>5299</v>
      </c>
      <c r="J517" t="e">
        <f t="shared" si="26"/>
        <v>#DIV/0!</v>
      </c>
      <c r="K517" s="1043" t="s">
        <v>5300</v>
      </c>
      <c r="L517" s="264" t="s">
        <v>2061</v>
      </c>
      <c r="M517" s="1043" t="s">
        <v>5301</v>
      </c>
      <c r="N517">
        <f t="shared" si="24"/>
        <v>7.6451281501419943E-2</v>
      </c>
    </row>
    <row r="518" spans="1:14" ht="15">
      <c r="A518" s="1043" t="s">
        <v>1619</v>
      </c>
      <c r="B518" s="1043" t="s">
        <v>5302</v>
      </c>
      <c r="C518" s="1043" t="s">
        <v>5298</v>
      </c>
      <c r="F518" s="1053"/>
      <c r="G518" s="264" t="e">
        <f t="shared" si="25"/>
        <v>#DIV/0!</v>
      </c>
      <c r="J518">
        <f t="shared" si="26"/>
        <v>3.340774174121842</v>
      </c>
      <c r="K518" s="1043" t="s">
        <v>5303</v>
      </c>
      <c r="L518" s="264" t="s">
        <v>2261</v>
      </c>
      <c r="M518" s="1003"/>
      <c r="N518" t="e">
        <f t="shared" si="24"/>
        <v>#DIV/0!</v>
      </c>
    </row>
    <row r="519" spans="1:14" ht="15">
      <c r="A519" s="1043" t="s">
        <v>1621</v>
      </c>
      <c r="B519" s="1053"/>
      <c r="C519" s="1053"/>
      <c r="E519" t="s">
        <v>5304</v>
      </c>
      <c r="F519" s="1043" t="s">
        <v>5305</v>
      </c>
      <c r="G519" s="264">
        <f t="shared" si="25"/>
        <v>0.11477467820664754</v>
      </c>
      <c r="H519" t="s">
        <v>5306</v>
      </c>
      <c r="I519" t="s">
        <v>5307</v>
      </c>
      <c r="J519">
        <f t="shared" si="26"/>
        <v>-3.7799353178465562</v>
      </c>
      <c r="K519" s="1043" t="s">
        <v>5308</v>
      </c>
      <c r="L519" s="264"/>
      <c r="M519" s="1043" t="s">
        <v>5309</v>
      </c>
      <c r="N519">
        <f t="shared" si="24"/>
        <v>5.5667037124504312E-2</v>
      </c>
    </row>
    <row r="520" spans="1:14" ht="15">
      <c r="A520" s="1043" t="s">
        <v>1623</v>
      </c>
      <c r="B520" s="1043" t="s">
        <v>5310</v>
      </c>
      <c r="C520" s="1043" t="s">
        <v>5306</v>
      </c>
      <c r="E520" t="s">
        <v>5311</v>
      </c>
      <c r="F520" s="1043" t="s">
        <v>5312</v>
      </c>
      <c r="G520" s="264">
        <f t="shared" si="25"/>
        <v>-0.38896032544367565</v>
      </c>
      <c r="H520" t="s">
        <v>5313</v>
      </c>
      <c r="I520" t="s">
        <v>5314</v>
      </c>
      <c r="J520">
        <f t="shared" si="26"/>
        <v>4.1177738444588394</v>
      </c>
      <c r="K520" s="1043" t="s">
        <v>5315</v>
      </c>
      <c r="L520" s="264" t="s">
        <v>5316</v>
      </c>
      <c r="M520" s="1043" t="s">
        <v>5317</v>
      </c>
      <c r="N520">
        <f t="shared" si="24"/>
        <v>-0.10661654693867083</v>
      </c>
    </row>
    <row r="521" spans="1:14" ht="15">
      <c r="A521" s="1043" t="s">
        <v>1625</v>
      </c>
      <c r="B521" s="1043" t="s">
        <v>5318</v>
      </c>
      <c r="C521" s="1043" t="s">
        <v>5313</v>
      </c>
      <c r="E521" t="s">
        <v>5319</v>
      </c>
      <c r="F521" s="1043" t="s">
        <v>5320</v>
      </c>
      <c r="G521" s="264">
        <f t="shared" si="25"/>
        <v>0.17783452971536701</v>
      </c>
      <c r="H521" t="s">
        <v>5321</v>
      </c>
      <c r="I521" t="s">
        <v>5322</v>
      </c>
      <c r="J521">
        <f t="shared" si="26"/>
        <v>1.6505200197247252</v>
      </c>
      <c r="K521" s="1043" t="s">
        <v>5323</v>
      </c>
      <c r="L521" s="264" t="s">
        <v>5324</v>
      </c>
      <c r="M521" s="1043" t="s">
        <v>5325</v>
      </c>
      <c r="N521">
        <f t="shared" si="24"/>
        <v>7.0487214967546327E-2</v>
      </c>
    </row>
    <row r="522" spans="1:14" ht="15">
      <c r="A522" s="1043" t="s">
        <v>1627</v>
      </c>
      <c r="B522" s="1043" t="s">
        <v>5326</v>
      </c>
      <c r="C522" s="1043" t="s">
        <v>5321</v>
      </c>
      <c r="E522" t="s">
        <v>5327</v>
      </c>
      <c r="F522" s="1043" t="s">
        <v>5328</v>
      </c>
      <c r="G522" s="264">
        <f t="shared" si="25"/>
        <v>8.7027436512373213E-2</v>
      </c>
      <c r="H522" t="s">
        <v>5329</v>
      </c>
      <c r="I522" t="s">
        <v>5330</v>
      </c>
      <c r="J522">
        <f t="shared" si="26"/>
        <v>1.1683908270537775</v>
      </c>
      <c r="K522" s="1043" t="s">
        <v>5331</v>
      </c>
      <c r="L522" s="264"/>
      <c r="M522" s="1043" t="s">
        <v>5332</v>
      </c>
      <c r="N522">
        <f t="shared" si="24"/>
        <v>7.6451641612893792E-2</v>
      </c>
    </row>
    <row r="523" spans="1:14" ht="15">
      <c r="A523" s="1043" t="s">
        <v>1629</v>
      </c>
      <c r="B523" s="1043" t="s">
        <v>5333</v>
      </c>
      <c r="C523" s="1043" t="s">
        <v>5329</v>
      </c>
      <c r="E523" t="s">
        <v>5334</v>
      </c>
      <c r="F523" s="1043" t="s">
        <v>5335</v>
      </c>
      <c r="G523" s="264">
        <f t="shared" si="25"/>
        <v>0.15360108391697341</v>
      </c>
      <c r="H523" t="s">
        <v>5336</v>
      </c>
      <c r="I523" t="s">
        <v>5337</v>
      </c>
      <c r="J523">
        <f t="shared" si="26"/>
        <v>5.2283367117579918</v>
      </c>
      <c r="K523" s="1043" t="s">
        <v>5338</v>
      </c>
      <c r="L523" s="264" t="s">
        <v>5339</v>
      </c>
      <c r="M523" s="1043" t="s">
        <v>5340</v>
      </c>
      <c r="N523">
        <f t="shared" si="24"/>
        <v>7.8116025386256491E-2</v>
      </c>
    </row>
    <row r="524" spans="1:14" ht="15">
      <c r="A524" s="1043" t="s">
        <v>1631</v>
      </c>
      <c r="B524" s="1043" t="s">
        <v>4018</v>
      </c>
      <c r="C524" s="1043" t="s">
        <v>5336</v>
      </c>
      <c r="E524" t="s">
        <v>5341</v>
      </c>
      <c r="F524" s="1043" t="s">
        <v>5342</v>
      </c>
      <c r="G524" s="264">
        <f t="shared" si="25"/>
        <v>0.10804333031552514</v>
      </c>
      <c r="H524" t="s">
        <v>5343</v>
      </c>
      <c r="I524" t="s">
        <v>5344</v>
      </c>
      <c r="J524">
        <f t="shared" si="26"/>
        <v>-0.66569010304038201</v>
      </c>
      <c r="K524" s="1043" t="s">
        <v>5345</v>
      </c>
      <c r="L524" s="264" t="s">
        <v>2534</v>
      </c>
      <c r="M524" s="1043" t="s">
        <v>5346</v>
      </c>
      <c r="N524">
        <f t="shared" si="24"/>
        <v>9.9986077422894379E-2</v>
      </c>
    </row>
    <row r="525" spans="1:14" ht="15">
      <c r="A525" s="1043" t="s">
        <v>1633</v>
      </c>
      <c r="B525" s="1043" t="s">
        <v>5347</v>
      </c>
      <c r="C525" s="1043" t="s">
        <v>5343</v>
      </c>
      <c r="E525" t="s">
        <v>5348</v>
      </c>
      <c r="F525" s="1043" t="s">
        <v>5349</v>
      </c>
      <c r="G525" s="264">
        <f t="shared" si="25"/>
        <v>-4.8582108252813769E-2</v>
      </c>
      <c r="H525" t="s">
        <v>5350</v>
      </c>
      <c r="I525" t="s">
        <v>5351</v>
      </c>
      <c r="J525">
        <f t="shared" si="26"/>
        <v>-7.1791010981546473</v>
      </c>
      <c r="K525" s="1043" t="s">
        <v>5352</v>
      </c>
      <c r="L525" s="264" t="s">
        <v>5353</v>
      </c>
      <c r="M525" s="1043" t="s">
        <v>5354</v>
      </c>
      <c r="N525">
        <f t="shared" si="24"/>
        <v>-3.4548393976298941E-2</v>
      </c>
    </row>
    <row r="526" spans="1:14" ht="15">
      <c r="A526" s="1043" t="s">
        <v>1635</v>
      </c>
      <c r="B526" s="1043" t="s">
        <v>2857</v>
      </c>
      <c r="C526" s="1043" t="s">
        <v>5350</v>
      </c>
      <c r="E526" t="s">
        <v>5355</v>
      </c>
      <c r="F526" s="1043" t="s">
        <v>5356</v>
      </c>
      <c r="G526" s="264">
        <f t="shared" si="25"/>
        <v>-4.161523775695955E-2</v>
      </c>
      <c r="H526" t="s">
        <v>5357</v>
      </c>
      <c r="I526" t="s">
        <v>5358</v>
      </c>
      <c r="J526">
        <f t="shared" si="26"/>
        <v>0.77720447273922699</v>
      </c>
      <c r="K526" s="1043" t="s">
        <v>5359</v>
      </c>
      <c r="L526" s="264" t="s">
        <v>5360</v>
      </c>
      <c r="M526" s="1043" t="s">
        <v>5361</v>
      </c>
      <c r="N526">
        <f t="shared" si="24"/>
        <v>-1.365897560002536E-2</v>
      </c>
    </row>
    <row r="527" spans="1:14" ht="15">
      <c r="A527" s="1043" t="s">
        <v>1637</v>
      </c>
      <c r="B527" s="1043" t="s">
        <v>5362</v>
      </c>
      <c r="C527" s="1043" t="s">
        <v>5357</v>
      </c>
      <c r="E527" t="s">
        <v>5363</v>
      </c>
      <c r="F527" s="1043" t="s">
        <v>5364</v>
      </c>
      <c r="G527" s="264">
        <f t="shared" si="25"/>
        <v>0.28286595153608823</v>
      </c>
      <c r="H527" t="s">
        <v>5365</v>
      </c>
      <c r="I527" t="s">
        <v>5366</v>
      </c>
      <c r="J527">
        <f t="shared" si="26"/>
        <v>7.7603376437752027</v>
      </c>
      <c r="K527" s="1043" t="s">
        <v>5367</v>
      </c>
      <c r="L527" s="264" t="s">
        <v>5368</v>
      </c>
      <c r="M527" s="1043" t="s">
        <v>5369</v>
      </c>
      <c r="N527">
        <f t="shared" si="24"/>
        <v>0.16638086244299552</v>
      </c>
    </row>
    <row r="528" spans="1:14" ht="15">
      <c r="A528" s="1043" t="s">
        <v>1639</v>
      </c>
      <c r="B528" s="1043" t="s">
        <v>3897</v>
      </c>
      <c r="C528" s="1043" t="s">
        <v>5365</v>
      </c>
      <c r="E528" t="s">
        <v>5370</v>
      </c>
      <c r="F528" s="1043" t="s">
        <v>5371</v>
      </c>
      <c r="G528" s="264">
        <f t="shared" si="25"/>
        <v>2.0677528599903048E-2</v>
      </c>
      <c r="H528" t="s">
        <v>5372</v>
      </c>
      <c r="I528" t="s">
        <v>5373</v>
      </c>
      <c r="J528">
        <f t="shared" si="26"/>
        <v>2.0984451515762901</v>
      </c>
      <c r="K528" s="1043" t="s">
        <v>5374</v>
      </c>
      <c r="L528" s="264" t="s">
        <v>5375</v>
      </c>
      <c r="M528" s="1043" t="s">
        <v>5376</v>
      </c>
      <c r="N528">
        <f t="shared" si="24"/>
        <v>2.7114818015748242E-2</v>
      </c>
    </row>
    <row r="529" spans="1:14" ht="15">
      <c r="A529" s="1043" t="s">
        <v>1641</v>
      </c>
      <c r="B529" s="1043" t="s">
        <v>3151</v>
      </c>
      <c r="C529" s="1043" t="s">
        <v>5372</v>
      </c>
      <c r="E529" t="s">
        <v>5377</v>
      </c>
      <c r="F529" s="1043" t="s">
        <v>5378</v>
      </c>
      <c r="G529" s="264">
        <f t="shared" si="25"/>
        <v>0.12249206141384447</v>
      </c>
      <c r="H529" t="s">
        <v>5379</v>
      </c>
      <c r="I529" t="s">
        <v>5380</v>
      </c>
      <c r="J529">
        <f t="shared" si="26"/>
        <v>0.42083576534845235</v>
      </c>
      <c r="K529" s="1043" t="s">
        <v>5381</v>
      </c>
      <c r="L529" s="264" t="s">
        <v>5382</v>
      </c>
      <c r="M529" s="1043" t="s">
        <v>5383</v>
      </c>
      <c r="N529">
        <f t="shared" ref="N529:N592" si="27">I529/M529</f>
        <v>0.10817798997526454</v>
      </c>
    </row>
    <row r="530" spans="1:14" ht="15">
      <c r="A530" s="1043" t="s">
        <v>1643</v>
      </c>
      <c r="B530" s="1043" t="s">
        <v>5384</v>
      </c>
      <c r="C530" s="1043" t="s">
        <v>5379</v>
      </c>
      <c r="E530" t="s">
        <v>5385</v>
      </c>
      <c r="F530" s="1043" t="s">
        <v>5386</v>
      </c>
      <c r="G530" s="264">
        <f t="shared" si="25"/>
        <v>0.10653106298989137</v>
      </c>
      <c r="H530" t="s">
        <v>5387</v>
      </c>
      <c r="I530" t="s">
        <v>5388</v>
      </c>
      <c r="J530">
        <f t="shared" si="26"/>
        <v>1.3684398792440877</v>
      </c>
      <c r="K530" s="1043" t="s">
        <v>5389</v>
      </c>
      <c r="L530" s="264" t="s">
        <v>5390</v>
      </c>
      <c r="M530" s="1043" t="s">
        <v>5391</v>
      </c>
      <c r="N530">
        <f t="shared" si="27"/>
        <v>0.18051317402827249</v>
      </c>
    </row>
    <row r="531" spans="1:14" ht="15">
      <c r="A531" s="1043" t="s">
        <v>1645</v>
      </c>
      <c r="B531" s="1043" t="s">
        <v>5392</v>
      </c>
      <c r="C531" s="1043" t="s">
        <v>5387</v>
      </c>
      <c r="E531" t="s">
        <v>5393</v>
      </c>
      <c r="F531" s="1043" t="s">
        <v>5394</v>
      </c>
      <c r="G531" s="264">
        <f t="shared" si="25"/>
        <v>9.4691960115180121E-2</v>
      </c>
      <c r="H531" t="s">
        <v>5395</v>
      </c>
      <c r="I531" t="s">
        <v>5396</v>
      </c>
      <c r="J531" t="e">
        <f t="shared" si="26"/>
        <v>#DIV/0!</v>
      </c>
      <c r="K531" s="1043" t="s">
        <v>5397</v>
      </c>
      <c r="L531" s="264" t="s">
        <v>5398</v>
      </c>
      <c r="M531" s="1043" t="s">
        <v>5399</v>
      </c>
      <c r="N531">
        <f t="shared" si="27"/>
        <v>8.2269008606210989E-2</v>
      </c>
    </row>
    <row r="532" spans="1:14" ht="15">
      <c r="A532" s="1043" t="s">
        <v>1647</v>
      </c>
      <c r="B532" s="1043" t="s">
        <v>5400</v>
      </c>
      <c r="C532" s="1043" t="s">
        <v>5395</v>
      </c>
      <c r="F532" s="1053"/>
      <c r="G532" s="264" t="e">
        <f t="shared" si="25"/>
        <v>#DIV/0!</v>
      </c>
      <c r="J532">
        <f t="shared" si="26"/>
        <v>0</v>
      </c>
      <c r="K532" s="1043" t="s">
        <v>5401</v>
      </c>
      <c r="L532" s="264" t="s">
        <v>3685</v>
      </c>
      <c r="M532" s="1003"/>
      <c r="N532" t="e">
        <f t="shared" si="27"/>
        <v>#DIV/0!</v>
      </c>
    </row>
    <row r="533" spans="1:14" ht="15">
      <c r="A533" s="1043" t="s">
        <v>1649</v>
      </c>
      <c r="B533" s="1053"/>
      <c r="C533" s="1053"/>
      <c r="E533" t="s">
        <v>5402</v>
      </c>
      <c r="F533" s="1043" t="s">
        <v>5403</v>
      </c>
      <c r="G533" s="264">
        <f t="shared" si="25"/>
        <v>4.4728163620950511E-3</v>
      </c>
      <c r="H533">
        <v>0</v>
      </c>
      <c r="I533" t="s">
        <v>5404</v>
      </c>
      <c r="J533">
        <f t="shared" si="26"/>
        <v>2.5465957151464176</v>
      </c>
      <c r="K533" s="1043" t="s">
        <v>5405</v>
      </c>
      <c r="L533" s="264"/>
      <c r="M533" s="1043" t="s">
        <v>5406</v>
      </c>
      <c r="N533">
        <f t="shared" si="27"/>
        <v>-3.5986552497735244E-3</v>
      </c>
    </row>
    <row r="534" spans="1:14" ht="15">
      <c r="A534" s="1043" t="s">
        <v>1651</v>
      </c>
      <c r="B534" s="1043" t="s">
        <v>2095</v>
      </c>
      <c r="C534" s="1043">
        <v>0</v>
      </c>
      <c r="E534" t="s">
        <v>5407</v>
      </c>
      <c r="F534" s="1043" t="s">
        <v>5408</v>
      </c>
      <c r="G534" s="264">
        <f t="shared" si="25"/>
        <v>0.13968103169974466</v>
      </c>
      <c r="H534" t="s">
        <v>5409</v>
      </c>
      <c r="I534" t="s">
        <v>5410</v>
      </c>
      <c r="J534">
        <f t="shared" si="26"/>
        <v>3.9513871159956411</v>
      </c>
      <c r="K534" s="1043" t="s">
        <v>5411</v>
      </c>
      <c r="L534" s="264" t="s">
        <v>5412</v>
      </c>
      <c r="M534" s="1043" t="s">
        <v>5413</v>
      </c>
      <c r="N534">
        <f t="shared" si="27"/>
        <v>7.3789586206970029E-2</v>
      </c>
    </row>
    <row r="535" spans="1:14" ht="15">
      <c r="A535" s="1043" t="s">
        <v>1653</v>
      </c>
      <c r="B535" s="1043" t="s">
        <v>5414</v>
      </c>
      <c r="C535" s="1043" t="s">
        <v>5409</v>
      </c>
      <c r="E535" t="s">
        <v>5415</v>
      </c>
      <c r="F535" s="1043" t="s">
        <v>5416</v>
      </c>
      <c r="G535" s="264">
        <f t="shared" si="25"/>
        <v>0.15145928264059538</v>
      </c>
      <c r="H535" t="s">
        <v>5417</v>
      </c>
      <c r="I535" t="s">
        <v>5418</v>
      </c>
      <c r="J535">
        <f t="shared" si="26"/>
        <v>0.58554841702671678</v>
      </c>
      <c r="K535" s="1043" t="s">
        <v>5419</v>
      </c>
      <c r="L535" s="264" t="s">
        <v>2683</v>
      </c>
      <c r="M535" s="1043" t="s">
        <v>5420</v>
      </c>
      <c r="N535">
        <f t="shared" si="27"/>
        <v>0.10166882793210126</v>
      </c>
    </row>
    <row r="536" spans="1:14" ht="15">
      <c r="A536" s="1043" t="s">
        <v>1655</v>
      </c>
      <c r="B536" s="1043" t="s">
        <v>5275</v>
      </c>
      <c r="C536" s="1043" t="s">
        <v>5417</v>
      </c>
      <c r="E536" t="s">
        <v>5421</v>
      </c>
      <c r="F536" s="1043" t="s">
        <v>5422</v>
      </c>
      <c r="G536" s="264">
        <f t="shared" si="25"/>
        <v>5.3150387316745595E-2</v>
      </c>
      <c r="H536" t="s">
        <v>5423</v>
      </c>
      <c r="I536" t="s">
        <v>5424</v>
      </c>
      <c r="J536">
        <f t="shared" si="26"/>
        <v>2.429385555900943</v>
      </c>
      <c r="K536" s="1043" t="s">
        <v>5425</v>
      </c>
      <c r="L536" s="264" t="s">
        <v>3427</v>
      </c>
      <c r="M536" s="1043" t="s">
        <v>5426</v>
      </c>
      <c r="N536">
        <f t="shared" si="27"/>
        <v>0.1271970198148733</v>
      </c>
    </row>
    <row r="537" spans="1:14" ht="15">
      <c r="A537" s="1043" t="s">
        <v>1657</v>
      </c>
      <c r="B537" s="1043" t="s">
        <v>3075</v>
      </c>
      <c r="C537" s="1043" t="s">
        <v>5423</v>
      </c>
      <c r="E537" t="s">
        <v>5427</v>
      </c>
      <c r="F537" s="1043" t="s">
        <v>5428</v>
      </c>
      <c r="G537" s="264">
        <f t="shared" si="25"/>
        <v>8.5296702558997586E-2</v>
      </c>
      <c r="H537" t="s">
        <v>5429</v>
      </c>
      <c r="I537" t="s">
        <v>5430</v>
      </c>
      <c r="J537">
        <f t="shared" si="26"/>
        <v>0</v>
      </c>
      <c r="K537" s="1043" t="s">
        <v>5431</v>
      </c>
      <c r="L537" s="264" t="s">
        <v>5432</v>
      </c>
      <c r="M537" s="1043" t="s">
        <v>5433</v>
      </c>
      <c r="N537">
        <f t="shared" si="27"/>
        <v>0.20711357660665455</v>
      </c>
    </row>
    <row r="538" spans="1:14" ht="15">
      <c r="A538" s="1043" t="s">
        <v>1659</v>
      </c>
      <c r="B538" s="1043" t="s">
        <v>4886</v>
      </c>
      <c r="C538" s="1043" t="s">
        <v>5429</v>
      </c>
      <c r="E538" t="s">
        <v>5434</v>
      </c>
      <c r="F538" s="1043" t="s">
        <v>5435</v>
      </c>
      <c r="G538" s="264">
        <f t="shared" si="25"/>
        <v>-1.3800855347925316E-2</v>
      </c>
      <c r="H538">
        <v>0</v>
      </c>
      <c r="I538" t="s">
        <v>5436</v>
      </c>
      <c r="J538">
        <f t="shared" si="26"/>
        <v>0</v>
      </c>
      <c r="K538" s="1043" t="s">
        <v>5437</v>
      </c>
      <c r="L538" s="264" t="s">
        <v>5438</v>
      </c>
      <c r="M538" s="1043">
        <v>0</v>
      </c>
      <c r="N538" t="e">
        <f t="shared" si="27"/>
        <v>#DIV/0!</v>
      </c>
    </row>
    <row r="539" spans="1:14" ht="15">
      <c r="A539" s="1043" t="s">
        <v>1661</v>
      </c>
      <c r="B539" s="1043" t="s">
        <v>2095</v>
      </c>
      <c r="C539" s="1043">
        <v>0</v>
      </c>
      <c r="E539" t="s">
        <v>5439</v>
      </c>
      <c r="F539" s="1043" t="s">
        <v>5440</v>
      </c>
      <c r="G539" s="264">
        <f t="shared" si="25"/>
        <v>7.0910771009880828E-3</v>
      </c>
      <c r="H539">
        <v>0</v>
      </c>
      <c r="I539" t="s">
        <v>5441</v>
      </c>
      <c r="J539">
        <f t="shared" si="26"/>
        <v>4.5515773540929398</v>
      </c>
      <c r="K539" s="1043" t="s">
        <v>5442</v>
      </c>
      <c r="L539" s="264"/>
      <c r="M539" s="1043" t="s">
        <v>5443</v>
      </c>
      <c r="N539">
        <f t="shared" si="27"/>
        <v>4.7205869897465648E-3</v>
      </c>
    </row>
    <row r="540" spans="1:14" ht="15">
      <c r="A540" s="1043" t="s">
        <v>1663</v>
      </c>
      <c r="B540" s="1043" t="s">
        <v>2095</v>
      </c>
      <c r="C540" s="1043">
        <v>0</v>
      </c>
      <c r="E540" t="s">
        <v>5444</v>
      </c>
      <c r="F540" s="1043" t="s">
        <v>5445</v>
      </c>
      <c r="G540" s="264">
        <f t="shared" si="25"/>
        <v>6.9592633843775439E-2</v>
      </c>
      <c r="H540" t="s">
        <v>5446</v>
      </c>
      <c r="I540" t="s">
        <v>5447</v>
      </c>
      <c r="J540">
        <f t="shared" si="26"/>
        <v>1.2722851313635648</v>
      </c>
      <c r="K540" s="1043" t="s">
        <v>5448</v>
      </c>
      <c r="L540" s="264" t="s">
        <v>5449</v>
      </c>
      <c r="M540" s="1043" t="s">
        <v>5450</v>
      </c>
      <c r="N540">
        <f t="shared" si="27"/>
        <v>5.2524527368922422E-2</v>
      </c>
    </row>
    <row r="541" spans="1:14" ht="15">
      <c r="A541" s="1043" t="s">
        <v>1665</v>
      </c>
      <c r="B541" s="1043" t="s">
        <v>5451</v>
      </c>
      <c r="C541" s="1043" t="s">
        <v>5446</v>
      </c>
      <c r="E541" t="s">
        <v>5452</v>
      </c>
      <c r="F541" s="1043" t="s">
        <v>5453</v>
      </c>
      <c r="G541" s="264">
        <f t="shared" si="25"/>
        <v>0.23279702454152612</v>
      </c>
      <c r="H541" t="s">
        <v>5454</v>
      </c>
      <c r="I541" t="s">
        <v>5455</v>
      </c>
      <c r="J541" t="e">
        <f t="shared" si="26"/>
        <v>#DIV/0!</v>
      </c>
      <c r="K541" s="1043" t="s">
        <v>5456</v>
      </c>
      <c r="L541" s="264" t="s">
        <v>2235</v>
      </c>
      <c r="M541" s="1043" t="s">
        <v>5457</v>
      </c>
      <c r="N541">
        <f t="shared" si="27"/>
        <v>0.10342546298849579</v>
      </c>
    </row>
    <row r="542" spans="1:14" ht="15">
      <c r="A542" s="1043" t="s">
        <v>1667</v>
      </c>
      <c r="B542" s="1043" t="s">
        <v>5458</v>
      </c>
      <c r="C542" s="1043" t="s">
        <v>5454</v>
      </c>
      <c r="F542" s="1053"/>
      <c r="G542" s="264" t="e">
        <f t="shared" si="25"/>
        <v>#DIV/0!</v>
      </c>
      <c r="J542">
        <f t="shared" si="26"/>
        <v>-1.7950556369029149</v>
      </c>
      <c r="K542" s="1043" t="s">
        <v>5459</v>
      </c>
      <c r="L542" s="264" t="s">
        <v>5460</v>
      </c>
      <c r="M542" s="1003"/>
      <c r="N542" t="e">
        <f t="shared" si="27"/>
        <v>#DIV/0!</v>
      </c>
    </row>
    <row r="543" spans="1:14" ht="15">
      <c r="A543" s="1043" t="s">
        <v>1669</v>
      </c>
      <c r="B543" s="1053"/>
      <c r="C543" s="1053"/>
      <c r="E543" t="s">
        <v>5461</v>
      </c>
      <c r="F543" s="1043" t="s">
        <v>5462</v>
      </c>
      <c r="G543" s="264">
        <f t="shared" si="25"/>
        <v>-0.32722368900532273</v>
      </c>
      <c r="H543" t="s">
        <v>5463</v>
      </c>
      <c r="I543" t="s">
        <v>5464</v>
      </c>
      <c r="J543">
        <f t="shared" si="26"/>
        <v>2.0864069528377924</v>
      </c>
      <c r="K543" s="1043" t="s">
        <v>5465</v>
      </c>
      <c r="L543" s="264"/>
      <c r="M543" s="1043" t="s">
        <v>5466</v>
      </c>
      <c r="N543">
        <f t="shared" si="27"/>
        <v>-0.14071033373125766</v>
      </c>
    </row>
    <row r="544" spans="1:14" ht="15">
      <c r="A544" s="1043" t="s">
        <v>1671</v>
      </c>
      <c r="B544" s="1043" t="s">
        <v>5467</v>
      </c>
      <c r="C544" s="1043" t="s">
        <v>5463</v>
      </c>
      <c r="E544" t="s">
        <v>5468</v>
      </c>
      <c r="F544" s="1043" t="s">
        <v>5469</v>
      </c>
      <c r="G544" s="264">
        <f t="shared" si="25"/>
        <v>0.19357415167124484</v>
      </c>
      <c r="H544" t="s">
        <v>5470</v>
      </c>
      <c r="I544" t="s">
        <v>5471</v>
      </c>
      <c r="J544">
        <f t="shared" si="26"/>
        <v>0.29367736865697519</v>
      </c>
      <c r="K544" s="1043" t="s">
        <v>5472</v>
      </c>
      <c r="L544" s="264" t="s">
        <v>5473</v>
      </c>
      <c r="M544" s="1043" t="s">
        <v>5474</v>
      </c>
      <c r="N544">
        <f t="shared" si="27"/>
        <v>8.5473790770874747E-2</v>
      </c>
    </row>
    <row r="545" spans="1:14" ht="15">
      <c r="A545" s="1043" t="s">
        <v>1674</v>
      </c>
      <c r="B545" s="1043" t="s">
        <v>4839</v>
      </c>
      <c r="C545" s="1043" t="s">
        <v>5470</v>
      </c>
      <c r="E545" t="s">
        <v>5475</v>
      </c>
      <c r="F545" s="1043" t="s">
        <v>5476</v>
      </c>
      <c r="G545" s="264">
        <f t="shared" si="25"/>
        <v>0.21837779074189245</v>
      </c>
      <c r="H545" t="s">
        <v>5477</v>
      </c>
      <c r="I545" t="s">
        <v>5478</v>
      </c>
      <c r="J545">
        <f t="shared" si="26"/>
        <v>0.62202149903467852</v>
      </c>
      <c r="K545" s="1043" t="s">
        <v>5479</v>
      </c>
      <c r="L545" s="264" t="s">
        <v>5480</v>
      </c>
      <c r="M545" s="1043" t="s">
        <v>5481</v>
      </c>
      <c r="N545">
        <f t="shared" si="27"/>
        <v>0.16572394676955052</v>
      </c>
    </row>
    <row r="546" spans="1:14" ht="15">
      <c r="A546" s="1043" t="s">
        <v>1676</v>
      </c>
      <c r="B546" s="1043" t="s">
        <v>5482</v>
      </c>
      <c r="C546" s="1043" t="s">
        <v>5477</v>
      </c>
      <c r="E546" t="s">
        <v>5483</v>
      </c>
      <c r="F546" s="1043" t="s">
        <v>5484</v>
      </c>
      <c r="G546" s="264">
        <f t="shared" si="25"/>
        <v>0.31353163460061939</v>
      </c>
      <c r="H546" t="s">
        <v>5485</v>
      </c>
      <c r="I546" t="s">
        <v>5486</v>
      </c>
      <c r="J546">
        <f t="shared" si="26"/>
        <v>-11.474123005146339</v>
      </c>
      <c r="K546" s="1043" t="s">
        <v>5487</v>
      </c>
      <c r="L546" s="264" t="s">
        <v>5488</v>
      </c>
      <c r="M546" s="1043" t="s">
        <v>5489</v>
      </c>
      <c r="N546">
        <f t="shared" si="27"/>
        <v>0.19213307402579446</v>
      </c>
    </row>
    <row r="547" spans="1:14" ht="15">
      <c r="A547" s="1043" t="s">
        <v>1678</v>
      </c>
      <c r="B547" s="1043" t="s">
        <v>2504</v>
      </c>
      <c r="C547" s="1043" t="s">
        <v>5485</v>
      </c>
      <c r="E547" t="s">
        <v>5490</v>
      </c>
      <c r="F547" s="1043" t="s">
        <v>5491</v>
      </c>
      <c r="G547" s="264">
        <f t="shared" si="25"/>
        <v>-6.6925996053563645E-3</v>
      </c>
      <c r="H547" t="s">
        <v>5492</v>
      </c>
      <c r="I547" t="s">
        <v>5493</v>
      </c>
      <c r="J547">
        <f t="shared" si="26"/>
        <v>-6.3848369582088796E-2</v>
      </c>
      <c r="K547" s="1043" t="s">
        <v>5494</v>
      </c>
      <c r="L547" s="264" t="s">
        <v>5495</v>
      </c>
      <c r="M547" s="1043" t="s">
        <v>5496</v>
      </c>
      <c r="N547">
        <f t="shared" si="27"/>
        <v>-0.1158690958959826</v>
      </c>
    </row>
    <row r="548" spans="1:14" ht="15">
      <c r="A548" s="1043" t="s">
        <v>1680</v>
      </c>
      <c r="B548" s="1043" t="s">
        <v>3367</v>
      </c>
      <c r="C548" s="1043" t="s">
        <v>5492</v>
      </c>
      <c r="E548" t="s">
        <v>5497</v>
      </c>
      <c r="F548" s="1043" t="s">
        <v>5498</v>
      </c>
      <c r="G548" s="264">
        <f t="shared" si="25"/>
        <v>-0.57378564395263421</v>
      </c>
      <c r="H548" t="s">
        <v>5499</v>
      </c>
      <c r="I548" t="s">
        <v>5500</v>
      </c>
      <c r="J548">
        <f t="shared" si="26"/>
        <v>-0.57513699497857551</v>
      </c>
      <c r="K548" s="1043" t="s">
        <v>5501</v>
      </c>
      <c r="L548" s="264"/>
      <c r="M548" s="1043" t="s">
        <v>5502</v>
      </c>
      <c r="N548">
        <f t="shared" si="27"/>
        <v>-9.3542589394306652E-2</v>
      </c>
    </row>
    <row r="549" spans="1:14" ht="15">
      <c r="A549" s="1043" t="s">
        <v>1682</v>
      </c>
      <c r="B549" s="1043" t="s">
        <v>5503</v>
      </c>
      <c r="C549" s="1043" t="s">
        <v>5499</v>
      </c>
      <c r="E549" t="s">
        <v>5504</v>
      </c>
      <c r="F549" s="1043" t="s">
        <v>5505</v>
      </c>
      <c r="G549" s="264">
        <f t="shared" si="25"/>
        <v>-2.6279140221663297</v>
      </c>
      <c r="H549" t="s">
        <v>5506</v>
      </c>
      <c r="I549" t="s">
        <v>5507</v>
      </c>
      <c r="J549">
        <f t="shared" si="26"/>
        <v>-0.39502813806200171</v>
      </c>
      <c r="K549" s="1043" t="s">
        <v>5508</v>
      </c>
      <c r="L549" s="264" t="s">
        <v>5509</v>
      </c>
      <c r="M549" s="1043" t="s">
        <v>5510</v>
      </c>
      <c r="N549">
        <f t="shared" si="27"/>
        <v>-0.6370247714984274</v>
      </c>
    </row>
    <row r="550" spans="1:14" ht="15">
      <c r="A550" s="1043" t="s">
        <v>1684</v>
      </c>
      <c r="B550" s="1043" t="s">
        <v>5511</v>
      </c>
      <c r="C550" s="1043" t="s">
        <v>5506</v>
      </c>
      <c r="E550" t="s">
        <v>5512</v>
      </c>
      <c r="F550" s="1043" t="s">
        <v>5513</v>
      </c>
      <c r="G550" s="264">
        <f t="shared" si="25"/>
        <v>-0.153559242718631</v>
      </c>
      <c r="H550" t="s">
        <v>5514</v>
      </c>
      <c r="I550" t="s">
        <v>5515</v>
      </c>
      <c r="J550">
        <f t="shared" si="26"/>
        <v>5.1866072033906265</v>
      </c>
      <c r="K550" s="1043" t="s">
        <v>5516</v>
      </c>
      <c r="L550" s="264" t="s">
        <v>5517</v>
      </c>
      <c r="M550" s="1043" t="s">
        <v>5518</v>
      </c>
      <c r="N550">
        <f t="shared" si="27"/>
        <v>-0.1082671630640253</v>
      </c>
    </row>
    <row r="551" spans="1:14" ht="15">
      <c r="A551" s="1043" t="s">
        <v>1686</v>
      </c>
      <c r="B551" s="1043" t="s">
        <v>2170</v>
      </c>
      <c r="C551" s="1043" t="s">
        <v>5514</v>
      </c>
      <c r="E551" t="s">
        <v>5519</v>
      </c>
      <c r="F551" s="1043" t="s">
        <v>5520</v>
      </c>
      <c r="G551" s="264">
        <f t="shared" si="25"/>
        <v>5.54708471001156E-2</v>
      </c>
      <c r="H551" t="s">
        <v>5521</v>
      </c>
      <c r="I551" t="s">
        <v>5522</v>
      </c>
      <c r="J551">
        <f t="shared" si="26"/>
        <v>5.3180171486373782</v>
      </c>
      <c r="K551" s="1043" t="s">
        <v>5523</v>
      </c>
      <c r="L551" s="264" t="s">
        <v>5524</v>
      </c>
      <c r="M551" s="1043" t="s">
        <v>5525</v>
      </c>
      <c r="N551">
        <f t="shared" si="27"/>
        <v>6.414294089812124E-2</v>
      </c>
    </row>
    <row r="552" spans="1:14" ht="15">
      <c r="A552" s="1043" t="s">
        <v>1688</v>
      </c>
      <c r="B552" s="1043" t="s">
        <v>5526</v>
      </c>
      <c r="C552" s="1043" t="s">
        <v>5521</v>
      </c>
      <c r="E552" t="s">
        <v>2537</v>
      </c>
      <c r="F552" s="1043" t="s">
        <v>5527</v>
      </c>
      <c r="G552" s="264">
        <f t="shared" si="25"/>
        <v>3.7866776819314965E-3</v>
      </c>
      <c r="H552" t="s">
        <v>5528</v>
      </c>
      <c r="I552" t="s">
        <v>5529</v>
      </c>
      <c r="J552">
        <f t="shared" si="26"/>
        <v>8.2152319318826041</v>
      </c>
      <c r="K552" s="1043" t="s">
        <v>5530</v>
      </c>
      <c r="L552" s="264" t="s">
        <v>5531</v>
      </c>
      <c r="M552" s="1043" t="s">
        <v>5532</v>
      </c>
      <c r="N552">
        <f t="shared" si="27"/>
        <v>5.5341547644710415E-2</v>
      </c>
    </row>
    <row r="553" spans="1:14" ht="15">
      <c r="A553" s="1043" t="s">
        <v>1690</v>
      </c>
      <c r="B553" s="1043" t="s">
        <v>3089</v>
      </c>
      <c r="C553" s="1043" t="s">
        <v>5528</v>
      </c>
      <c r="E553" t="s">
        <v>5533</v>
      </c>
      <c r="F553" s="1043" t="s">
        <v>5534</v>
      </c>
      <c r="G553" s="264">
        <f t="shared" si="25"/>
        <v>2.2541611381096871E-3</v>
      </c>
      <c r="H553" t="s">
        <v>5535</v>
      </c>
      <c r="I553" t="s">
        <v>5536</v>
      </c>
      <c r="J553">
        <f t="shared" si="26"/>
        <v>4.8123865010791915</v>
      </c>
      <c r="K553" s="1043" t="s">
        <v>5537</v>
      </c>
      <c r="L553" s="264" t="s">
        <v>5538</v>
      </c>
      <c r="M553" s="1043" t="s">
        <v>5539</v>
      </c>
      <c r="N553">
        <f t="shared" si="27"/>
        <v>5.2834959468579253E-2</v>
      </c>
    </row>
    <row r="554" spans="1:14" ht="15">
      <c r="A554" s="1043" t="s">
        <v>1692</v>
      </c>
      <c r="B554" s="1043" t="s">
        <v>5540</v>
      </c>
      <c r="C554" s="1043" t="s">
        <v>5535</v>
      </c>
      <c r="E554" t="s">
        <v>5541</v>
      </c>
      <c r="F554" s="1043" t="s">
        <v>5542</v>
      </c>
      <c r="G554" s="264">
        <f t="shared" si="25"/>
        <v>2.0313084249645272E-2</v>
      </c>
      <c r="H554" t="s">
        <v>5543</v>
      </c>
      <c r="I554" t="s">
        <v>5544</v>
      </c>
      <c r="J554" t="e">
        <f t="shared" si="26"/>
        <v>#DIV/0!</v>
      </c>
      <c r="K554" s="1043" t="s">
        <v>5545</v>
      </c>
      <c r="L554" s="264" t="s">
        <v>5546</v>
      </c>
      <c r="M554" s="1043" t="s">
        <v>5547</v>
      </c>
      <c r="N554">
        <f t="shared" si="27"/>
        <v>3.5685892560733692E-2</v>
      </c>
    </row>
    <row r="555" spans="1:14" ht="15">
      <c r="A555" s="1043" t="s">
        <v>1694</v>
      </c>
      <c r="B555" s="1043" t="s">
        <v>3325</v>
      </c>
      <c r="C555" s="1043" t="s">
        <v>5543</v>
      </c>
      <c r="F555" s="1053"/>
      <c r="G555" s="264" t="e">
        <f t="shared" si="25"/>
        <v>#DIV/0!</v>
      </c>
      <c r="J555">
        <f t="shared" si="26"/>
        <v>-1.1448677103116971</v>
      </c>
      <c r="K555" s="1043" t="s">
        <v>5548</v>
      </c>
      <c r="L555" s="264" t="s">
        <v>5549</v>
      </c>
      <c r="M555" s="1003"/>
      <c r="N555" t="e">
        <f t="shared" si="27"/>
        <v>#DIV/0!</v>
      </c>
    </row>
    <row r="556" spans="1:14" ht="15">
      <c r="A556" s="1043" t="s">
        <v>1696</v>
      </c>
      <c r="B556" s="1053"/>
      <c r="C556" s="1053"/>
      <c r="E556" t="s">
        <v>5550</v>
      </c>
      <c r="F556" s="1043" t="s">
        <v>5551</v>
      </c>
      <c r="G556" s="264">
        <f t="shared" si="25"/>
        <v>-0.21226393592651957</v>
      </c>
      <c r="H556" t="s">
        <v>5552</v>
      </c>
      <c r="I556" t="s">
        <v>5553</v>
      </c>
      <c r="J556">
        <f t="shared" si="26"/>
        <v>0.72032765198014048</v>
      </c>
      <c r="K556" s="1043" t="s">
        <v>5554</v>
      </c>
      <c r="L556" s="264"/>
      <c r="M556" s="1043" t="s">
        <v>5555</v>
      </c>
      <c r="N556">
        <f t="shared" si="27"/>
        <v>-0.19422057391698502</v>
      </c>
    </row>
    <row r="557" spans="1:14" ht="15">
      <c r="A557" s="1043" t="s">
        <v>1698</v>
      </c>
      <c r="B557" s="1043" t="s">
        <v>3946</v>
      </c>
      <c r="C557" s="1043" t="s">
        <v>5552</v>
      </c>
      <c r="E557" t="s">
        <v>5556</v>
      </c>
      <c r="F557" s="1043" t="s">
        <v>5557</v>
      </c>
      <c r="G557" s="264">
        <f t="shared" si="25"/>
        <v>0.32358567791582371</v>
      </c>
      <c r="H557" t="s">
        <v>5558</v>
      </c>
      <c r="I557" t="s">
        <v>5559</v>
      </c>
      <c r="J557" t="e">
        <f t="shared" si="26"/>
        <v>#DIV/0!</v>
      </c>
      <c r="K557" s="1043" t="s">
        <v>5560</v>
      </c>
      <c r="L557" s="264" t="s">
        <v>5561</v>
      </c>
      <c r="M557" s="1043" t="s">
        <v>5562</v>
      </c>
      <c r="N557">
        <f t="shared" si="27"/>
        <v>0.22379000480307609</v>
      </c>
    </row>
    <row r="558" spans="1:14" ht="15">
      <c r="A558" s="1043" t="s">
        <v>1700</v>
      </c>
      <c r="B558" s="1043" t="s">
        <v>5563</v>
      </c>
      <c r="C558" s="1043" t="s">
        <v>5558</v>
      </c>
      <c r="F558" s="1053"/>
      <c r="G558" s="264" t="e">
        <f t="shared" si="25"/>
        <v>#DIV/0!</v>
      </c>
      <c r="J558">
        <f t="shared" si="26"/>
        <v>2.9255600742075787</v>
      </c>
      <c r="K558" s="1043" t="s">
        <v>5564</v>
      </c>
      <c r="L558" s="264" t="s">
        <v>3599</v>
      </c>
      <c r="M558" s="1003"/>
      <c r="N558" t="e">
        <f t="shared" si="27"/>
        <v>#DIV/0!</v>
      </c>
    </row>
    <row r="559" spans="1:14" ht="15">
      <c r="A559" s="1043" t="s">
        <v>1702</v>
      </c>
      <c r="B559" s="1053"/>
      <c r="C559" s="1053"/>
      <c r="E559" t="s">
        <v>5565</v>
      </c>
      <c r="F559" s="1043" t="s">
        <v>5566</v>
      </c>
      <c r="G559" s="264">
        <f t="shared" si="25"/>
        <v>0.12454099101673763</v>
      </c>
      <c r="H559" t="s">
        <v>5567</v>
      </c>
      <c r="I559" t="s">
        <v>5568</v>
      </c>
      <c r="J559" t="e">
        <f t="shared" si="26"/>
        <v>#DIV/0!</v>
      </c>
      <c r="K559" s="1043" t="s">
        <v>5569</v>
      </c>
      <c r="L559" s="264"/>
      <c r="M559" s="1043" t="s">
        <v>5570</v>
      </c>
      <c r="N559">
        <f t="shared" si="27"/>
        <v>4.7052365122668097E-2</v>
      </c>
    </row>
    <row r="560" spans="1:14" ht="15">
      <c r="A560" s="1043" t="s">
        <v>1704</v>
      </c>
      <c r="B560" s="1043" t="s">
        <v>5571</v>
      </c>
      <c r="C560" s="1043" t="s">
        <v>5567</v>
      </c>
      <c r="F560" s="1053"/>
      <c r="G560" s="264" t="e">
        <f t="shared" si="25"/>
        <v>#DIV/0!</v>
      </c>
      <c r="J560">
        <f t="shared" si="26"/>
        <v>5.5645756459246565</v>
      </c>
      <c r="K560" s="1043" t="s">
        <v>5572</v>
      </c>
      <c r="L560" s="264" t="s">
        <v>5573</v>
      </c>
      <c r="M560" s="1003"/>
      <c r="N560" t="e">
        <f t="shared" si="27"/>
        <v>#DIV/0!</v>
      </c>
    </row>
    <row r="561" spans="1:14" ht="15">
      <c r="A561" s="1043" t="s">
        <v>1706</v>
      </c>
      <c r="B561" s="1053"/>
      <c r="C561" s="1053"/>
      <c r="E561" t="s">
        <v>5574</v>
      </c>
      <c r="F561" s="1043" t="s">
        <v>5575</v>
      </c>
      <c r="G561" s="264">
        <f t="shared" si="25"/>
        <v>0.14675186369525536</v>
      </c>
      <c r="H561" t="s">
        <v>5576</v>
      </c>
      <c r="I561" t="s">
        <v>5577</v>
      </c>
      <c r="J561">
        <f t="shared" si="26"/>
        <v>0.43315214248539874</v>
      </c>
      <c r="K561" s="1043" t="s">
        <v>5578</v>
      </c>
      <c r="L561" s="264"/>
      <c r="M561" s="1043" t="s">
        <v>5579</v>
      </c>
      <c r="N561">
        <f t="shared" si="27"/>
        <v>0.11133935907570743</v>
      </c>
    </row>
    <row r="562" spans="1:14" ht="15">
      <c r="A562" s="1043" t="s">
        <v>1708</v>
      </c>
      <c r="B562" s="1043" t="s">
        <v>5580</v>
      </c>
      <c r="C562" s="1043" t="s">
        <v>5576</v>
      </c>
      <c r="E562" t="s">
        <v>5581</v>
      </c>
      <c r="F562" s="1043" t="s">
        <v>5582</v>
      </c>
      <c r="G562" s="264">
        <f t="shared" si="25"/>
        <v>0.11441522208635832</v>
      </c>
      <c r="H562" t="s">
        <v>5583</v>
      </c>
      <c r="I562" t="s">
        <v>5584</v>
      </c>
      <c r="J562">
        <f t="shared" si="26"/>
        <v>-3.3961736160991664E-2</v>
      </c>
      <c r="K562" s="1043" t="s">
        <v>5585</v>
      </c>
      <c r="L562" s="264" t="s">
        <v>2907</v>
      </c>
      <c r="M562" s="1043" t="s">
        <v>5586</v>
      </c>
      <c r="N562">
        <f t="shared" si="27"/>
        <v>9.5307599356826644E-2</v>
      </c>
    </row>
    <row r="563" spans="1:14" ht="15">
      <c r="A563" s="1043" t="s">
        <v>1710</v>
      </c>
      <c r="B563" s="1043" t="s">
        <v>5587</v>
      </c>
      <c r="C563" s="1043" t="s">
        <v>5583</v>
      </c>
      <c r="E563" t="s">
        <v>5588</v>
      </c>
      <c r="F563" s="1043" t="s">
        <v>5589</v>
      </c>
      <c r="G563" s="264">
        <f t="shared" si="25"/>
        <v>-0.76251233540450236</v>
      </c>
      <c r="H563" t="s">
        <v>5590</v>
      </c>
      <c r="I563" t="s">
        <v>5591</v>
      </c>
      <c r="J563">
        <f t="shared" si="26"/>
        <v>0</v>
      </c>
      <c r="K563" s="1043" t="s">
        <v>5592</v>
      </c>
      <c r="L563" s="264" t="s">
        <v>5593</v>
      </c>
      <c r="M563" s="1043" t="s">
        <v>5594</v>
      </c>
      <c r="N563">
        <f t="shared" si="27"/>
        <v>-0.32231654204301985</v>
      </c>
    </row>
    <row r="564" spans="1:14" ht="15">
      <c r="A564" s="1043" t="s">
        <v>1712</v>
      </c>
      <c r="B564" s="1043" t="s">
        <v>3615</v>
      </c>
      <c r="C564" s="1043" t="s">
        <v>5590</v>
      </c>
      <c r="E564" t="s">
        <v>5595</v>
      </c>
      <c r="F564" s="1043" t="s">
        <v>5596</v>
      </c>
      <c r="G564" s="264">
        <f t="shared" si="25"/>
        <v>2.5008332608889947E-2</v>
      </c>
      <c r="H564">
        <v>0</v>
      </c>
      <c r="I564" t="s">
        <v>5597</v>
      </c>
      <c r="J564">
        <f t="shared" si="26"/>
        <v>4.6301748759055155</v>
      </c>
      <c r="K564" s="1043" t="s">
        <v>5598</v>
      </c>
      <c r="L564" s="264" t="s">
        <v>5599</v>
      </c>
      <c r="M564" s="1043" t="s">
        <v>5600</v>
      </c>
      <c r="N564">
        <f t="shared" si="27"/>
        <v>1.7942161381302429E-2</v>
      </c>
    </row>
    <row r="565" spans="1:14" ht="15">
      <c r="A565" s="1043" t="s">
        <v>1714</v>
      </c>
      <c r="B565" s="1043" t="s">
        <v>2095</v>
      </c>
      <c r="C565" s="1043">
        <v>0</v>
      </c>
      <c r="E565" t="s">
        <v>5601</v>
      </c>
      <c r="F565" s="1043" t="s">
        <v>5602</v>
      </c>
      <c r="G565" s="264">
        <f t="shared" si="25"/>
        <v>4.7625466042828163E-2</v>
      </c>
      <c r="H565" t="s">
        <v>5603</v>
      </c>
      <c r="I565" t="s">
        <v>5604</v>
      </c>
      <c r="J565">
        <f t="shared" si="26"/>
        <v>2.1685680467179544</v>
      </c>
      <c r="K565" s="1043" t="s">
        <v>5605</v>
      </c>
      <c r="L565" s="264" t="s">
        <v>5606</v>
      </c>
      <c r="M565" s="1043" t="s">
        <v>5607</v>
      </c>
      <c r="N565">
        <f t="shared" si="27"/>
        <v>1.8499262441238912E-2</v>
      </c>
    </row>
    <row r="566" spans="1:14" ht="15">
      <c r="A566" s="1043" t="s">
        <v>1716</v>
      </c>
      <c r="B566" s="1043" t="s">
        <v>3777</v>
      </c>
      <c r="C566" s="1043" t="s">
        <v>5603</v>
      </c>
      <c r="E566" t="s">
        <v>5608</v>
      </c>
      <c r="F566" s="1043" t="s">
        <v>5609</v>
      </c>
      <c r="G566" s="264">
        <f t="shared" si="25"/>
        <v>7.4158263928410267E-2</v>
      </c>
      <c r="H566" t="s">
        <v>5610</v>
      </c>
      <c r="I566" t="s">
        <v>5611</v>
      </c>
      <c r="J566" t="e">
        <f t="shared" si="26"/>
        <v>#DIV/0!</v>
      </c>
      <c r="K566" s="1043" t="s">
        <v>5612</v>
      </c>
      <c r="L566" s="264" t="s">
        <v>5613</v>
      </c>
      <c r="M566" s="1043" t="s">
        <v>5614</v>
      </c>
      <c r="N566">
        <f t="shared" si="27"/>
        <v>5.7989382184059697E-2</v>
      </c>
    </row>
    <row r="567" spans="1:14" ht="15">
      <c r="A567" s="1043" t="s">
        <v>1718</v>
      </c>
      <c r="B567" s="1043" t="s">
        <v>5615</v>
      </c>
      <c r="C567" s="1043" t="s">
        <v>5610</v>
      </c>
      <c r="F567" s="1053"/>
      <c r="G567" s="264" t="e">
        <f t="shared" si="25"/>
        <v>#DIV/0!</v>
      </c>
      <c r="J567">
        <f t="shared" si="26"/>
        <v>4.0032681547969311</v>
      </c>
      <c r="K567" s="1003"/>
      <c r="L567" s="264" t="s">
        <v>5616</v>
      </c>
      <c r="M567" s="1003"/>
      <c r="N567" t="e">
        <f t="shared" si="27"/>
        <v>#DIV/0!</v>
      </c>
    </row>
    <row r="568" spans="1:14" ht="15">
      <c r="A568" s="1043" t="s">
        <v>1720</v>
      </c>
      <c r="B568" s="1053"/>
      <c r="C568" s="1053"/>
      <c r="E568" t="s">
        <v>5617</v>
      </c>
      <c r="F568" s="1043" t="s">
        <v>5618</v>
      </c>
      <c r="G568" s="264">
        <f t="shared" si="25"/>
        <v>0.15569729588748102</v>
      </c>
      <c r="H568" t="s">
        <v>5619</v>
      </c>
      <c r="I568" t="s">
        <v>5620</v>
      </c>
      <c r="J568">
        <f t="shared" si="26"/>
        <v>7.1117577635971996</v>
      </c>
      <c r="K568" s="1043" t="s">
        <v>5621</v>
      </c>
      <c r="L568" s="264"/>
      <c r="M568" s="1043" t="s">
        <v>5622</v>
      </c>
      <c r="N568">
        <f t="shared" si="27"/>
        <v>5.4340509140453949E-2</v>
      </c>
    </row>
    <row r="569" spans="1:14" ht="15">
      <c r="A569" s="1043" t="s">
        <v>1722</v>
      </c>
      <c r="B569" s="1043" t="s">
        <v>5623</v>
      </c>
      <c r="C569" s="1043" t="s">
        <v>5619</v>
      </c>
      <c r="E569" t="s">
        <v>5624</v>
      </c>
      <c r="F569" s="1043" t="s">
        <v>5625</v>
      </c>
      <c r="G569" s="264">
        <f t="shared" si="25"/>
        <v>8.2802640756771309E-2</v>
      </c>
      <c r="H569" t="s">
        <v>5626</v>
      </c>
      <c r="I569" t="s">
        <v>5627</v>
      </c>
      <c r="J569">
        <f t="shared" si="26"/>
        <v>4.3036191127830756</v>
      </c>
      <c r="K569" s="1043" t="s">
        <v>5628</v>
      </c>
      <c r="L569" s="264" t="s">
        <v>5629</v>
      </c>
      <c r="M569" s="1043" t="s">
        <v>5630</v>
      </c>
      <c r="N569">
        <f t="shared" si="27"/>
        <v>3.7082436064963836E-2</v>
      </c>
    </row>
    <row r="570" spans="1:14" ht="15">
      <c r="A570" s="1043" t="s">
        <v>1724</v>
      </c>
      <c r="B570" s="1043" t="s">
        <v>5631</v>
      </c>
      <c r="C570" s="1043" t="s">
        <v>5626</v>
      </c>
      <c r="E570" t="s">
        <v>5632</v>
      </c>
      <c r="F570" s="1043" t="s">
        <v>5633</v>
      </c>
      <c r="G570" s="264">
        <f t="shared" si="25"/>
        <v>0.21292629716372266</v>
      </c>
      <c r="H570" t="s">
        <v>5634</v>
      </c>
      <c r="I570" t="s">
        <v>5635</v>
      </c>
      <c r="J570">
        <f t="shared" si="26"/>
        <v>0</v>
      </c>
      <c r="K570" s="1043" t="s">
        <v>5636</v>
      </c>
      <c r="L570" s="264"/>
      <c r="M570" s="1043" t="s">
        <v>5637</v>
      </c>
      <c r="N570">
        <f t="shared" si="27"/>
        <v>4.2969023280585633E-2</v>
      </c>
    </row>
    <row r="571" spans="1:14" ht="15">
      <c r="A571" s="1043" t="s">
        <v>1726</v>
      </c>
      <c r="B571" s="1043" t="s">
        <v>5638</v>
      </c>
      <c r="C571" s="1043" t="s">
        <v>5634</v>
      </c>
      <c r="E571" t="s">
        <v>5639</v>
      </c>
      <c r="F571" s="1043" t="s">
        <v>5640</v>
      </c>
      <c r="G571" s="264">
        <f t="shared" si="25"/>
        <v>0.1160695009844003</v>
      </c>
      <c r="H571">
        <v>0</v>
      </c>
      <c r="I571" t="s">
        <v>5641</v>
      </c>
      <c r="J571">
        <f t="shared" si="26"/>
        <v>-15.060253403225266</v>
      </c>
      <c r="K571" s="1043" t="s">
        <v>5642</v>
      </c>
      <c r="L571" s="264" t="s">
        <v>5643</v>
      </c>
      <c r="M571" s="1043" t="s">
        <v>5644</v>
      </c>
      <c r="N571">
        <f t="shared" si="27"/>
        <v>6.7086310219101414E-2</v>
      </c>
    </row>
    <row r="572" spans="1:14" ht="15">
      <c r="A572" s="1043" t="s">
        <v>1728</v>
      </c>
      <c r="B572" s="1043" t="s">
        <v>2095</v>
      </c>
      <c r="C572" s="1043">
        <v>0</v>
      </c>
      <c r="E572" t="s">
        <v>5645</v>
      </c>
      <c r="F572" s="1043" t="s">
        <v>5646</v>
      </c>
      <c r="G572" s="264">
        <f t="shared" si="25"/>
        <v>-0.15068950090955757</v>
      </c>
      <c r="H572" t="s">
        <v>5647</v>
      </c>
      <c r="I572" t="s">
        <v>5648</v>
      </c>
      <c r="J572">
        <f t="shared" si="26"/>
        <v>0</v>
      </c>
      <c r="K572" s="1043" t="s">
        <v>5649</v>
      </c>
      <c r="L572" s="264" t="s">
        <v>3848</v>
      </c>
      <c r="M572" s="1043" t="s">
        <v>5650</v>
      </c>
      <c r="N572">
        <f t="shared" si="27"/>
        <v>-7.254498399780053E-2</v>
      </c>
    </row>
    <row r="573" spans="1:14" ht="15">
      <c r="A573" s="1043" t="s">
        <v>1730</v>
      </c>
      <c r="B573" s="1043" t="s">
        <v>5651</v>
      </c>
      <c r="C573" s="1043" t="s">
        <v>5647</v>
      </c>
      <c r="E573" t="s">
        <v>5652</v>
      </c>
      <c r="F573" s="1061" t="s">
        <v>5653</v>
      </c>
      <c r="G573" s="264">
        <f t="shared" si="25"/>
        <v>0.40915231340763258</v>
      </c>
      <c r="H573">
        <v>0</v>
      </c>
      <c r="I573" t="s">
        <v>5652</v>
      </c>
      <c r="J573">
        <f t="shared" si="26"/>
        <v>11.872927857319464</v>
      </c>
      <c r="K573" s="1043" t="s">
        <v>5654</v>
      </c>
      <c r="L573" s="264" t="s">
        <v>5655</v>
      </c>
      <c r="M573" s="1043" t="s">
        <v>5656</v>
      </c>
      <c r="N573">
        <f t="shared" si="27"/>
        <v>-0.63763157894736844</v>
      </c>
    </row>
    <row r="574" spans="1:14" ht="15">
      <c r="A574" s="1043" t="s">
        <v>1732</v>
      </c>
      <c r="B574" s="1053"/>
      <c r="C574" s="1043">
        <v>0</v>
      </c>
      <c r="E574" t="s">
        <v>5657</v>
      </c>
      <c r="F574" s="1043" t="s">
        <v>5658</v>
      </c>
      <c r="G574" s="264">
        <f t="shared" si="25"/>
        <v>0.10697804392571653</v>
      </c>
      <c r="H574" t="s">
        <v>5659</v>
      </c>
      <c r="I574" t="s">
        <v>5660</v>
      </c>
      <c r="J574">
        <f t="shared" si="26"/>
        <v>2.0026054758581564</v>
      </c>
      <c r="K574" s="1043" t="s">
        <v>5661</v>
      </c>
      <c r="L574" s="264" t="s">
        <v>5662</v>
      </c>
      <c r="M574" s="1043" t="s">
        <v>5663</v>
      </c>
      <c r="N574">
        <f t="shared" si="27"/>
        <v>1.7338941341999606E-2</v>
      </c>
    </row>
    <row r="575" spans="1:14" ht="15">
      <c r="A575" s="1043" t="s">
        <v>1734</v>
      </c>
      <c r="B575" s="1043" t="s">
        <v>5664</v>
      </c>
      <c r="C575" s="1043" t="s">
        <v>5659</v>
      </c>
      <c r="E575" t="s">
        <v>5665</v>
      </c>
      <c r="F575" s="1043" t="s">
        <v>5666</v>
      </c>
      <c r="G575" s="264">
        <f t="shared" si="25"/>
        <v>2.4299571909107528E-2</v>
      </c>
      <c r="H575" t="s">
        <v>5667</v>
      </c>
      <c r="I575" t="s">
        <v>5668</v>
      </c>
      <c r="J575">
        <f t="shared" si="26"/>
        <v>-6.837327496700107</v>
      </c>
      <c r="K575" s="1043" t="s">
        <v>5669</v>
      </c>
      <c r="L575" s="264"/>
      <c r="M575" s="1043" t="s">
        <v>5670</v>
      </c>
      <c r="N575">
        <f t="shared" si="27"/>
        <v>2.6646182316828249E-2</v>
      </c>
    </row>
    <row r="576" spans="1:14" ht="15">
      <c r="A576" s="1043" t="s">
        <v>1736</v>
      </c>
      <c r="B576" s="1043" t="s">
        <v>5024</v>
      </c>
      <c r="C576" s="1043" t="s">
        <v>5667</v>
      </c>
      <c r="E576" t="s">
        <v>5671</v>
      </c>
      <c r="F576" s="1061" t="s">
        <v>5672</v>
      </c>
      <c r="G576" s="264">
        <f t="shared" si="25"/>
        <v>2.6814486615151747</v>
      </c>
      <c r="H576" t="s">
        <v>5673</v>
      </c>
      <c r="I576" t="s">
        <v>5674</v>
      </c>
      <c r="J576">
        <f t="shared" si="26"/>
        <v>-2.2783278256584323</v>
      </c>
      <c r="K576" s="1043" t="s">
        <v>5675</v>
      </c>
      <c r="L576" s="264" t="s">
        <v>5676</v>
      </c>
      <c r="M576" s="1043" t="s">
        <v>5677</v>
      </c>
      <c r="N576">
        <f t="shared" si="27"/>
        <v>-3.2245978175257567E-2</v>
      </c>
    </row>
    <row r="577" spans="1:14" ht="15">
      <c r="A577" s="1043" t="s">
        <v>1738</v>
      </c>
      <c r="B577" s="1053"/>
      <c r="C577" s="1043" t="s">
        <v>5673</v>
      </c>
      <c r="E577" t="s">
        <v>5678</v>
      </c>
      <c r="F577" s="1043" t="s">
        <v>5679</v>
      </c>
      <c r="G577" s="264">
        <f t="shared" si="25"/>
        <v>-0.57498325210877455</v>
      </c>
      <c r="H577" t="s">
        <v>5680</v>
      </c>
      <c r="I577" t="s">
        <v>5681</v>
      </c>
      <c r="J577">
        <f t="shared" si="26"/>
        <v>3.3737785032578693</v>
      </c>
      <c r="K577" s="1043" t="s">
        <v>5682</v>
      </c>
      <c r="L577" s="264" t="s">
        <v>3062</v>
      </c>
      <c r="M577" s="1043" t="s">
        <v>5683</v>
      </c>
      <c r="N577">
        <f t="shared" si="27"/>
        <v>-6.9533511381092997E-2</v>
      </c>
    </row>
    <row r="578" spans="1:14" ht="15">
      <c r="A578" s="1043" t="s">
        <v>1740</v>
      </c>
      <c r="B578" s="1043" t="s">
        <v>5684</v>
      </c>
      <c r="C578" s="1043" t="s">
        <v>5680</v>
      </c>
      <c r="E578" t="s">
        <v>5685</v>
      </c>
      <c r="F578" s="1043" t="s">
        <v>5686</v>
      </c>
      <c r="G578" s="264">
        <f t="shared" ref="G578:G641" si="28">E578/F578</f>
        <v>9.731046658660189E-2</v>
      </c>
      <c r="H578" t="s">
        <v>5687</v>
      </c>
      <c r="I578" t="s">
        <v>5688</v>
      </c>
      <c r="J578">
        <f t="shared" ref="J578:J641" si="29">H579/I579</f>
        <v>4.2150492654219507</v>
      </c>
      <c r="K578" s="1043" t="s">
        <v>5689</v>
      </c>
      <c r="L578" s="264" t="s">
        <v>5690</v>
      </c>
      <c r="M578" s="1043" t="s">
        <v>5691</v>
      </c>
      <c r="N578">
        <f t="shared" si="27"/>
        <v>2.6788830710585437E-2</v>
      </c>
    </row>
    <row r="579" spans="1:14" ht="15">
      <c r="A579" s="1043" t="s">
        <v>1742</v>
      </c>
      <c r="B579" s="1043" t="s">
        <v>5260</v>
      </c>
      <c r="C579" s="1043" t="s">
        <v>5687</v>
      </c>
      <c r="E579" t="s">
        <v>5692</v>
      </c>
      <c r="F579" s="1043" t="s">
        <v>5693</v>
      </c>
      <c r="G579" s="264">
        <f t="shared" si="28"/>
        <v>0.42395166235043807</v>
      </c>
      <c r="H579" t="s">
        <v>5694</v>
      </c>
      <c r="I579" t="s">
        <v>5695</v>
      </c>
      <c r="J579">
        <f t="shared" si="29"/>
        <v>-1.0878465750667123</v>
      </c>
      <c r="K579" s="1043" t="s">
        <v>5696</v>
      </c>
      <c r="L579" s="264" t="s">
        <v>5697</v>
      </c>
      <c r="M579" s="1043" t="s">
        <v>5698</v>
      </c>
      <c r="N579">
        <f t="shared" si="27"/>
        <v>5.7470489963249667E-2</v>
      </c>
    </row>
    <row r="580" spans="1:14" ht="15">
      <c r="A580" s="1043" t="s">
        <v>1744</v>
      </c>
      <c r="B580" s="1043" t="s">
        <v>5699</v>
      </c>
      <c r="C580" s="1043" t="s">
        <v>5694</v>
      </c>
      <c r="E580" t="s">
        <v>5700</v>
      </c>
      <c r="F580" s="1043" t="s">
        <v>5701</v>
      </c>
      <c r="G580" s="264">
        <f t="shared" si="28"/>
        <v>-0.54773168315551957</v>
      </c>
      <c r="H580" t="s">
        <v>5702</v>
      </c>
      <c r="I580" t="s">
        <v>5703</v>
      </c>
      <c r="J580">
        <f t="shared" si="29"/>
        <v>-7.8644072073730011E-3</v>
      </c>
      <c r="K580" s="1043" t="s">
        <v>5704</v>
      </c>
      <c r="L580" s="264" t="s">
        <v>5705</v>
      </c>
      <c r="M580" s="1043" t="s">
        <v>5706</v>
      </c>
      <c r="N580">
        <f t="shared" si="27"/>
        <v>-0.3634456432329034</v>
      </c>
    </row>
    <row r="581" spans="1:14" ht="15">
      <c r="A581" s="1043" t="s">
        <v>1746</v>
      </c>
      <c r="B581" s="1043" t="s">
        <v>3538</v>
      </c>
      <c r="C581" s="1043" t="s">
        <v>5702</v>
      </c>
      <c r="E581" t="s">
        <v>5707</v>
      </c>
      <c r="F581" s="1043" t="s">
        <v>5708</v>
      </c>
      <c r="G581" s="264">
        <f t="shared" si="28"/>
        <v>0.18228536429580805</v>
      </c>
      <c r="H581" t="s">
        <v>5709</v>
      </c>
      <c r="I581" t="s">
        <v>5710</v>
      </c>
      <c r="J581">
        <f t="shared" si="29"/>
        <v>-4.6043909082785586</v>
      </c>
      <c r="K581" s="1043" t="s">
        <v>5711</v>
      </c>
      <c r="L581" s="264" t="s">
        <v>5712</v>
      </c>
      <c r="M581" s="1043" t="s">
        <v>5713</v>
      </c>
      <c r="N581">
        <f t="shared" si="27"/>
        <v>-1.7302428095547426E-2</v>
      </c>
    </row>
    <row r="582" spans="1:14" ht="15">
      <c r="A582" s="1043" t="s">
        <v>1748</v>
      </c>
      <c r="B582" s="1043" t="s">
        <v>2359</v>
      </c>
      <c r="C582" s="1043" t="s">
        <v>5709</v>
      </c>
      <c r="E582" t="s">
        <v>5714</v>
      </c>
      <c r="F582" s="1043" t="s">
        <v>5715</v>
      </c>
      <c r="G582" s="264">
        <f t="shared" si="28"/>
        <v>-0.14692800412024731</v>
      </c>
      <c r="H582" t="s">
        <v>5716</v>
      </c>
      <c r="I582" t="s">
        <v>5717</v>
      </c>
      <c r="J582">
        <f t="shared" si="29"/>
        <v>3.2101113650071209</v>
      </c>
      <c r="K582" s="1043" t="s">
        <v>5718</v>
      </c>
      <c r="L582" s="264" t="s">
        <v>5719</v>
      </c>
      <c r="M582" s="1043" t="s">
        <v>5720</v>
      </c>
      <c r="N582">
        <f t="shared" si="27"/>
        <v>-3.102607749311247E-2</v>
      </c>
    </row>
    <row r="583" spans="1:14" ht="15">
      <c r="A583" s="1043" t="s">
        <v>1750</v>
      </c>
      <c r="B583" s="1043" t="s">
        <v>2111</v>
      </c>
      <c r="C583" s="1043" t="s">
        <v>5716</v>
      </c>
      <c r="E583" t="s">
        <v>5721</v>
      </c>
      <c r="F583" s="1043" t="s">
        <v>5722</v>
      </c>
      <c r="G583" s="264">
        <f t="shared" si="28"/>
        <v>0.16351421796508345</v>
      </c>
      <c r="H583" t="s">
        <v>5723</v>
      </c>
      <c r="I583" t="s">
        <v>5724</v>
      </c>
      <c r="J583">
        <f t="shared" si="29"/>
        <v>5.2407843424145506</v>
      </c>
      <c r="K583" s="1043" t="s">
        <v>5725</v>
      </c>
      <c r="L583" s="264" t="s">
        <v>5726</v>
      </c>
      <c r="M583" s="1043" t="s">
        <v>5727</v>
      </c>
      <c r="N583">
        <f t="shared" si="27"/>
        <v>0.11305494527498201</v>
      </c>
    </row>
    <row r="584" spans="1:14" ht="15">
      <c r="A584" s="1043" t="s">
        <v>1752</v>
      </c>
      <c r="B584" s="1043" t="s">
        <v>5728</v>
      </c>
      <c r="C584" s="1043" t="s">
        <v>5723</v>
      </c>
      <c r="E584" t="s">
        <v>5729</v>
      </c>
      <c r="F584" s="1043" t="s">
        <v>5730</v>
      </c>
      <c r="G584" s="264">
        <f t="shared" si="28"/>
        <v>9.9592544365384394E-2</v>
      </c>
      <c r="H584" t="s">
        <v>5731</v>
      </c>
      <c r="I584" t="s">
        <v>5732</v>
      </c>
      <c r="J584">
        <f t="shared" si="29"/>
        <v>2.7107453313284378</v>
      </c>
      <c r="K584" s="1043" t="s">
        <v>5733</v>
      </c>
      <c r="L584" s="264"/>
      <c r="M584" s="1043" t="s">
        <v>5734</v>
      </c>
      <c r="N584">
        <f t="shared" si="27"/>
        <v>1.5221991320505366E-2</v>
      </c>
    </row>
    <row r="585" spans="1:14" ht="15">
      <c r="A585" s="1043" t="s">
        <v>1754</v>
      </c>
      <c r="B585" s="1043" t="s">
        <v>5735</v>
      </c>
      <c r="C585" s="1043" t="s">
        <v>5731</v>
      </c>
      <c r="E585" t="s">
        <v>5736</v>
      </c>
      <c r="F585" s="1043" t="s">
        <v>5737</v>
      </c>
      <c r="G585" s="264">
        <f t="shared" si="28"/>
        <v>0.12028942868624529</v>
      </c>
      <c r="H585" t="s">
        <v>5738</v>
      </c>
      <c r="I585" t="s">
        <v>5739</v>
      </c>
      <c r="J585">
        <f t="shared" si="29"/>
        <v>-66.55605396995297</v>
      </c>
      <c r="K585" s="1043" t="s">
        <v>5740</v>
      </c>
      <c r="L585" s="264"/>
      <c r="M585" s="1043" t="s">
        <v>5741</v>
      </c>
      <c r="N585">
        <f t="shared" si="27"/>
        <v>2.2922488591577934E-2</v>
      </c>
    </row>
    <row r="586" spans="1:14" ht="15">
      <c r="A586" s="1043" t="s">
        <v>1756</v>
      </c>
      <c r="B586" s="1043" t="s">
        <v>5742</v>
      </c>
      <c r="C586" s="1043" t="s">
        <v>5738</v>
      </c>
      <c r="E586" t="s">
        <v>5743</v>
      </c>
      <c r="F586" s="1043" t="s">
        <v>5744</v>
      </c>
      <c r="G586" s="264">
        <f t="shared" si="28"/>
        <v>5.3747752017956021E-2</v>
      </c>
      <c r="H586" t="s">
        <v>5745</v>
      </c>
      <c r="I586" t="s">
        <v>5746</v>
      </c>
      <c r="J586" t="e">
        <f t="shared" si="29"/>
        <v>#DIV/0!</v>
      </c>
      <c r="K586" s="1043" t="s">
        <v>5747</v>
      </c>
      <c r="L586" s="264" t="s">
        <v>2095</v>
      </c>
      <c r="M586" s="1043" t="s">
        <v>5748</v>
      </c>
      <c r="N586">
        <f t="shared" si="27"/>
        <v>-3.5521998066289548E-3</v>
      </c>
    </row>
    <row r="587" spans="1:14" ht="15">
      <c r="A587" s="1043" t="s">
        <v>1758</v>
      </c>
      <c r="B587" s="1043" t="s">
        <v>5749</v>
      </c>
      <c r="C587" s="1043" t="s">
        <v>5745</v>
      </c>
      <c r="F587" s="1053"/>
      <c r="G587" s="264" t="e">
        <f t="shared" si="28"/>
        <v>#DIV/0!</v>
      </c>
      <c r="J587">
        <f t="shared" si="29"/>
        <v>0</v>
      </c>
      <c r="K587" s="1003"/>
      <c r="L587" s="264" t="s">
        <v>5750</v>
      </c>
      <c r="M587" s="1003"/>
      <c r="N587" t="e">
        <f t="shared" si="27"/>
        <v>#DIV/0!</v>
      </c>
    </row>
    <row r="588" spans="1:14" ht="15">
      <c r="A588" s="1043" t="s">
        <v>1760</v>
      </c>
      <c r="B588" s="1053"/>
      <c r="C588" s="1053"/>
      <c r="E588" t="s">
        <v>5751</v>
      </c>
      <c r="F588" s="1043" t="s">
        <v>5752</v>
      </c>
      <c r="G588" s="264">
        <f t="shared" si="28"/>
        <v>0.17493896629989311</v>
      </c>
      <c r="H588">
        <v>0</v>
      </c>
      <c r="I588" t="s">
        <v>5753</v>
      </c>
      <c r="J588">
        <f t="shared" si="29"/>
        <v>2.3333428601981376</v>
      </c>
      <c r="K588" s="1043" t="s">
        <v>5754</v>
      </c>
      <c r="L588" s="264"/>
      <c r="M588" s="1043" t="s">
        <v>5755</v>
      </c>
      <c r="N588">
        <f t="shared" si="27"/>
        <v>0.10354982455148855</v>
      </c>
    </row>
    <row r="589" spans="1:14" ht="15">
      <c r="A589" s="1043" t="s">
        <v>1762</v>
      </c>
      <c r="B589" s="1043" t="s">
        <v>2095</v>
      </c>
      <c r="C589" s="1043">
        <v>0</v>
      </c>
      <c r="E589" t="s">
        <v>5756</v>
      </c>
      <c r="F589" s="1043" t="s">
        <v>5757</v>
      </c>
      <c r="G589" s="264">
        <f t="shared" si="28"/>
        <v>0.17213714684039949</v>
      </c>
      <c r="H589" t="s">
        <v>5758</v>
      </c>
      <c r="I589" t="s">
        <v>5759</v>
      </c>
      <c r="J589" t="e">
        <f t="shared" si="29"/>
        <v>#DIV/0!</v>
      </c>
      <c r="K589" s="1043" t="s">
        <v>5760</v>
      </c>
      <c r="L589" s="264" t="s">
        <v>5002</v>
      </c>
      <c r="M589" s="1043" t="s">
        <v>5761</v>
      </c>
      <c r="N589">
        <f t="shared" si="27"/>
        <v>0.14619383767942548</v>
      </c>
    </row>
    <row r="590" spans="1:14" ht="15">
      <c r="A590" s="1043" t="s">
        <v>1764</v>
      </c>
      <c r="B590" s="1043" t="s">
        <v>2015</v>
      </c>
      <c r="C590" s="1043" t="s">
        <v>5758</v>
      </c>
      <c r="F590" s="1043" t="s">
        <v>5762</v>
      </c>
      <c r="G590" s="264">
        <f t="shared" si="28"/>
        <v>0</v>
      </c>
      <c r="H590" t="s">
        <v>5763</v>
      </c>
      <c r="J590">
        <f t="shared" si="29"/>
        <v>0</v>
      </c>
      <c r="K590" s="1043" t="s">
        <v>5764</v>
      </c>
      <c r="L590" s="264" t="s">
        <v>5765</v>
      </c>
      <c r="M590" s="1043" t="s">
        <v>5766</v>
      </c>
      <c r="N590">
        <f t="shared" si="27"/>
        <v>0</v>
      </c>
    </row>
    <row r="591" spans="1:14" ht="15">
      <c r="A591" s="1043" t="s">
        <v>1766</v>
      </c>
      <c r="B591" s="1053"/>
      <c r="C591" s="1043" t="s">
        <v>5763</v>
      </c>
      <c r="E591" t="s">
        <v>5767</v>
      </c>
      <c r="F591" s="1043" t="s">
        <v>5768</v>
      </c>
      <c r="G591" s="264">
        <f t="shared" si="28"/>
        <v>0.28328562517608197</v>
      </c>
      <c r="H591">
        <v>0</v>
      </c>
      <c r="I591" t="s">
        <v>5769</v>
      </c>
      <c r="J591">
        <f t="shared" si="29"/>
        <v>1.9378567573703587</v>
      </c>
      <c r="K591" s="1043" t="s">
        <v>5770</v>
      </c>
      <c r="L591" s="264" t="s">
        <v>5771</v>
      </c>
      <c r="M591" s="1043" t="s">
        <v>5772</v>
      </c>
      <c r="N591">
        <f t="shared" si="27"/>
        <v>0.12192355346441629</v>
      </c>
    </row>
    <row r="592" spans="1:14" ht="15">
      <c r="A592" s="1043" t="s">
        <v>1768</v>
      </c>
      <c r="B592" s="1043" t="s">
        <v>2095</v>
      </c>
      <c r="C592" s="1043">
        <v>0</v>
      </c>
      <c r="E592" t="s">
        <v>5773</v>
      </c>
      <c r="F592" s="1043" t="s">
        <v>5774</v>
      </c>
      <c r="G592" s="264">
        <f t="shared" si="28"/>
        <v>0.35384314792386101</v>
      </c>
      <c r="H592" t="s">
        <v>5775</v>
      </c>
      <c r="I592" t="s">
        <v>5776</v>
      </c>
      <c r="J592">
        <f t="shared" si="29"/>
        <v>9.5027879198255629</v>
      </c>
      <c r="K592" s="1043" t="s">
        <v>5777</v>
      </c>
      <c r="L592" s="264"/>
      <c r="M592" s="1043" t="s">
        <v>5778</v>
      </c>
      <c r="N592">
        <f t="shared" si="27"/>
        <v>0.11109368344232226</v>
      </c>
    </row>
    <row r="593" spans="1:14" ht="15">
      <c r="A593" s="1043" t="s">
        <v>1770</v>
      </c>
      <c r="B593" s="1043" t="s">
        <v>5235</v>
      </c>
      <c r="C593" s="1043" t="s">
        <v>5775</v>
      </c>
      <c r="E593" t="s">
        <v>5779</v>
      </c>
      <c r="F593" s="1043" t="s">
        <v>5780</v>
      </c>
      <c r="G593" s="264">
        <f t="shared" si="28"/>
        <v>1.4438711253884353E-2</v>
      </c>
      <c r="H593" t="s">
        <v>5781</v>
      </c>
      <c r="I593" t="s">
        <v>5782</v>
      </c>
      <c r="J593">
        <f t="shared" si="29"/>
        <v>1.3963227435729983</v>
      </c>
      <c r="K593" s="1043" t="s">
        <v>5783</v>
      </c>
      <c r="L593" s="264" t="s">
        <v>2267</v>
      </c>
      <c r="M593" s="1043" t="s">
        <v>5784</v>
      </c>
      <c r="N593">
        <f t="shared" ref="N593:N656" si="30">I593/M593</f>
        <v>7.1565522779122792E-3</v>
      </c>
    </row>
    <row r="594" spans="1:14" ht="15">
      <c r="A594" s="1043" t="s">
        <v>1772</v>
      </c>
      <c r="B594" s="1043" t="s">
        <v>5785</v>
      </c>
      <c r="C594" s="1043" t="s">
        <v>5781</v>
      </c>
      <c r="E594" t="s">
        <v>5786</v>
      </c>
      <c r="F594" s="1043" t="s">
        <v>5787</v>
      </c>
      <c r="G594" s="264">
        <f t="shared" si="28"/>
        <v>2.9824276074873663E-2</v>
      </c>
      <c r="H594" t="s">
        <v>5788</v>
      </c>
      <c r="I594" t="s">
        <v>5789</v>
      </c>
      <c r="J594">
        <f t="shared" si="29"/>
        <v>5.7616150309732062</v>
      </c>
      <c r="K594" s="1043" t="s">
        <v>5790</v>
      </c>
      <c r="L594" s="264" t="s">
        <v>5791</v>
      </c>
      <c r="M594" s="1043" t="s">
        <v>5792</v>
      </c>
      <c r="N594">
        <f t="shared" si="30"/>
        <v>1.0976089175125967E-2</v>
      </c>
    </row>
    <row r="595" spans="1:14" ht="15">
      <c r="A595" s="1043" t="s">
        <v>1774</v>
      </c>
      <c r="B595" s="1043" t="s">
        <v>5793</v>
      </c>
      <c r="C595" s="1043" t="s">
        <v>5788</v>
      </c>
      <c r="E595" t="s">
        <v>5794</v>
      </c>
      <c r="F595" s="1043" t="s">
        <v>5795</v>
      </c>
      <c r="G595" s="264">
        <f t="shared" si="28"/>
        <v>0.19336768726401665</v>
      </c>
      <c r="H595" t="s">
        <v>5796</v>
      </c>
      <c r="I595" t="s">
        <v>5797</v>
      </c>
      <c r="J595" t="e">
        <f t="shared" si="29"/>
        <v>#DIV/0!</v>
      </c>
      <c r="K595" s="1043" t="s">
        <v>5798</v>
      </c>
      <c r="L595" s="264" t="s">
        <v>5799</v>
      </c>
      <c r="M595" s="1043" t="s">
        <v>5800</v>
      </c>
      <c r="N595">
        <f t="shared" si="30"/>
        <v>2.9183112861212397E-2</v>
      </c>
    </row>
    <row r="596" spans="1:14" ht="15">
      <c r="A596" s="1043" t="s">
        <v>1776</v>
      </c>
      <c r="B596" s="1043" t="s">
        <v>5801</v>
      </c>
      <c r="C596" s="1043" t="s">
        <v>5796</v>
      </c>
      <c r="F596" s="1053"/>
      <c r="G596" s="264" t="e">
        <f t="shared" si="28"/>
        <v>#DIV/0!</v>
      </c>
      <c r="J596">
        <f t="shared" si="29"/>
        <v>7.9953943811801347</v>
      </c>
      <c r="K596" s="1043" t="s">
        <v>5802</v>
      </c>
      <c r="L596" s="264" t="s">
        <v>5803</v>
      </c>
      <c r="M596" s="1003"/>
      <c r="N596" t="e">
        <f t="shared" si="30"/>
        <v>#DIV/0!</v>
      </c>
    </row>
    <row r="597" spans="1:14" ht="15">
      <c r="A597" s="1043" t="s">
        <v>1778</v>
      </c>
      <c r="B597" s="1053"/>
      <c r="C597" s="1053"/>
      <c r="E597" t="s">
        <v>5804</v>
      </c>
      <c r="F597" s="1043" t="s">
        <v>5805</v>
      </c>
      <c r="G597" s="264">
        <f t="shared" si="28"/>
        <v>3.5121337553333694E-2</v>
      </c>
      <c r="H597" t="s">
        <v>5806</v>
      </c>
      <c r="I597" t="s">
        <v>5807</v>
      </c>
      <c r="J597" t="e">
        <f t="shared" si="29"/>
        <v>#DIV/0!</v>
      </c>
      <c r="K597" s="1043" t="s">
        <v>5808</v>
      </c>
      <c r="L597" s="264"/>
      <c r="M597" s="1043" t="s">
        <v>5809</v>
      </c>
      <c r="N597">
        <f t="shared" si="30"/>
        <v>4.927626608007598E-2</v>
      </c>
    </row>
    <row r="598" spans="1:14" ht="15">
      <c r="A598" s="1043" t="s">
        <v>1780</v>
      </c>
      <c r="B598" s="1043" t="s">
        <v>5810</v>
      </c>
      <c r="C598" s="1043" t="s">
        <v>5806</v>
      </c>
      <c r="F598" s="1053"/>
      <c r="G598" s="264" t="e">
        <f t="shared" si="28"/>
        <v>#DIV/0!</v>
      </c>
      <c r="J598">
        <f t="shared" si="29"/>
        <v>0</v>
      </c>
      <c r="K598" s="1043" t="s">
        <v>5811</v>
      </c>
      <c r="L598" s="264" t="s">
        <v>2751</v>
      </c>
      <c r="M598" s="1003"/>
      <c r="N598" t="e">
        <f t="shared" si="30"/>
        <v>#DIV/0!</v>
      </c>
    </row>
    <row r="599" spans="1:14" ht="15">
      <c r="A599" s="1043" t="s">
        <v>1782</v>
      </c>
      <c r="B599" s="1053"/>
      <c r="C599" s="1053"/>
      <c r="E599" t="s">
        <v>5812</v>
      </c>
      <c r="F599" s="1043" t="s">
        <v>5813</v>
      </c>
      <c r="G599" s="264">
        <f t="shared" si="28"/>
        <v>5.7497597656502218E-2</v>
      </c>
      <c r="H599">
        <v>0</v>
      </c>
      <c r="I599" t="s">
        <v>5814</v>
      </c>
      <c r="J599">
        <f t="shared" si="29"/>
        <v>-12.773559372187259</v>
      </c>
      <c r="K599" s="1043" t="s">
        <v>5815</v>
      </c>
      <c r="L599" s="264"/>
      <c r="M599" s="1043" t="s">
        <v>5816</v>
      </c>
      <c r="N599">
        <f t="shared" si="30"/>
        <v>1.5519928743878779E-2</v>
      </c>
    </row>
    <row r="600" spans="1:14" ht="15">
      <c r="A600" s="1043" t="s">
        <v>1784</v>
      </c>
      <c r="B600" s="1043" t="s">
        <v>2095</v>
      </c>
      <c r="C600" s="1043">
        <v>0</v>
      </c>
      <c r="E600" t="s">
        <v>5817</v>
      </c>
      <c r="F600" s="1043" t="s">
        <v>5818</v>
      </c>
      <c r="G600" s="264">
        <f t="shared" si="28"/>
        <v>-1.0669664339757374</v>
      </c>
      <c r="H600" t="s">
        <v>5819</v>
      </c>
      <c r="I600" t="s">
        <v>5820</v>
      </c>
      <c r="J600">
        <f t="shared" si="29"/>
        <v>-0.63955641026108045</v>
      </c>
      <c r="K600" s="1043" t="s">
        <v>5821</v>
      </c>
      <c r="L600" s="264" t="s">
        <v>2394</v>
      </c>
      <c r="M600" s="1043" t="s">
        <v>5822</v>
      </c>
      <c r="N600">
        <f t="shared" si="30"/>
        <v>-5.1780876587320106E-2</v>
      </c>
    </row>
    <row r="601" spans="1:14" ht="15">
      <c r="A601" s="1043" t="s">
        <v>1786</v>
      </c>
      <c r="B601" s="1043" t="s">
        <v>5823</v>
      </c>
      <c r="C601" s="1043" t="s">
        <v>5819</v>
      </c>
      <c r="E601" t="s">
        <v>5824</v>
      </c>
      <c r="F601" s="1043" t="s">
        <v>5825</v>
      </c>
      <c r="G601" s="264">
        <f t="shared" si="28"/>
        <v>-0.51322037614200977</v>
      </c>
      <c r="H601" t="s">
        <v>5826</v>
      </c>
      <c r="I601" t="s">
        <v>5827</v>
      </c>
      <c r="J601">
        <f t="shared" si="29"/>
        <v>40.486450416266692</v>
      </c>
      <c r="K601" s="1043" t="s">
        <v>5828</v>
      </c>
      <c r="L601" s="264" t="s">
        <v>4750</v>
      </c>
      <c r="M601" s="1043" t="s">
        <v>5829</v>
      </c>
      <c r="N601">
        <f t="shared" si="30"/>
        <v>-0.83856333280443562</v>
      </c>
    </row>
    <row r="602" spans="1:14" ht="15">
      <c r="A602" s="1043" t="s">
        <v>1788</v>
      </c>
      <c r="B602" s="1043" t="s">
        <v>5458</v>
      </c>
      <c r="C602" s="1043" t="s">
        <v>5826</v>
      </c>
      <c r="E602" t="s">
        <v>5830</v>
      </c>
      <c r="F602" s="1043" t="s">
        <v>5831</v>
      </c>
      <c r="G602" s="264">
        <f t="shared" si="28"/>
        <v>-2.8685489550966354E-2</v>
      </c>
      <c r="H602" t="s">
        <v>5832</v>
      </c>
      <c r="I602" t="s">
        <v>5833</v>
      </c>
      <c r="J602">
        <f t="shared" si="29"/>
        <v>3.4999863959468271</v>
      </c>
      <c r="K602" s="1043" t="s">
        <v>5834</v>
      </c>
      <c r="L602" s="264" t="s">
        <v>5835</v>
      </c>
      <c r="M602" s="1043" t="s">
        <v>5836</v>
      </c>
      <c r="N602">
        <f t="shared" si="30"/>
        <v>1.1240116225877237E-2</v>
      </c>
    </row>
    <row r="603" spans="1:14" ht="15">
      <c r="A603" s="1043" t="s">
        <v>1790</v>
      </c>
      <c r="B603" s="1043" t="s">
        <v>5837</v>
      </c>
      <c r="C603" s="1043" t="s">
        <v>5832</v>
      </c>
      <c r="E603" t="s">
        <v>5838</v>
      </c>
      <c r="F603" s="1043" t="s">
        <v>5839</v>
      </c>
      <c r="G603" s="264">
        <f t="shared" si="28"/>
        <v>7.6587119989597677E-2</v>
      </c>
      <c r="H603" t="s">
        <v>5840</v>
      </c>
      <c r="I603" t="s">
        <v>5841</v>
      </c>
      <c r="J603">
        <f t="shared" si="29"/>
        <v>19.364291850117127</v>
      </c>
      <c r="K603" s="1043" t="s">
        <v>5842</v>
      </c>
      <c r="L603" s="264" t="s">
        <v>5843</v>
      </c>
      <c r="M603" s="1043" t="s">
        <v>5844</v>
      </c>
      <c r="N603">
        <f t="shared" si="30"/>
        <v>8.9120453525292645E-2</v>
      </c>
    </row>
    <row r="604" spans="1:14" ht="15">
      <c r="A604" s="1043" t="s">
        <v>1792</v>
      </c>
      <c r="B604" s="1043" t="s">
        <v>5845</v>
      </c>
      <c r="C604" s="1043" t="s">
        <v>5840</v>
      </c>
      <c r="E604" t="s">
        <v>5846</v>
      </c>
      <c r="F604" s="1043" t="s">
        <v>5847</v>
      </c>
      <c r="G604" s="264">
        <f t="shared" si="28"/>
        <v>7.9720979284538755E-3</v>
      </c>
      <c r="H604" t="s">
        <v>5848</v>
      </c>
      <c r="I604" t="s">
        <v>5849</v>
      </c>
      <c r="J604">
        <f t="shared" si="29"/>
        <v>4.7014482462543157</v>
      </c>
      <c r="K604" s="1043" t="s">
        <v>5850</v>
      </c>
      <c r="L604" s="264" t="s">
        <v>5851</v>
      </c>
      <c r="M604" s="1043" t="s">
        <v>5852</v>
      </c>
      <c r="N604">
        <f t="shared" si="30"/>
        <v>7.6073536624363678E-3</v>
      </c>
    </row>
    <row r="605" spans="1:14" ht="15">
      <c r="A605" s="1043" t="s">
        <v>1794</v>
      </c>
      <c r="B605" s="1043" t="s">
        <v>5853</v>
      </c>
      <c r="C605" s="1043" t="s">
        <v>5848</v>
      </c>
      <c r="E605" t="s">
        <v>5854</v>
      </c>
      <c r="F605" s="1043" t="s">
        <v>5855</v>
      </c>
      <c r="G605" s="264">
        <f t="shared" si="28"/>
        <v>2.0744287221992373E-2</v>
      </c>
      <c r="H605" t="s">
        <v>5856</v>
      </c>
      <c r="I605" t="s">
        <v>5857</v>
      </c>
      <c r="J605">
        <f t="shared" si="29"/>
        <v>4.023675941379504</v>
      </c>
      <c r="K605" s="1043" t="s">
        <v>5858</v>
      </c>
      <c r="L605" s="264" t="s">
        <v>5859</v>
      </c>
      <c r="M605" s="1043" t="s">
        <v>5860</v>
      </c>
      <c r="N605">
        <f t="shared" si="30"/>
        <v>3.7397016688476225E-3</v>
      </c>
    </row>
    <row r="606" spans="1:14" ht="15">
      <c r="A606" s="1043" t="s">
        <v>1796</v>
      </c>
      <c r="B606" s="1043" t="s">
        <v>2714</v>
      </c>
      <c r="C606" s="1043" t="s">
        <v>5856</v>
      </c>
      <c r="E606" t="s">
        <v>5861</v>
      </c>
      <c r="F606" s="1043" t="s">
        <v>5862</v>
      </c>
      <c r="G606" s="264">
        <f t="shared" si="28"/>
        <v>4.0035585868324463E-3</v>
      </c>
      <c r="H606" t="s">
        <v>5863</v>
      </c>
      <c r="I606" t="s">
        <v>5864</v>
      </c>
      <c r="J606">
        <f t="shared" si="29"/>
        <v>-7.9802540518635001E-2</v>
      </c>
      <c r="K606" s="1043" t="s">
        <v>5865</v>
      </c>
      <c r="L606" s="264" t="s">
        <v>5866</v>
      </c>
      <c r="M606" s="1043" t="s">
        <v>5867</v>
      </c>
      <c r="N606">
        <f t="shared" si="30"/>
        <v>0.14188310720761138</v>
      </c>
    </row>
    <row r="607" spans="1:14" ht="15">
      <c r="A607" s="1043" t="s">
        <v>1798</v>
      </c>
      <c r="B607" s="1043" t="s">
        <v>5868</v>
      </c>
      <c r="C607" s="1043" t="s">
        <v>5863</v>
      </c>
      <c r="E607" t="s">
        <v>5869</v>
      </c>
      <c r="F607" s="1043" t="s">
        <v>5870</v>
      </c>
      <c r="G607" s="264">
        <f t="shared" si="28"/>
        <v>-0.32273228741396215</v>
      </c>
      <c r="H607" t="s">
        <v>5871</v>
      </c>
      <c r="I607" t="s">
        <v>5872</v>
      </c>
      <c r="J607">
        <f t="shared" si="29"/>
        <v>0.19933184855233854</v>
      </c>
      <c r="K607" s="1043" t="s">
        <v>5873</v>
      </c>
      <c r="L607" s="264"/>
      <c r="M607" s="1043" t="s">
        <v>5874</v>
      </c>
      <c r="N607">
        <f t="shared" si="30"/>
        <v>-1.8554458332476182</v>
      </c>
    </row>
    <row r="608" spans="1:14" ht="15">
      <c r="A608" s="1043" t="s">
        <v>1800</v>
      </c>
      <c r="B608" s="1043" t="s">
        <v>3415</v>
      </c>
      <c r="C608" s="1043" t="s">
        <v>5871</v>
      </c>
      <c r="E608" t="s">
        <v>5875</v>
      </c>
      <c r="F608" s="1043" t="s">
        <v>5876</v>
      </c>
      <c r="G608" s="264">
        <f t="shared" si="28"/>
        <v>9.9891910762599775E-2</v>
      </c>
      <c r="H608" t="s">
        <v>5877</v>
      </c>
      <c r="I608" t="s">
        <v>5878</v>
      </c>
      <c r="J608">
        <f t="shared" si="29"/>
        <v>0.66306756281933399</v>
      </c>
      <c r="K608" s="1043" t="s">
        <v>5879</v>
      </c>
      <c r="L608" s="264"/>
      <c r="M608" s="1043" t="s">
        <v>5880</v>
      </c>
      <c r="N608">
        <f t="shared" si="30"/>
        <v>7.7660014029153734E-2</v>
      </c>
    </row>
    <row r="609" spans="1:14" ht="15">
      <c r="A609" s="1043" t="s">
        <v>1802</v>
      </c>
      <c r="B609" s="1043" t="s">
        <v>5881</v>
      </c>
      <c r="C609" s="1043" t="s">
        <v>5877</v>
      </c>
      <c r="E609" t="s">
        <v>5882</v>
      </c>
      <c r="F609" s="1043" t="s">
        <v>5883</v>
      </c>
      <c r="G609" s="264">
        <f t="shared" si="28"/>
        <v>0.1103608311190393</v>
      </c>
      <c r="H609" t="s">
        <v>5884</v>
      </c>
      <c r="I609" t="s">
        <v>5885</v>
      </c>
      <c r="J609">
        <f t="shared" si="29"/>
        <v>16.066766392581343</v>
      </c>
      <c r="K609" s="1043" t="s">
        <v>5886</v>
      </c>
      <c r="L609" s="264" t="s">
        <v>5887</v>
      </c>
      <c r="M609" s="1043" t="s">
        <v>5888</v>
      </c>
      <c r="N609">
        <f t="shared" si="30"/>
        <v>6.3162599790098695E-2</v>
      </c>
    </row>
    <row r="610" spans="1:14" ht="15">
      <c r="A610" s="1043" t="s">
        <v>1804</v>
      </c>
      <c r="B610" s="1043" t="s">
        <v>2394</v>
      </c>
      <c r="C610" s="1043" t="s">
        <v>5884</v>
      </c>
      <c r="E610" t="s">
        <v>5889</v>
      </c>
      <c r="F610" s="1043" t="s">
        <v>5890</v>
      </c>
      <c r="G610" s="264">
        <f t="shared" si="28"/>
        <v>4.8947535904191521E-2</v>
      </c>
      <c r="H610" t="s">
        <v>5891</v>
      </c>
      <c r="I610" t="s">
        <v>5892</v>
      </c>
      <c r="J610">
        <f t="shared" si="29"/>
        <v>1.5334344412060019</v>
      </c>
      <c r="K610" s="1043" t="s">
        <v>5893</v>
      </c>
      <c r="L610" s="264" t="s">
        <v>5894</v>
      </c>
      <c r="M610" s="1043" t="s">
        <v>5895</v>
      </c>
      <c r="N610">
        <f t="shared" si="30"/>
        <v>3.4823006215484752E-2</v>
      </c>
    </row>
    <row r="611" spans="1:14" ht="15">
      <c r="A611" s="1043" t="s">
        <v>1806</v>
      </c>
      <c r="B611" s="1043" t="s">
        <v>5896</v>
      </c>
      <c r="C611" s="1043" t="s">
        <v>5891</v>
      </c>
      <c r="E611" t="s">
        <v>5897</v>
      </c>
      <c r="F611" s="1043" t="s">
        <v>5898</v>
      </c>
      <c r="G611" s="264">
        <f t="shared" si="28"/>
        <v>0.20250917077976879</v>
      </c>
      <c r="H611" t="s">
        <v>5899</v>
      </c>
      <c r="I611" t="s">
        <v>5900</v>
      </c>
      <c r="J611">
        <f t="shared" si="29"/>
        <v>19.745877821738588</v>
      </c>
      <c r="K611" s="1043" t="s">
        <v>5901</v>
      </c>
      <c r="L611" s="264" t="s">
        <v>5902</v>
      </c>
      <c r="M611" s="1043" t="s">
        <v>5903</v>
      </c>
      <c r="N611">
        <f t="shared" si="30"/>
        <v>5.168043191093636E-2</v>
      </c>
    </row>
    <row r="612" spans="1:14" ht="15">
      <c r="A612" s="1043" t="s">
        <v>1808</v>
      </c>
      <c r="B612" s="1043" t="s">
        <v>2132</v>
      </c>
      <c r="C612" s="1043" t="s">
        <v>5899</v>
      </c>
      <c r="E612" t="s">
        <v>5904</v>
      </c>
      <c r="F612" s="1043" t="s">
        <v>5905</v>
      </c>
      <c r="G612" s="264">
        <f t="shared" si="28"/>
        <v>6.6007157708265735E-2</v>
      </c>
      <c r="H612" t="s">
        <v>5906</v>
      </c>
      <c r="I612" t="s">
        <v>5907</v>
      </c>
      <c r="J612">
        <f t="shared" si="29"/>
        <v>4.1462874414115882</v>
      </c>
      <c r="K612" s="1043" t="s">
        <v>5908</v>
      </c>
      <c r="L612" s="264" t="s">
        <v>5909</v>
      </c>
      <c r="M612" s="1043" t="s">
        <v>5910</v>
      </c>
      <c r="N612">
        <f t="shared" si="30"/>
        <v>1.3249608716459318E-2</v>
      </c>
    </row>
    <row r="613" spans="1:14" ht="15">
      <c r="A613" s="1043" t="s">
        <v>1810</v>
      </c>
      <c r="B613" s="1043" t="s">
        <v>5911</v>
      </c>
      <c r="C613" s="1043" t="s">
        <v>5906</v>
      </c>
      <c r="E613" t="s">
        <v>5912</v>
      </c>
      <c r="F613" s="1043" t="s">
        <v>5913</v>
      </c>
      <c r="G613" s="264">
        <f t="shared" si="28"/>
        <v>7.6512403888002317E-2</v>
      </c>
      <c r="H613" t="s">
        <v>5914</v>
      </c>
      <c r="I613" t="s">
        <v>5915</v>
      </c>
      <c r="J613">
        <f t="shared" si="29"/>
        <v>6.2751238388976631</v>
      </c>
      <c r="K613" s="1043" t="s">
        <v>5916</v>
      </c>
      <c r="L613" s="264" t="s">
        <v>5917</v>
      </c>
      <c r="M613" s="1043" t="s">
        <v>5918</v>
      </c>
      <c r="N613">
        <f t="shared" si="30"/>
        <v>0.13250055771391905</v>
      </c>
    </row>
    <row r="614" spans="1:14" ht="15">
      <c r="A614" s="1043" t="s">
        <v>1812</v>
      </c>
      <c r="B614" s="1043" t="s">
        <v>5919</v>
      </c>
      <c r="C614" s="1043" t="s">
        <v>5914</v>
      </c>
      <c r="E614" t="s">
        <v>5920</v>
      </c>
      <c r="F614" s="1043" t="s">
        <v>5921</v>
      </c>
      <c r="G614" s="264">
        <f t="shared" si="28"/>
        <v>6.2565789215157874E-2</v>
      </c>
      <c r="H614" t="s">
        <v>5922</v>
      </c>
      <c r="I614" t="s">
        <v>5923</v>
      </c>
      <c r="J614">
        <f t="shared" si="29"/>
        <v>4.1973309306012805</v>
      </c>
      <c r="K614" s="1043" t="s">
        <v>5924</v>
      </c>
      <c r="L614" s="264" t="s">
        <v>5925</v>
      </c>
      <c r="M614" s="1043" t="s">
        <v>5926</v>
      </c>
      <c r="N614">
        <f t="shared" si="30"/>
        <v>0.1068240233675723</v>
      </c>
    </row>
    <row r="615" spans="1:14" ht="15">
      <c r="A615" s="1043" t="s">
        <v>1814</v>
      </c>
      <c r="B615" s="1043" t="s">
        <v>5927</v>
      </c>
      <c r="C615" s="1043" t="s">
        <v>5922</v>
      </c>
      <c r="E615" t="s">
        <v>5928</v>
      </c>
      <c r="F615" s="1043" t="s">
        <v>5929</v>
      </c>
      <c r="G615" s="264">
        <f t="shared" si="28"/>
        <v>0.18962546333241384</v>
      </c>
      <c r="H615" t="s">
        <v>5930</v>
      </c>
      <c r="I615" t="s">
        <v>5931</v>
      </c>
      <c r="J615">
        <f t="shared" si="29"/>
        <v>2.4899971628105027</v>
      </c>
      <c r="K615" s="1043" t="s">
        <v>5932</v>
      </c>
      <c r="L615" s="264" t="s">
        <v>5933</v>
      </c>
      <c r="M615" s="1043" t="s">
        <v>5934</v>
      </c>
      <c r="N615">
        <f t="shared" si="30"/>
        <v>3.0237977866466606E-2</v>
      </c>
    </row>
    <row r="616" spans="1:14" ht="15">
      <c r="A616" s="1043" t="s">
        <v>1816</v>
      </c>
      <c r="B616" s="1043" t="s">
        <v>5935</v>
      </c>
      <c r="C616" s="1043" t="s">
        <v>5930</v>
      </c>
      <c r="E616" t="s">
        <v>5936</v>
      </c>
      <c r="F616" s="1043" t="s">
        <v>5937</v>
      </c>
      <c r="G616" s="264">
        <f t="shared" si="28"/>
        <v>0.14502095723650171</v>
      </c>
      <c r="H616" t="s">
        <v>5938</v>
      </c>
      <c r="I616" t="s">
        <v>5939</v>
      </c>
      <c r="J616">
        <f t="shared" si="29"/>
        <v>-35.352282517635516</v>
      </c>
      <c r="K616" s="1043" t="s">
        <v>5940</v>
      </c>
      <c r="L616" s="264" t="s">
        <v>5941</v>
      </c>
      <c r="M616" s="1043" t="s">
        <v>5942</v>
      </c>
      <c r="N616">
        <f t="shared" si="30"/>
        <v>0.12474181748905469</v>
      </c>
    </row>
    <row r="617" spans="1:14" ht="15">
      <c r="A617" s="1043" t="s">
        <v>1818</v>
      </c>
      <c r="B617" s="1043" t="s">
        <v>5943</v>
      </c>
      <c r="C617" s="1043" t="s">
        <v>5938</v>
      </c>
      <c r="E617" t="s">
        <v>5944</v>
      </c>
      <c r="F617" s="1043" t="s">
        <v>5945</v>
      </c>
      <c r="G617" s="264">
        <f t="shared" si="28"/>
        <v>-2.6875683519998673E-2</v>
      </c>
      <c r="H617" t="s">
        <v>5946</v>
      </c>
      <c r="I617" t="s">
        <v>5947</v>
      </c>
      <c r="J617">
        <f t="shared" si="29"/>
        <v>0</v>
      </c>
      <c r="K617" s="1043" t="s">
        <v>5948</v>
      </c>
      <c r="L617" s="264" t="s">
        <v>3613</v>
      </c>
      <c r="M617" s="1043" t="s">
        <v>5949</v>
      </c>
      <c r="N617">
        <f t="shared" si="30"/>
        <v>-8.4854774815447849E-3</v>
      </c>
    </row>
    <row r="618" spans="1:14" ht="15">
      <c r="A618" s="1043" t="s">
        <v>1820</v>
      </c>
      <c r="B618" s="1043" t="s">
        <v>2540</v>
      </c>
      <c r="C618" s="1043" t="s">
        <v>5946</v>
      </c>
      <c r="E618" t="s">
        <v>5950</v>
      </c>
      <c r="F618" s="1043" t="s">
        <v>5951</v>
      </c>
      <c r="G618" s="264">
        <f t="shared" si="28"/>
        <v>0.13886117529955747</v>
      </c>
      <c r="H618">
        <v>0</v>
      </c>
      <c r="I618" t="s">
        <v>5952</v>
      </c>
      <c r="J618">
        <f t="shared" si="29"/>
        <v>-0.59320867179118064</v>
      </c>
      <c r="K618" s="1043" t="s">
        <v>5953</v>
      </c>
      <c r="L618" s="264" t="s">
        <v>5954</v>
      </c>
      <c r="M618" s="1043" t="s">
        <v>5955</v>
      </c>
      <c r="N618">
        <f t="shared" si="30"/>
        <v>7.7494399392042376E-2</v>
      </c>
    </row>
    <row r="619" spans="1:14" ht="15">
      <c r="A619" s="1043" t="s">
        <v>1822</v>
      </c>
      <c r="B619" s="1043" t="s">
        <v>2095</v>
      </c>
      <c r="C619" s="1043">
        <v>0</v>
      </c>
      <c r="E619" t="s">
        <v>5956</v>
      </c>
      <c r="F619" s="1043" t="s">
        <v>5957</v>
      </c>
      <c r="G619" s="264">
        <f t="shared" si="28"/>
        <v>-0.43106940585161324</v>
      </c>
      <c r="H619" t="s">
        <v>5958</v>
      </c>
      <c r="I619" t="s">
        <v>5959</v>
      </c>
      <c r="J619" t="e">
        <f t="shared" si="29"/>
        <v>#DIV/0!</v>
      </c>
      <c r="K619" s="1043" t="s">
        <v>5960</v>
      </c>
      <c r="L619" s="264"/>
      <c r="M619" s="1043" t="s">
        <v>5961</v>
      </c>
      <c r="N619">
        <f t="shared" si="30"/>
        <v>-0.36489597709899529</v>
      </c>
    </row>
    <row r="620" spans="1:14" ht="15">
      <c r="A620" s="1043" t="s">
        <v>1824</v>
      </c>
      <c r="B620" s="1043" t="s">
        <v>5962</v>
      </c>
      <c r="C620" s="1043" t="s">
        <v>5958</v>
      </c>
      <c r="F620" s="1053"/>
      <c r="G620" s="264" t="e">
        <f t="shared" si="28"/>
        <v>#DIV/0!</v>
      </c>
      <c r="J620" t="e">
        <f t="shared" si="29"/>
        <v>#DIV/0!</v>
      </c>
      <c r="K620" s="1043" t="s">
        <v>5963</v>
      </c>
      <c r="L620" s="264" t="s">
        <v>2741</v>
      </c>
      <c r="M620" s="1003"/>
      <c r="N620" t="e">
        <f t="shared" si="30"/>
        <v>#DIV/0!</v>
      </c>
    </row>
    <row r="621" spans="1:14" ht="15">
      <c r="A621" s="1043" t="s">
        <v>1826</v>
      </c>
      <c r="B621" s="1053"/>
      <c r="C621" s="1053"/>
      <c r="F621" s="1053"/>
      <c r="G621" s="264" t="e">
        <f t="shared" si="28"/>
        <v>#DIV/0!</v>
      </c>
      <c r="J621" t="e">
        <f t="shared" si="29"/>
        <v>#DIV/0!</v>
      </c>
      <c r="K621" s="1043" t="s">
        <v>5964</v>
      </c>
      <c r="L621" s="264"/>
      <c r="M621" s="1003"/>
      <c r="N621" t="e">
        <f t="shared" si="30"/>
        <v>#DIV/0!</v>
      </c>
    </row>
    <row r="622" spans="1:14" ht="15">
      <c r="A622" s="1043" t="s">
        <v>1828</v>
      </c>
      <c r="B622" s="1053"/>
      <c r="C622" s="1053"/>
      <c r="F622" s="1053"/>
      <c r="G622" s="264" t="e">
        <f t="shared" si="28"/>
        <v>#DIV/0!</v>
      </c>
      <c r="J622">
        <f t="shared" si="29"/>
        <v>7.1032243303833828E-2</v>
      </c>
      <c r="K622" s="1043" t="s">
        <v>5965</v>
      </c>
      <c r="L622" s="264"/>
      <c r="M622" s="1003"/>
      <c r="N622" t="e">
        <f t="shared" si="30"/>
        <v>#DIV/0!</v>
      </c>
    </row>
    <row r="623" spans="1:14" ht="15">
      <c r="A623" s="1043" t="s">
        <v>1830</v>
      </c>
      <c r="B623" s="1053"/>
      <c r="C623" s="1053"/>
      <c r="E623" t="s">
        <v>5966</v>
      </c>
      <c r="F623" s="1043" t="s">
        <v>5967</v>
      </c>
      <c r="G623" s="264">
        <f t="shared" si="28"/>
        <v>0.2440883359714546</v>
      </c>
      <c r="H623" t="s">
        <v>5968</v>
      </c>
      <c r="I623" t="s">
        <v>5969</v>
      </c>
      <c r="J623" t="e">
        <f t="shared" si="29"/>
        <v>#DIV/0!</v>
      </c>
      <c r="K623" s="1043" t="s">
        <v>5970</v>
      </c>
      <c r="L623" s="264"/>
      <c r="M623" s="1043" t="s">
        <v>5971</v>
      </c>
      <c r="N623">
        <f t="shared" si="30"/>
        <v>0.21060066614065592</v>
      </c>
    </row>
    <row r="624" spans="1:14" ht="15">
      <c r="A624" s="1043" t="s">
        <v>1832</v>
      </c>
      <c r="B624" s="1043" t="s">
        <v>2301</v>
      </c>
      <c r="C624" s="1043" t="s">
        <v>5968</v>
      </c>
      <c r="F624" s="1053"/>
      <c r="G624" s="264" t="e">
        <f t="shared" si="28"/>
        <v>#DIV/0!</v>
      </c>
      <c r="J624">
        <f t="shared" si="29"/>
        <v>0.20962879806271531</v>
      </c>
      <c r="K624" s="1043" t="s">
        <v>5972</v>
      </c>
      <c r="L624" s="264" t="s">
        <v>3481</v>
      </c>
      <c r="M624" s="1003"/>
      <c r="N624" t="e">
        <f t="shared" si="30"/>
        <v>#DIV/0!</v>
      </c>
    </row>
    <row r="625" spans="1:14" ht="15">
      <c r="A625" s="1043" t="s">
        <v>1834</v>
      </c>
      <c r="B625" s="1053"/>
      <c r="C625" s="1053"/>
      <c r="E625" t="s">
        <v>5973</v>
      </c>
      <c r="F625" s="1043" t="s">
        <v>5974</v>
      </c>
      <c r="G625" s="264">
        <f t="shared" si="28"/>
        <v>8.2560168537804762E-2</v>
      </c>
      <c r="H625" t="s">
        <v>5975</v>
      </c>
      <c r="I625" t="s">
        <v>5976</v>
      </c>
      <c r="J625">
        <f t="shared" si="29"/>
        <v>8.9911278869467079E-2</v>
      </c>
      <c r="K625" s="1043" t="s">
        <v>5977</v>
      </c>
      <c r="L625" s="264"/>
      <c r="M625" s="1043" t="s">
        <v>5978</v>
      </c>
      <c r="N625">
        <f t="shared" si="30"/>
        <v>5.2648828817809371E-2</v>
      </c>
    </row>
    <row r="626" spans="1:14" ht="15">
      <c r="A626" s="1043" t="s">
        <v>1836</v>
      </c>
      <c r="B626" s="1043" t="s">
        <v>2219</v>
      </c>
      <c r="C626" s="1043" t="s">
        <v>5975</v>
      </c>
      <c r="E626" t="s">
        <v>5979</v>
      </c>
      <c r="F626" s="1043" t="s">
        <v>5980</v>
      </c>
      <c r="G626" s="264">
        <f t="shared" si="28"/>
        <v>0.29151818798153073</v>
      </c>
      <c r="H626" t="s">
        <v>5981</v>
      </c>
      <c r="I626" t="s">
        <v>5982</v>
      </c>
      <c r="J626">
        <f t="shared" si="29"/>
        <v>2.1970812562722015</v>
      </c>
      <c r="K626" s="1043" t="s">
        <v>5983</v>
      </c>
      <c r="L626" s="264" t="s">
        <v>5984</v>
      </c>
      <c r="M626" s="1043" t="s">
        <v>5985</v>
      </c>
      <c r="N626">
        <f t="shared" si="30"/>
        <v>8.8806144397130596E-2</v>
      </c>
    </row>
    <row r="627" spans="1:14" ht="15">
      <c r="A627" s="1043" t="s">
        <v>1838</v>
      </c>
      <c r="B627" s="1043" t="s">
        <v>5503</v>
      </c>
      <c r="C627" s="1043" t="s">
        <v>5981</v>
      </c>
      <c r="E627" t="s">
        <v>5986</v>
      </c>
      <c r="F627" s="1043" t="s">
        <v>5987</v>
      </c>
      <c r="G627" s="264">
        <f t="shared" si="28"/>
        <v>0.46047708181743463</v>
      </c>
      <c r="H627" t="s">
        <v>5988</v>
      </c>
      <c r="I627" t="s">
        <v>5989</v>
      </c>
      <c r="J627">
        <f t="shared" si="29"/>
        <v>-3.9018313557535431</v>
      </c>
      <c r="K627" s="1043" t="s">
        <v>5990</v>
      </c>
      <c r="L627" s="264" t="s">
        <v>5991</v>
      </c>
      <c r="M627" s="1043" t="s">
        <v>5992</v>
      </c>
      <c r="N627">
        <f t="shared" si="30"/>
        <v>0.22744399630710743</v>
      </c>
    </row>
    <row r="628" spans="1:14" ht="15">
      <c r="A628" s="1043" t="s">
        <v>1840</v>
      </c>
      <c r="B628" s="1043" t="s">
        <v>5993</v>
      </c>
      <c r="C628" s="1043" t="s">
        <v>5988</v>
      </c>
      <c r="E628" t="s">
        <v>5994</v>
      </c>
      <c r="F628" s="1043" t="s">
        <v>5995</v>
      </c>
      <c r="G628" s="264">
        <f t="shared" si="28"/>
        <v>-0.14511221248925568</v>
      </c>
      <c r="H628" t="s">
        <v>5996</v>
      </c>
      <c r="I628" t="s">
        <v>5997</v>
      </c>
      <c r="J628">
        <f t="shared" si="29"/>
        <v>2.3454086824203033</v>
      </c>
      <c r="K628" s="1043" t="s">
        <v>5998</v>
      </c>
      <c r="L628" s="264" t="s">
        <v>5999</v>
      </c>
      <c r="M628" s="1043" t="s">
        <v>6000</v>
      </c>
      <c r="N628">
        <f t="shared" si="30"/>
        <v>-0.19269886457431673</v>
      </c>
    </row>
    <row r="629" spans="1:14" ht="15">
      <c r="A629" s="1043" t="s">
        <v>1842</v>
      </c>
      <c r="B629" s="1043" t="s">
        <v>6001</v>
      </c>
      <c r="C629" s="1043" t="s">
        <v>5996</v>
      </c>
      <c r="E629" t="s">
        <v>6002</v>
      </c>
      <c r="F629" s="1043" t="s">
        <v>6003</v>
      </c>
      <c r="G629" s="264">
        <f t="shared" si="28"/>
        <v>2.042604802001672E-2</v>
      </c>
      <c r="H629" t="s">
        <v>6004</v>
      </c>
      <c r="I629" t="s">
        <v>6005</v>
      </c>
      <c r="J629">
        <f t="shared" si="29"/>
        <v>-123.93060976317348</v>
      </c>
      <c r="K629" s="1043" t="s">
        <v>6006</v>
      </c>
      <c r="L629" s="264" t="s">
        <v>2705</v>
      </c>
      <c r="M629" s="1043" t="s">
        <v>6007</v>
      </c>
      <c r="N629">
        <f t="shared" si="30"/>
        <v>2.1728317901897831E-2</v>
      </c>
    </row>
    <row r="630" spans="1:14" ht="15">
      <c r="A630" s="1043" t="s">
        <v>1844</v>
      </c>
      <c r="B630" s="1043" t="s">
        <v>3995</v>
      </c>
      <c r="C630" s="1043" t="s">
        <v>6004</v>
      </c>
      <c r="E630" t="s">
        <v>6008</v>
      </c>
      <c r="F630" s="1043" t="s">
        <v>6009</v>
      </c>
      <c r="G630" s="264">
        <f t="shared" si="28"/>
        <v>-2.3521395413078749E-2</v>
      </c>
      <c r="H630" t="s">
        <v>6010</v>
      </c>
      <c r="I630" t="s">
        <v>6011</v>
      </c>
      <c r="J630">
        <f t="shared" si="29"/>
        <v>0.19644052300339596</v>
      </c>
      <c r="K630" s="1043" t="s">
        <v>6012</v>
      </c>
      <c r="L630" s="264" t="s">
        <v>3946</v>
      </c>
      <c r="M630" s="1043" t="s">
        <v>6013</v>
      </c>
      <c r="N630">
        <f t="shared" si="30"/>
        <v>-6.1212377756166454E-3</v>
      </c>
    </row>
    <row r="631" spans="1:14" ht="15">
      <c r="A631" s="1043" t="s">
        <v>1846</v>
      </c>
      <c r="B631" s="1043" t="s">
        <v>2205</v>
      </c>
      <c r="C631" s="1043" t="s">
        <v>6010</v>
      </c>
      <c r="E631" t="s">
        <v>6014</v>
      </c>
      <c r="F631" s="1043" t="s">
        <v>6015</v>
      </c>
      <c r="G631" s="264">
        <f t="shared" si="28"/>
        <v>0.11567384215332553</v>
      </c>
      <c r="H631" t="s">
        <v>6016</v>
      </c>
      <c r="I631" t="s">
        <v>6017</v>
      </c>
      <c r="J631">
        <f t="shared" si="29"/>
        <v>-25.477113156548835</v>
      </c>
      <c r="K631" s="1043" t="s">
        <v>6018</v>
      </c>
      <c r="L631" s="264" t="s">
        <v>6019</v>
      </c>
      <c r="M631" s="1043" t="s">
        <v>6020</v>
      </c>
      <c r="N631">
        <f t="shared" si="30"/>
        <v>0.15576944031396034</v>
      </c>
    </row>
    <row r="632" spans="1:14" ht="15">
      <c r="A632" s="1043" t="s">
        <v>1848</v>
      </c>
      <c r="B632" s="1043" t="s">
        <v>6021</v>
      </c>
      <c r="C632" s="1043" t="s">
        <v>6016</v>
      </c>
      <c r="E632" t="s">
        <v>6022</v>
      </c>
      <c r="F632" s="1043" t="s">
        <v>6023</v>
      </c>
      <c r="G632" s="264">
        <f t="shared" si="28"/>
        <v>-8.06894058263838E-2</v>
      </c>
      <c r="H632" t="s">
        <v>6024</v>
      </c>
      <c r="I632" t="s">
        <v>6025</v>
      </c>
      <c r="J632">
        <f t="shared" si="29"/>
        <v>2.4553620927806961</v>
      </c>
      <c r="K632" s="1043" t="s">
        <v>6026</v>
      </c>
      <c r="L632" s="264" t="s">
        <v>5851</v>
      </c>
      <c r="M632" s="1043" t="s">
        <v>6027</v>
      </c>
      <c r="N632">
        <f t="shared" si="30"/>
        <v>-2.1094882248409819E-2</v>
      </c>
    </row>
    <row r="633" spans="1:14" ht="15">
      <c r="A633" s="1043" t="s">
        <v>1850</v>
      </c>
      <c r="B633" s="1043" t="s">
        <v>6028</v>
      </c>
      <c r="C633" s="1043" t="s">
        <v>6024</v>
      </c>
      <c r="E633" t="s">
        <v>6029</v>
      </c>
      <c r="F633" s="1043" t="s">
        <v>6030</v>
      </c>
      <c r="G633" s="264">
        <f t="shared" si="28"/>
        <v>0.62109686942914066</v>
      </c>
      <c r="H633" t="s">
        <v>6031</v>
      </c>
      <c r="I633" t="s">
        <v>6032</v>
      </c>
      <c r="J633">
        <f t="shared" si="29"/>
        <v>-4.2112393231568772</v>
      </c>
      <c r="K633" s="1043" t="s">
        <v>6033</v>
      </c>
      <c r="L633" s="264" t="s">
        <v>6034</v>
      </c>
      <c r="M633" s="1043" t="s">
        <v>6035</v>
      </c>
      <c r="N633">
        <f t="shared" si="30"/>
        <v>0.12244388434468328</v>
      </c>
    </row>
    <row r="634" spans="1:14" ht="15">
      <c r="A634" s="1043" t="s">
        <v>1852</v>
      </c>
      <c r="B634" s="1043" t="s">
        <v>6036</v>
      </c>
      <c r="C634" s="1043" t="s">
        <v>6031</v>
      </c>
      <c r="E634" t="s">
        <v>6037</v>
      </c>
      <c r="F634" s="1043" t="s">
        <v>6038</v>
      </c>
      <c r="G634" s="264">
        <f t="shared" si="28"/>
        <v>-0.97096137697501683</v>
      </c>
      <c r="H634" t="s">
        <v>6039</v>
      </c>
      <c r="I634" t="s">
        <v>6040</v>
      </c>
      <c r="J634">
        <f t="shared" si="29"/>
        <v>3.6669305936182899</v>
      </c>
      <c r="K634" s="1043" t="s">
        <v>6041</v>
      </c>
      <c r="L634" s="264" t="s">
        <v>5118</v>
      </c>
      <c r="M634" s="1043" t="s">
        <v>6042</v>
      </c>
      <c r="N634">
        <f t="shared" si="30"/>
        <v>-0.1218661530051437</v>
      </c>
    </row>
    <row r="635" spans="1:14" ht="15">
      <c r="A635" s="1043" t="s">
        <v>1854</v>
      </c>
      <c r="B635" s="1043" t="s">
        <v>6043</v>
      </c>
      <c r="C635" s="1043" t="s">
        <v>6039</v>
      </c>
      <c r="E635" t="s">
        <v>6044</v>
      </c>
      <c r="F635" s="1043" t="s">
        <v>6045</v>
      </c>
      <c r="G635" s="264">
        <f t="shared" si="28"/>
        <v>7.8276909499878825E-2</v>
      </c>
      <c r="H635" t="s">
        <v>6046</v>
      </c>
      <c r="I635" t="s">
        <v>6047</v>
      </c>
      <c r="J635">
        <f t="shared" si="29"/>
        <v>-4.7262051008070234</v>
      </c>
      <c r="K635" s="1043" t="s">
        <v>6048</v>
      </c>
      <c r="L635" s="264" t="s">
        <v>6049</v>
      </c>
      <c r="M635" s="1043" t="s">
        <v>6050</v>
      </c>
      <c r="N635">
        <f t="shared" si="30"/>
        <v>0.14457905969854787</v>
      </c>
    </row>
    <row r="636" spans="1:14" ht="15">
      <c r="A636" s="1043" t="s">
        <v>1856</v>
      </c>
      <c r="B636" s="1043" t="s">
        <v>6051</v>
      </c>
      <c r="C636" s="1043" t="s">
        <v>6046</v>
      </c>
      <c r="E636" t="s">
        <v>6052</v>
      </c>
      <c r="F636" s="1043" t="s">
        <v>6053</v>
      </c>
      <c r="G636" s="264">
        <f t="shared" si="28"/>
        <v>-4.8579479805140789E-2</v>
      </c>
      <c r="H636" t="s">
        <v>6054</v>
      </c>
      <c r="I636" t="s">
        <v>6055</v>
      </c>
      <c r="J636">
        <f t="shared" si="29"/>
        <v>2.1932335827492557</v>
      </c>
      <c r="K636" s="1043" t="s">
        <v>6056</v>
      </c>
      <c r="L636" s="264" t="s">
        <v>6057</v>
      </c>
      <c r="M636" s="1043" t="s">
        <v>6058</v>
      </c>
      <c r="N636">
        <f t="shared" si="30"/>
        <v>-6.1274990406855766E-2</v>
      </c>
    </row>
    <row r="637" spans="1:14" ht="15">
      <c r="A637" s="1043" t="s">
        <v>1858</v>
      </c>
      <c r="B637" s="1043" t="s">
        <v>6059</v>
      </c>
      <c r="C637" s="1043" t="s">
        <v>6054</v>
      </c>
      <c r="E637" t="s">
        <v>6060</v>
      </c>
      <c r="F637" s="1043" t="s">
        <v>6061</v>
      </c>
      <c r="G637" s="264">
        <f t="shared" si="28"/>
        <v>9.9611160977418178E-2</v>
      </c>
      <c r="H637" t="s">
        <v>6062</v>
      </c>
      <c r="I637" t="s">
        <v>6063</v>
      </c>
      <c r="J637">
        <f t="shared" si="29"/>
        <v>3.8637554321346661</v>
      </c>
      <c r="K637" s="1043" t="s">
        <v>6064</v>
      </c>
      <c r="L637" s="264" t="s">
        <v>6065</v>
      </c>
      <c r="M637" s="1043" t="s">
        <v>6066</v>
      </c>
      <c r="N637">
        <f t="shared" si="30"/>
        <v>0.13295483639766059</v>
      </c>
    </row>
    <row r="638" spans="1:14" ht="15">
      <c r="A638" s="1043" t="s">
        <v>1860</v>
      </c>
      <c r="B638" s="1043" t="s">
        <v>6067</v>
      </c>
      <c r="C638" s="1043" t="s">
        <v>6062</v>
      </c>
      <c r="E638" t="s">
        <v>6068</v>
      </c>
      <c r="F638" s="1043" t="s">
        <v>6069</v>
      </c>
      <c r="G638" s="264">
        <f t="shared" si="28"/>
        <v>5.8638783910079782E-2</v>
      </c>
      <c r="H638" t="s">
        <v>6070</v>
      </c>
      <c r="I638" t="s">
        <v>6071</v>
      </c>
      <c r="J638">
        <f t="shared" si="29"/>
        <v>4.5859322343669344</v>
      </c>
      <c r="K638" s="1043" t="s">
        <v>6072</v>
      </c>
      <c r="L638" s="264" t="s">
        <v>6073</v>
      </c>
      <c r="M638" s="1043" t="s">
        <v>6074</v>
      </c>
      <c r="N638">
        <f t="shared" si="30"/>
        <v>2.5084674700848091E-3</v>
      </c>
    </row>
    <row r="639" spans="1:14" ht="15">
      <c r="A639" s="1043" t="s">
        <v>1862</v>
      </c>
      <c r="B639" s="1043" t="s">
        <v>4062</v>
      </c>
      <c r="C639" s="1043" t="s">
        <v>6070</v>
      </c>
      <c r="E639" t="s">
        <v>6075</v>
      </c>
      <c r="F639" s="1043" t="s">
        <v>6076</v>
      </c>
      <c r="G639" s="264">
        <f t="shared" si="28"/>
        <v>0.16388215048393626</v>
      </c>
      <c r="H639" t="s">
        <v>6077</v>
      </c>
      <c r="I639" t="s">
        <v>6078</v>
      </c>
      <c r="J639">
        <f t="shared" si="29"/>
        <v>4.5693828461162447</v>
      </c>
      <c r="K639" s="1043" t="s">
        <v>6079</v>
      </c>
      <c r="L639" s="264" t="s">
        <v>6080</v>
      </c>
      <c r="M639" s="1043" t="s">
        <v>6081</v>
      </c>
      <c r="N639">
        <f t="shared" si="30"/>
        <v>6.3018831283656151E-2</v>
      </c>
    </row>
    <row r="640" spans="1:14" ht="15">
      <c r="A640" s="1043" t="s">
        <v>1864</v>
      </c>
      <c r="B640" s="1043" t="s">
        <v>6082</v>
      </c>
      <c r="C640" s="1043" t="s">
        <v>6077</v>
      </c>
      <c r="E640" t="s">
        <v>6083</v>
      </c>
      <c r="F640" s="1043" t="s">
        <v>6084</v>
      </c>
      <c r="G640" s="264">
        <f t="shared" si="28"/>
        <v>5.3913570098619225E-2</v>
      </c>
      <c r="H640" t="s">
        <v>6085</v>
      </c>
      <c r="I640" t="s">
        <v>6086</v>
      </c>
      <c r="J640">
        <f t="shared" si="29"/>
        <v>3.9870579066980785</v>
      </c>
      <c r="K640" s="1043" t="s">
        <v>6087</v>
      </c>
      <c r="L640" s="264" t="s">
        <v>6088</v>
      </c>
      <c r="M640" s="1043" t="s">
        <v>6089</v>
      </c>
      <c r="N640">
        <f t="shared" si="30"/>
        <v>0.16296210490055621</v>
      </c>
    </row>
    <row r="641" spans="1:14" ht="15">
      <c r="A641" s="1043" t="s">
        <v>1866</v>
      </c>
      <c r="B641" s="1043" t="s">
        <v>6090</v>
      </c>
      <c r="C641" s="1043" t="s">
        <v>6085</v>
      </c>
      <c r="E641" t="s">
        <v>6091</v>
      </c>
      <c r="F641" s="1043" t="s">
        <v>6092</v>
      </c>
      <c r="G641" s="264">
        <f t="shared" si="28"/>
        <v>6.5940291520507066E-2</v>
      </c>
      <c r="H641" t="s">
        <v>6093</v>
      </c>
      <c r="I641" t="s">
        <v>6094</v>
      </c>
      <c r="J641">
        <f t="shared" si="29"/>
        <v>-9.1936961481812371</v>
      </c>
      <c r="K641" s="1043" t="s">
        <v>6095</v>
      </c>
      <c r="L641" s="264" t="s">
        <v>6096</v>
      </c>
      <c r="M641" s="1043" t="s">
        <v>6097</v>
      </c>
      <c r="N641">
        <f t="shared" si="30"/>
        <v>6.0209581280558817E-2</v>
      </c>
    </row>
    <row r="642" spans="1:14" ht="15">
      <c r="A642" s="1043" t="s">
        <v>1868</v>
      </c>
      <c r="B642" s="1043" t="s">
        <v>6098</v>
      </c>
      <c r="C642" s="1043" t="s">
        <v>6093</v>
      </c>
      <c r="E642" t="s">
        <v>6099</v>
      </c>
      <c r="F642" s="1061" t="s">
        <v>6100</v>
      </c>
      <c r="G642" s="264">
        <f t="shared" ref="G642:G705" si="31">E642/F642</f>
        <v>0.14550613388178396</v>
      </c>
      <c r="H642" t="s">
        <v>6101</v>
      </c>
      <c r="I642" t="s">
        <v>6102</v>
      </c>
      <c r="J642">
        <f t="shared" ref="J642:J705" si="32">H643/I643</f>
        <v>2.5118578330897305</v>
      </c>
      <c r="K642" s="1043" t="s">
        <v>6103</v>
      </c>
      <c r="L642" s="264" t="s">
        <v>6104</v>
      </c>
      <c r="M642" s="1043" t="s">
        <v>6105</v>
      </c>
      <c r="N642">
        <f t="shared" si="30"/>
        <v>-0.58454546766145177</v>
      </c>
    </row>
    <row r="643" spans="1:14" ht="15">
      <c r="A643" s="1043" t="s">
        <v>1871</v>
      </c>
      <c r="B643" s="1053"/>
      <c r="C643" s="1043" t="s">
        <v>6101</v>
      </c>
      <c r="E643" t="s">
        <v>6106</v>
      </c>
      <c r="F643" s="1043" t="s">
        <v>6107</v>
      </c>
      <c r="G643" s="264">
        <f t="shared" si="31"/>
        <v>9.6166208623569852E-2</v>
      </c>
      <c r="H643" t="s">
        <v>6108</v>
      </c>
      <c r="I643" t="s">
        <v>6109</v>
      </c>
      <c r="J643">
        <f t="shared" si="32"/>
        <v>1.7570542437594463</v>
      </c>
      <c r="K643" s="1043" t="s">
        <v>6110</v>
      </c>
      <c r="L643" s="264" t="s">
        <v>5587</v>
      </c>
      <c r="M643" s="1043" t="s">
        <v>6111</v>
      </c>
      <c r="N643">
        <f t="shared" si="30"/>
        <v>7.7577410757889861E-2</v>
      </c>
    </row>
    <row r="644" spans="1:14" ht="15">
      <c r="A644" s="1043" t="s">
        <v>1873</v>
      </c>
      <c r="B644" s="1043" t="s">
        <v>6112</v>
      </c>
      <c r="C644" s="1043" t="s">
        <v>6108</v>
      </c>
      <c r="E644" t="s">
        <v>6113</v>
      </c>
      <c r="F644" s="1043" t="s">
        <v>6114</v>
      </c>
      <c r="G644" s="264">
        <f t="shared" si="31"/>
        <v>0.19095016486571184</v>
      </c>
      <c r="H644" t="s">
        <v>6115</v>
      </c>
      <c r="I644" t="s">
        <v>6116</v>
      </c>
      <c r="J644">
        <f t="shared" si="32"/>
        <v>1.474489723565801</v>
      </c>
      <c r="K644" s="1043" t="s">
        <v>6117</v>
      </c>
      <c r="L644" s="264" t="s">
        <v>6118</v>
      </c>
      <c r="M644" s="1043" t="s">
        <v>6119</v>
      </c>
      <c r="N644">
        <f t="shared" si="30"/>
        <v>0.20605913179632773</v>
      </c>
    </row>
    <row r="645" spans="1:14" ht="15">
      <c r="A645" s="1043" t="s">
        <v>1875</v>
      </c>
      <c r="B645" s="1043" t="s">
        <v>4593</v>
      </c>
      <c r="C645" s="1043" t="s">
        <v>6115</v>
      </c>
      <c r="E645" t="s">
        <v>6120</v>
      </c>
      <c r="F645" s="1043" t="s">
        <v>6121</v>
      </c>
      <c r="G645" s="264">
        <f t="shared" si="31"/>
        <v>0.12927529786117328</v>
      </c>
      <c r="H645" t="s">
        <v>6122</v>
      </c>
      <c r="I645" t="s">
        <v>6123</v>
      </c>
      <c r="J645">
        <f t="shared" si="32"/>
        <v>17.361360484685324</v>
      </c>
      <c r="K645" s="1043" t="s">
        <v>6124</v>
      </c>
      <c r="L645" s="264" t="s">
        <v>6125</v>
      </c>
      <c r="M645" s="1043" t="s">
        <v>6126</v>
      </c>
      <c r="N645">
        <f t="shared" si="30"/>
        <v>9.5329907033631034E-2</v>
      </c>
    </row>
    <row r="646" spans="1:14" ht="15">
      <c r="A646" s="1043" t="s">
        <v>1877</v>
      </c>
      <c r="B646" s="1043" t="s">
        <v>2045</v>
      </c>
      <c r="C646" s="1043" t="s">
        <v>6122</v>
      </c>
      <c r="E646" t="s">
        <v>6127</v>
      </c>
      <c r="F646" s="1043" t="s">
        <v>6128</v>
      </c>
      <c r="G646" s="264">
        <f t="shared" si="31"/>
        <v>3.1400927213162781E-3</v>
      </c>
      <c r="H646" t="s">
        <v>6129</v>
      </c>
      <c r="I646" t="s">
        <v>6130</v>
      </c>
      <c r="J646" t="e">
        <f t="shared" si="32"/>
        <v>#DIV/0!</v>
      </c>
      <c r="K646" s="1043" t="s">
        <v>6131</v>
      </c>
      <c r="L646" s="264" t="s">
        <v>6132</v>
      </c>
      <c r="M646" s="1043" t="s">
        <v>6133</v>
      </c>
      <c r="N646">
        <f t="shared" si="30"/>
        <v>3.6946294780464385E-2</v>
      </c>
    </row>
    <row r="647" spans="1:14" ht="15">
      <c r="A647" s="1043" t="s">
        <v>1879</v>
      </c>
      <c r="B647" s="1053"/>
      <c r="C647" s="1043" t="s">
        <v>6129</v>
      </c>
      <c r="F647" s="1053"/>
      <c r="G647" s="264" t="e">
        <f t="shared" si="31"/>
        <v>#DIV/0!</v>
      </c>
      <c r="J647">
        <f t="shared" si="32"/>
        <v>0.94176908040977358</v>
      </c>
      <c r="K647" s="1043" t="s">
        <v>6134</v>
      </c>
      <c r="L647" s="264" t="s">
        <v>6135</v>
      </c>
      <c r="M647" s="1003"/>
      <c r="N647" t="e">
        <f t="shared" si="30"/>
        <v>#DIV/0!</v>
      </c>
    </row>
    <row r="648" spans="1:14" ht="15">
      <c r="A648" s="1043" t="s">
        <v>1881</v>
      </c>
      <c r="B648" s="1053"/>
      <c r="C648" s="1053"/>
      <c r="E648" t="s">
        <v>6136</v>
      </c>
      <c r="F648" s="1043" t="s">
        <v>6137</v>
      </c>
      <c r="G648" s="264">
        <f t="shared" si="31"/>
        <v>0.1661087804426267</v>
      </c>
      <c r="H648" t="s">
        <v>6138</v>
      </c>
      <c r="I648" t="s">
        <v>6139</v>
      </c>
      <c r="J648" t="e">
        <f t="shared" si="32"/>
        <v>#DIV/0!</v>
      </c>
      <c r="K648" s="1043" t="s">
        <v>6140</v>
      </c>
      <c r="L648" s="264"/>
      <c r="M648" s="1043" t="s">
        <v>6141</v>
      </c>
      <c r="N648">
        <f t="shared" si="30"/>
        <v>3.9192561344536551E-3</v>
      </c>
    </row>
    <row r="649" spans="1:14" ht="15">
      <c r="A649" s="1043" t="s">
        <v>1883</v>
      </c>
      <c r="B649" s="1043" t="s">
        <v>4673</v>
      </c>
      <c r="C649" s="1043" t="s">
        <v>6138</v>
      </c>
      <c r="F649" s="1053"/>
      <c r="G649" s="264" t="e">
        <f t="shared" si="31"/>
        <v>#DIV/0!</v>
      </c>
      <c r="J649" t="e">
        <f t="shared" si="32"/>
        <v>#DIV/0!</v>
      </c>
      <c r="K649" s="1043" t="s">
        <v>6142</v>
      </c>
      <c r="L649" s="264" t="s">
        <v>6143</v>
      </c>
      <c r="M649" s="1003"/>
      <c r="N649" t="e">
        <f t="shared" si="30"/>
        <v>#DIV/0!</v>
      </c>
    </row>
    <row r="650" spans="1:14" ht="15">
      <c r="A650" s="1043" t="s">
        <v>1885</v>
      </c>
      <c r="B650" s="1053"/>
      <c r="C650" s="1053"/>
      <c r="F650" s="1053"/>
      <c r="G650" s="264" t="e">
        <f t="shared" si="31"/>
        <v>#DIV/0!</v>
      </c>
      <c r="J650" t="e">
        <f t="shared" si="32"/>
        <v>#DIV/0!</v>
      </c>
      <c r="K650" s="1003"/>
      <c r="L650" s="264"/>
      <c r="M650" s="1003"/>
      <c r="N650" t="e">
        <f t="shared" si="30"/>
        <v>#DIV/0!</v>
      </c>
    </row>
    <row r="651" spans="1:14" ht="15">
      <c r="A651" s="1043" t="s">
        <v>1888</v>
      </c>
      <c r="B651" s="1053"/>
      <c r="C651" s="1053"/>
      <c r="F651" s="1053"/>
      <c r="G651" s="264" t="e">
        <f t="shared" si="31"/>
        <v>#DIV/0!</v>
      </c>
      <c r="J651">
        <f t="shared" si="32"/>
        <v>0.33593765144698789</v>
      </c>
      <c r="K651" s="1043" t="s">
        <v>6144</v>
      </c>
      <c r="L651" s="264"/>
      <c r="M651" s="1003"/>
      <c r="N651" t="e">
        <f t="shared" si="30"/>
        <v>#DIV/0!</v>
      </c>
    </row>
    <row r="652" spans="1:14" ht="15">
      <c r="A652" s="1043" t="s">
        <v>1890</v>
      </c>
      <c r="B652" s="1053"/>
      <c r="C652" s="1053"/>
      <c r="E652" t="s">
        <v>6145</v>
      </c>
      <c r="F652" s="1043" t="s">
        <v>6146</v>
      </c>
      <c r="G652" s="264">
        <f t="shared" si="31"/>
        <v>0.1108824845834466</v>
      </c>
      <c r="H652" t="s">
        <v>6147</v>
      </c>
      <c r="I652" t="s">
        <v>6148</v>
      </c>
      <c r="J652">
        <f t="shared" si="32"/>
        <v>2.7622954997463207</v>
      </c>
      <c r="K652" s="1043" t="s">
        <v>6149</v>
      </c>
      <c r="L652" s="264"/>
      <c r="M652" s="1043" t="s">
        <v>6150</v>
      </c>
      <c r="N652">
        <f t="shared" si="30"/>
        <v>1.8244946914374355E-2</v>
      </c>
    </row>
    <row r="653" spans="1:14" ht="15">
      <c r="A653" s="1043" t="s">
        <v>1892</v>
      </c>
      <c r="B653" s="1043" t="s">
        <v>2937</v>
      </c>
      <c r="C653" s="1043" t="s">
        <v>6147</v>
      </c>
      <c r="E653" t="s">
        <v>6151</v>
      </c>
      <c r="F653" s="1043" t="s">
        <v>6152</v>
      </c>
      <c r="G653" s="264">
        <f t="shared" si="31"/>
        <v>0.15932500211826769</v>
      </c>
      <c r="H653" t="s">
        <v>6153</v>
      </c>
      <c r="I653" t="s">
        <v>6154</v>
      </c>
      <c r="J653">
        <f t="shared" si="32"/>
        <v>0.51911678052361987</v>
      </c>
      <c r="K653" s="1043" t="s">
        <v>6155</v>
      </c>
      <c r="L653" s="264" t="s">
        <v>2875</v>
      </c>
      <c r="M653" s="1043" t="s">
        <v>6156</v>
      </c>
      <c r="N653">
        <f t="shared" si="30"/>
        <v>0.12176653557905458</v>
      </c>
    </row>
    <row r="654" spans="1:14" ht="15">
      <c r="A654" s="1043" t="s">
        <v>1894</v>
      </c>
      <c r="B654" s="1043" t="s">
        <v>6157</v>
      </c>
      <c r="C654" s="1043" t="s">
        <v>6153</v>
      </c>
      <c r="E654" t="s">
        <v>6158</v>
      </c>
      <c r="F654" s="1043" t="s">
        <v>6159</v>
      </c>
      <c r="G654" s="264">
        <f t="shared" si="31"/>
        <v>0.14376117936416136</v>
      </c>
      <c r="H654" t="s">
        <v>6160</v>
      </c>
      <c r="I654" t="s">
        <v>6161</v>
      </c>
      <c r="J654">
        <f t="shared" si="32"/>
        <v>0.10562328217706761</v>
      </c>
      <c r="K654" s="1043" t="s">
        <v>6162</v>
      </c>
      <c r="L654" s="264" t="s">
        <v>6163</v>
      </c>
      <c r="M654" s="1043" t="s">
        <v>6164</v>
      </c>
      <c r="N654">
        <f t="shared" si="30"/>
        <v>7.8072894785043354E-2</v>
      </c>
    </row>
    <row r="655" spans="1:14" ht="15">
      <c r="A655" s="1043" t="s">
        <v>1896</v>
      </c>
      <c r="B655" s="1043" t="s">
        <v>6165</v>
      </c>
      <c r="C655" s="1043" t="s">
        <v>6160</v>
      </c>
      <c r="E655" t="s">
        <v>6166</v>
      </c>
      <c r="F655" s="1043" t="s">
        <v>6167</v>
      </c>
      <c r="G655" s="264">
        <f t="shared" si="31"/>
        <v>0.13527447472572207</v>
      </c>
      <c r="H655" t="s">
        <v>6168</v>
      </c>
      <c r="I655" t="s">
        <v>6169</v>
      </c>
      <c r="J655">
        <f t="shared" si="32"/>
        <v>1.7273840400763214</v>
      </c>
      <c r="K655" s="1043" t="s">
        <v>6170</v>
      </c>
      <c r="L655" s="264" t="s">
        <v>6171</v>
      </c>
      <c r="M655" s="1043" t="s">
        <v>6172</v>
      </c>
      <c r="N655">
        <f t="shared" si="30"/>
        <v>5.6108054879465651E-2</v>
      </c>
    </row>
    <row r="656" spans="1:14" ht="15">
      <c r="A656" s="1043" t="s">
        <v>1898</v>
      </c>
      <c r="B656" s="1043" t="s">
        <v>2986</v>
      </c>
      <c r="C656" s="1043" t="s">
        <v>6168</v>
      </c>
      <c r="E656" t="s">
        <v>6173</v>
      </c>
      <c r="F656" s="1043" t="s">
        <v>6174</v>
      </c>
      <c r="G656" s="264">
        <f t="shared" si="31"/>
        <v>0.10719344372837941</v>
      </c>
      <c r="H656" t="s">
        <v>6175</v>
      </c>
      <c r="I656" t="s">
        <v>6176</v>
      </c>
      <c r="J656">
        <f t="shared" si="32"/>
        <v>-1.8825267509392749</v>
      </c>
      <c r="K656" s="1043" t="s">
        <v>6177</v>
      </c>
      <c r="L656" s="264" t="s">
        <v>6178</v>
      </c>
      <c r="M656" s="1043" t="s">
        <v>6179</v>
      </c>
      <c r="N656">
        <f t="shared" si="30"/>
        <v>0.24036197056495986</v>
      </c>
    </row>
    <row r="657" spans="1:14" ht="15">
      <c r="A657" s="1043" t="s">
        <v>1900</v>
      </c>
      <c r="B657" s="1043" t="s">
        <v>5138</v>
      </c>
      <c r="C657" s="1043" t="s">
        <v>6175</v>
      </c>
      <c r="E657" t="s">
        <v>6180</v>
      </c>
      <c r="F657" s="1043" t="s">
        <v>6181</v>
      </c>
      <c r="G657" s="264">
        <f t="shared" si="31"/>
        <v>-2.2918492948226709E-3</v>
      </c>
      <c r="H657" t="s">
        <v>6182</v>
      </c>
      <c r="I657" t="s">
        <v>6183</v>
      </c>
      <c r="J657">
        <f t="shared" si="32"/>
        <v>0.90256123046912895</v>
      </c>
      <c r="K657" s="1043" t="s">
        <v>6184</v>
      </c>
      <c r="L657" s="264" t="s">
        <v>6185</v>
      </c>
      <c r="M657" s="1043" t="s">
        <v>6186</v>
      </c>
      <c r="N657">
        <f t="shared" ref="N657:N705" si="33">I657/M657</f>
        <v>-1.0492597556274855E-2</v>
      </c>
    </row>
    <row r="658" spans="1:14" ht="15">
      <c r="A658" s="1043" t="s">
        <v>1902</v>
      </c>
      <c r="B658" s="1043" t="s">
        <v>3415</v>
      </c>
      <c r="C658" s="1043" t="s">
        <v>6182</v>
      </c>
      <c r="E658" t="s">
        <v>6187</v>
      </c>
      <c r="F658" s="1043" t="s">
        <v>6188</v>
      </c>
      <c r="G658" s="264">
        <f t="shared" si="31"/>
        <v>4.5640683770522092E-2</v>
      </c>
      <c r="H658" t="s">
        <v>6189</v>
      </c>
      <c r="I658" t="s">
        <v>6190</v>
      </c>
      <c r="J658" t="e">
        <f t="shared" si="32"/>
        <v>#DIV/0!</v>
      </c>
      <c r="K658" s="1043" t="s">
        <v>6191</v>
      </c>
      <c r="L658" s="264" t="s">
        <v>6192</v>
      </c>
      <c r="M658" s="1043" t="s">
        <v>6193</v>
      </c>
      <c r="N658">
        <f t="shared" si="33"/>
        <v>6.6963066857220116E-2</v>
      </c>
    </row>
    <row r="659" spans="1:14" ht="15">
      <c r="A659" s="1043" t="s">
        <v>1904</v>
      </c>
      <c r="B659" s="1043" t="s">
        <v>2221</v>
      </c>
      <c r="C659" s="1043" t="s">
        <v>6189</v>
      </c>
      <c r="F659" s="1043" t="s">
        <v>6194</v>
      </c>
      <c r="G659" s="264">
        <f t="shared" si="31"/>
        <v>0</v>
      </c>
      <c r="H659" t="s">
        <v>6195</v>
      </c>
      <c r="J659">
        <f t="shared" si="32"/>
        <v>0.37363525344263493</v>
      </c>
      <c r="K659" s="1043" t="s">
        <v>6196</v>
      </c>
      <c r="L659" s="264" t="s">
        <v>6178</v>
      </c>
      <c r="M659" s="1043" t="s">
        <v>6197</v>
      </c>
      <c r="N659">
        <f t="shared" si="33"/>
        <v>0</v>
      </c>
    </row>
    <row r="660" spans="1:14" ht="15">
      <c r="A660" s="1043" t="s">
        <v>1906</v>
      </c>
      <c r="B660" s="1053"/>
      <c r="C660" s="1043" t="s">
        <v>6195</v>
      </c>
      <c r="E660" t="s">
        <v>6198</v>
      </c>
      <c r="F660" s="1043" t="s">
        <v>6199</v>
      </c>
      <c r="G660" s="264">
        <f t="shared" si="31"/>
        <v>-1.2370958296699243E-2</v>
      </c>
      <c r="H660" t="s">
        <v>6200</v>
      </c>
      <c r="I660" t="s">
        <v>6201</v>
      </c>
      <c r="J660">
        <f t="shared" si="32"/>
        <v>-3.0642622950819671</v>
      </c>
      <c r="K660" s="1043" t="s">
        <v>6202</v>
      </c>
      <c r="L660" s="264"/>
      <c r="M660" s="1043" t="s">
        <v>6203</v>
      </c>
      <c r="N660">
        <f t="shared" si="33"/>
        <v>3.5749165735761652E-2</v>
      </c>
    </row>
    <row r="661" spans="1:14" ht="15">
      <c r="A661" s="1043" t="s">
        <v>1908</v>
      </c>
      <c r="B661" s="1043" t="s">
        <v>6204</v>
      </c>
      <c r="C661" s="1043" t="s">
        <v>6200</v>
      </c>
      <c r="E661" t="s">
        <v>6205</v>
      </c>
      <c r="F661" s="1061" t="s">
        <v>6206</v>
      </c>
      <c r="G661" s="264">
        <f t="shared" si="31"/>
        <v>0.34303445324202869</v>
      </c>
      <c r="H661" t="s">
        <v>6207</v>
      </c>
      <c r="I661" t="s">
        <v>6208</v>
      </c>
      <c r="J661">
        <f t="shared" si="32"/>
        <v>9.2216310721821397</v>
      </c>
      <c r="K661" s="1043" t="s">
        <v>6209</v>
      </c>
      <c r="L661" s="264" t="s">
        <v>6210</v>
      </c>
      <c r="M661" s="1003"/>
      <c r="N661" t="e">
        <f t="shared" si="33"/>
        <v>#DIV/0!</v>
      </c>
    </row>
    <row r="662" spans="1:14" ht="15">
      <c r="A662" s="1043" t="s">
        <v>1910</v>
      </c>
      <c r="B662" s="1053"/>
      <c r="C662" s="1043" t="s">
        <v>6207</v>
      </c>
      <c r="E662" t="s">
        <v>6211</v>
      </c>
      <c r="F662" s="1043" t="s">
        <v>6212</v>
      </c>
      <c r="G662" s="264">
        <f t="shared" si="31"/>
        <v>2.2892256163364676E-2</v>
      </c>
      <c r="H662" t="s">
        <v>6213</v>
      </c>
      <c r="I662" t="s">
        <v>6214</v>
      </c>
      <c r="J662">
        <f t="shared" si="32"/>
        <v>0</v>
      </c>
      <c r="K662" s="1043" t="s">
        <v>6215</v>
      </c>
      <c r="L662" s="264" t="s">
        <v>6216</v>
      </c>
      <c r="M662" s="1043" t="s">
        <v>6217</v>
      </c>
      <c r="N662">
        <f t="shared" si="33"/>
        <v>3.8294538230787357E-2</v>
      </c>
    </row>
    <row r="663" spans="1:14" ht="15">
      <c r="A663" s="1043" t="s">
        <v>1912</v>
      </c>
      <c r="B663" s="1043" t="s">
        <v>3771</v>
      </c>
      <c r="C663" s="1043" t="s">
        <v>6213</v>
      </c>
      <c r="E663" t="s">
        <v>6218</v>
      </c>
      <c r="F663" s="1043" t="s">
        <v>6219</v>
      </c>
      <c r="G663" s="264">
        <f t="shared" si="31"/>
        <v>2.16677919591523E-3</v>
      </c>
      <c r="H663">
        <v>0</v>
      </c>
      <c r="I663" t="s">
        <v>6220</v>
      </c>
      <c r="J663">
        <f t="shared" si="32"/>
        <v>0.47016462035705536</v>
      </c>
      <c r="K663" s="1043" t="s">
        <v>6221</v>
      </c>
      <c r="L663" s="264" t="s">
        <v>6222</v>
      </c>
      <c r="M663" s="1043" t="s">
        <v>6223</v>
      </c>
      <c r="N663">
        <f t="shared" si="33"/>
        <v>-2.8708784454098482E-3</v>
      </c>
    </row>
    <row r="664" spans="1:14" ht="15">
      <c r="A664" s="1043" t="s">
        <v>1914</v>
      </c>
      <c r="B664" s="1043" t="s">
        <v>2095</v>
      </c>
      <c r="C664" s="1043">
        <v>0</v>
      </c>
      <c r="E664" t="s">
        <v>6224</v>
      </c>
      <c r="F664" s="1043" t="s">
        <v>6225</v>
      </c>
      <c r="G664" s="264">
        <f t="shared" si="31"/>
        <v>0.32933949548057784</v>
      </c>
      <c r="H664" t="s">
        <v>6226</v>
      </c>
      <c r="I664" t="s">
        <v>6227</v>
      </c>
      <c r="J664">
        <f t="shared" si="32"/>
        <v>1.2492098960729251E-3</v>
      </c>
      <c r="K664" s="1043" t="s">
        <v>6228</v>
      </c>
      <c r="L664" s="264" t="s">
        <v>4221</v>
      </c>
      <c r="M664" s="1043" t="s">
        <v>6229</v>
      </c>
      <c r="N664">
        <f t="shared" si="33"/>
        <v>0.27881305819504348</v>
      </c>
    </row>
    <row r="665" spans="1:14" ht="15">
      <c r="A665" s="1043" t="s">
        <v>1916</v>
      </c>
      <c r="B665" s="1043" t="s">
        <v>6230</v>
      </c>
      <c r="C665" s="1043" t="s">
        <v>6226</v>
      </c>
      <c r="E665" t="s">
        <v>6231</v>
      </c>
      <c r="F665" s="1043" t="s">
        <v>6232</v>
      </c>
      <c r="G665" s="264">
        <f t="shared" si="31"/>
        <v>0.19749255741729771</v>
      </c>
      <c r="H665" t="s">
        <v>6233</v>
      </c>
      <c r="I665" t="s">
        <v>6234</v>
      </c>
      <c r="J665" t="e">
        <f t="shared" si="32"/>
        <v>#DIV/0!</v>
      </c>
      <c r="K665" s="1043" t="s">
        <v>6235</v>
      </c>
      <c r="L665" s="264" t="s">
        <v>6236</v>
      </c>
      <c r="M665" s="1043" t="s">
        <v>6237</v>
      </c>
      <c r="N665">
        <f t="shared" si="33"/>
        <v>0.18818762836962377</v>
      </c>
    </row>
    <row r="666" spans="1:14" ht="15">
      <c r="A666" s="1043" t="s">
        <v>1918</v>
      </c>
      <c r="B666" s="1043" t="s">
        <v>2095</v>
      </c>
      <c r="C666" s="1043" t="s">
        <v>6233</v>
      </c>
      <c r="F666" s="1053"/>
      <c r="G666" s="264" t="e">
        <f t="shared" si="31"/>
        <v>#DIV/0!</v>
      </c>
      <c r="J666">
        <f t="shared" si="32"/>
        <v>5.8616455916651384</v>
      </c>
      <c r="K666" s="1043" t="s">
        <v>6238</v>
      </c>
      <c r="L666" s="264" t="s">
        <v>6239</v>
      </c>
      <c r="M666" s="1003"/>
      <c r="N666" t="e">
        <f t="shared" si="33"/>
        <v>#DIV/0!</v>
      </c>
    </row>
    <row r="667" spans="1:14" ht="15">
      <c r="A667" s="1043" t="s">
        <v>1920</v>
      </c>
      <c r="B667" s="1053"/>
      <c r="C667" s="1053"/>
      <c r="E667" t="s">
        <v>6240</v>
      </c>
      <c r="F667" s="1043" t="s">
        <v>6241</v>
      </c>
      <c r="G667" s="264">
        <f t="shared" si="31"/>
        <v>0.22918023618147187</v>
      </c>
      <c r="H667" t="s">
        <v>6242</v>
      </c>
      <c r="I667" t="s">
        <v>6243</v>
      </c>
      <c r="J667">
        <f t="shared" si="32"/>
        <v>0.10228034994255439</v>
      </c>
      <c r="K667" s="1043" t="s">
        <v>6244</v>
      </c>
      <c r="L667" s="264"/>
      <c r="M667" s="1043" t="s">
        <v>6245</v>
      </c>
      <c r="N667">
        <f t="shared" si="33"/>
        <v>5.5025606165211023E-2</v>
      </c>
    </row>
    <row r="668" spans="1:14" ht="15">
      <c r="A668" s="1043" t="s">
        <v>1922</v>
      </c>
      <c r="B668" s="1043" t="s">
        <v>6246</v>
      </c>
      <c r="C668" s="1043" t="s">
        <v>6242</v>
      </c>
      <c r="E668" t="s">
        <v>6247</v>
      </c>
      <c r="F668" s="1043" t="s">
        <v>6248</v>
      </c>
      <c r="G668" s="264">
        <f t="shared" si="31"/>
        <v>8.5541551276667863E-2</v>
      </c>
      <c r="H668" t="s">
        <v>6249</v>
      </c>
      <c r="I668" t="s">
        <v>6250</v>
      </c>
      <c r="J668">
        <f t="shared" si="32"/>
        <v>6.0757463060949295</v>
      </c>
      <c r="K668" s="1043" t="s">
        <v>6251</v>
      </c>
      <c r="L668" s="264" t="s">
        <v>3375</v>
      </c>
      <c r="M668" s="1043" t="s">
        <v>6252</v>
      </c>
      <c r="N668">
        <f t="shared" si="33"/>
        <v>4.9741866066374089E-2</v>
      </c>
    </row>
    <row r="669" spans="1:14" ht="15">
      <c r="A669" s="1043" t="s">
        <v>1924</v>
      </c>
      <c r="B669" s="1043" t="s">
        <v>3106</v>
      </c>
      <c r="C669" s="1043" t="s">
        <v>6249</v>
      </c>
      <c r="E669" t="s">
        <v>6253</v>
      </c>
      <c r="F669" s="1043" t="s">
        <v>6254</v>
      </c>
      <c r="G669" s="264">
        <f t="shared" si="31"/>
        <v>7.4263554036083632E-2</v>
      </c>
      <c r="H669" t="s">
        <v>6255</v>
      </c>
      <c r="I669" t="s">
        <v>6256</v>
      </c>
      <c r="J669">
        <f t="shared" si="32"/>
        <v>1.6970662740662554</v>
      </c>
      <c r="K669" s="1043" t="s">
        <v>6257</v>
      </c>
      <c r="L669" s="264" t="s">
        <v>6258</v>
      </c>
      <c r="M669" s="1043" t="s">
        <v>6259</v>
      </c>
      <c r="N669">
        <f t="shared" si="33"/>
        <v>0.16814169795628739</v>
      </c>
    </row>
    <row r="670" spans="1:14" ht="15">
      <c r="A670" s="1043" t="s">
        <v>1926</v>
      </c>
      <c r="B670" s="1043" t="s">
        <v>6260</v>
      </c>
      <c r="C670" s="1043" t="s">
        <v>6255</v>
      </c>
      <c r="E670" t="s">
        <v>6261</v>
      </c>
      <c r="F670" s="1043" t="s">
        <v>6262</v>
      </c>
      <c r="G670" s="264">
        <f t="shared" si="31"/>
        <v>0.17543099504957835</v>
      </c>
      <c r="H670" t="s">
        <v>6263</v>
      </c>
      <c r="I670" t="s">
        <v>6264</v>
      </c>
      <c r="J670">
        <f t="shared" si="32"/>
        <v>-3.8337500000000002</v>
      </c>
      <c r="K670" s="1043" t="s">
        <v>6265</v>
      </c>
      <c r="L670" s="264" t="s">
        <v>6266</v>
      </c>
      <c r="M670" s="1043" t="s">
        <v>6267</v>
      </c>
      <c r="N670">
        <f t="shared" si="33"/>
        <v>0.18051002000665678</v>
      </c>
    </row>
    <row r="671" spans="1:14" ht="15">
      <c r="A671" s="1043" t="s">
        <v>1928</v>
      </c>
      <c r="B671" s="1043" t="s">
        <v>5154</v>
      </c>
      <c r="C671" s="1043" t="s">
        <v>6263</v>
      </c>
      <c r="E671" t="s">
        <v>6268</v>
      </c>
      <c r="F671" s="1061" t="s">
        <v>6269</v>
      </c>
      <c r="G671" s="264">
        <f t="shared" si="31"/>
        <v>0.9255852364248861</v>
      </c>
      <c r="H671" t="s">
        <v>6270</v>
      </c>
      <c r="I671" t="s">
        <v>6271</v>
      </c>
      <c r="J671">
        <f t="shared" si="32"/>
        <v>0.92845976160830623</v>
      </c>
      <c r="K671" s="1043" t="s">
        <v>6272</v>
      </c>
      <c r="L671" s="264" t="s">
        <v>6273</v>
      </c>
      <c r="M671" s="1043" t="s">
        <v>6274</v>
      </c>
      <c r="N671">
        <f t="shared" si="33"/>
        <v>-0.2682763246143528</v>
      </c>
    </row>
    <row r="672" spans="1:14" ht="15">
      <c r="A672" s="1043" t="s">
        <v>1930</v>
      </c>
      <c r="B672" s="1053"/>
      <c r="C672" s="1043" t="s">
        <v>6270</v>
      </c>
      <c r="E672" t="s">
        <v>6275</v>
      </c>
      <c r="F672" s="1043" t="s">
        <v>6276</v>
      </c>
      <c r="G672" s="264">
        <f t="shared" si="31"/>
        <v>8.6987997845625775E-2</v>
      </c>
      <c r="H672" t="s">
        <v>6277</v>
      </c>
      <c r="I672" t="s">
        <v>6278</v>
      </c>
      <c r="J672">
        <f t="shared" si="32"/>
        <v>4.786723869633561</v>
      </c>
      <c r="K672" s="1043" t="s">
        <v>6279</v>
      </c>
      <c r="L672" s="264" t="s">
        <v>6280</v>
      </c>
      <c r="M672" s="1043" t="s">
        <v>6281</v>
      </c>
      <c r="N672">
        <f t="shared" si="33"/>
        <v>0.11321365825907717</v>
      </c>
    </row>
    <row r="673" spans="1:14" ht="15">
      <c r="A673" s="1043" t="s">
        <v>1932</v>
      </c>
      <c r="B673" s="1043" t="s">
        <v>3940</v>
      </c>
      <c r="C673" s="1043" t="s">
        <v>6277</v>
      </c>
      <c r="E673" t="s">
        <v>6282</v>
      </c>
      <c r="F673" s="1043" t="s">
        <v>6283</v>
      </c>
      <c r="G673" s="264">
        <f t="shared" si="31"/>
        <v>0.16144468484135124</v>
      </c>
      <c r="H673" t="s">
        <v>6284</v>
      </c>
      <c r="I673" t="s">
        <v>6285</v>
      </c>
      <c r="J673">
        <f t="shared" si="32"/>
        <v>47.519298985424797</v>
      </c>
      <c r="K673" s="1043" t="s">
        <v>6286</v>
      </c>
      <c r="L673" s="264" t="s">
        <v>6287</v>
      </c>
      <c r="M673" s="1043" t="s">
        <v>6288</v>
      </c>
      <c r="N673">
        <f t="shared" si="33"/>
        <v>0.10928991587785603</v>
      </c>
    </row>
    <row r="674" spans="1:14" ht="15">
      <c r="A674" s="1043" t="s">
        <v>1934</v>
      </c>
      <c r="B674" s="1043" t="s">
        <v>4185</v>
      </c>
      <c r="C674" s="1043" t="s">
        <v>6284</v>
      </c>
      <c r="E674" t="s">
        <v>6289</v>
      </c>
      <c r="F674" s="1043" t="s">
        <v>6290</v>
      </c>
      <c r="G674" s="264">
        <f t="shared" si="31"/>
        <v>-0.29908861127261555</v>
      </c>
      <c r="H674" t="s">
        <v>6291</v>
      </c>
      <c r="I674" t="s">
        <v>6292</v>
      </c>
      <c r="J674">
        <f t="shared" si="32"/>
        <v>0.10398410942601342</v>
      </c>
      <c r="K674" s="1043" t="s">
        <v>6293</v>
      </c>
      <c r="L674" s="264" t="s">
        <v>6294</v>
      </c>
      <c r="M674" s="1043" t="s">
        <v>6295</v>
      </c>
      <c r="N674">
        <f t="shared" si="33"/>
        <v>6.6152162192016526E-3</v>
      </c>
    </row>
    <row r="675" spans="1:14" ht="15">
      <c r="A675" s="1043" t="s">
        <v>1936</v>
      </c>
      <c r="B675" s="1043" t="s">
        <v>6296</v>
      </c>
      <c r="C675" s="1043" t="s">
        <v>6291</v>
      </c>
      <c r="E675" t="s">
        <v>6297</v>
      </c>
      <c r="F675" s="1043" t="s">
        <v>6298</v>
      </c>
      <c r="G675" s="264">
        <f t="shared" si="31"/>
        <v>0.16623692812057295</v>
      </c>
      <c r="H675" t="s">
        <v>6299</v>
      </c>
      <c r="I675" t="s">
        <v>6300</v>
      </c>
      <c r="J675">
        <f t="shared" si="32"/>
        <v>0.83673824780045181</v>
      </c>
      <c r="K675" s="1043" t="s">
        <v>6301</v>
      </c>
      <c r="L675" s="264" t="s">
        <v>2604</v>
      </c>
      <c r="M675" s="1043" t="s">
        <v>6302</v>
      </c>
      <c r="N675">
        <f t="shared" si="33"/>
        <v>0.15505987731395587</v>
      </c>
    </row>
    <row r="676" spans="1:14" ht="15">
      <c r="A676" s="1043" t="s">
        <v>1938</v>
      </c>
      <c r="B676" s="1043" t="s">
        <v>2986</v>
      </c>
      <c r="C676" s="1043" t="s">
        <v>6299</v>
      </c>
      <c r="E676" t="s">
        <v>6303</v>
      </c>
      <c r="F676" s="1043" t="s">
        <v>6304</v>
      </c>
      <c r="G676" s="264">
        <f t="shared" si="31"/>
        <v>0.512935971863556</v>
      </c>
      <c r="H676" t="s">
        <v>6305</v>
      </c>
      <c r="I676" t="s">
        <v>6306</v>
      </c>
      <c r="J676">
        <f t="shared" si="32"/>
        <v>3.6821303506831078</v>
      </c>
      <c r="K676" s="1043" t="s">
        <v>6307</v>
      </c>
      <c r="L676" s="264" t="s">
        <v>6308</v>
      </c>
      <c r="M676" s="1043" t="s">
        <v>6309</v>
      </c>
      <c r="N676">
        <f t="shared" si="33"/>
        <v>0.24067608461654183</v>
      </c>
    </row>
    <row r="677" spans="1:14" ht="15">
      <c r="A677" s="1043" t="s">
        <v>1940</v>
      </c>
      <c r="B677" s="1043" t="s">
        <v>6310</v>
      </c>
      <c r="C677" s="1043" t="s">
        <v>6305</v>
      </c>
      <c r="E677" t="s">
        <v>6311</v>
      </c>
      <c r="F677" s="1043" t="s">
        <v>6312</v>
      </c>
      <c r="G677" s="264">
        <f t="shared" si="31"/>
        <v>5.9626535982162526E-2</v>
      </c>
      <c r="H677" t="s">
        <v>6313</v>
      </c>
      <c r="I677" t="s">
        <v>6314</v>
      </c>
      <c r="J677">
        <f t="shared" si="32"/>
        <v>8.2988559977758836E-2</v>
      </c>
      <c r="K677" s="1043" t="s">
        <v>6315</v>
      </c>
      <c r="L677" s="264" t="s">
        <v>6316</v>
      </c>
      <c r="M677" s="1043" t="s">
        <v>6317</v>
      </c>
      <c r="N677">
        <f t="shared" si="33"/>
        <v>2.8081084624023495E-2</v>
      </c>
    </row>
    <row r="678" spans="1:14" ht="15">
      <c r="A678" s="1043" t="s">
        <v>1942</v>
      </c>
      <c r="B678" s="1043" t="s">
        <v>6318</v>
      </c>
      <c r="C678" s="1043" t="s">
        <v>6313</v>
      </c>
      <c r="E678" t="s">
        <v>6319</v>
      </c>
      <c r="F678" s="1043" t="s">
        <v>6320</v>
      </c>
      <c r="G678" s="264">
        <f t="shared" si="31"/>
        <v>0.15197301794246459</v>
      </c>
      <c r="H678" t="s">
        <v>6321</v>
      </c>
      <c r="I678" t="s">
        <v>6322</v>
      </c>
      <c r="J678">
        <f t="shared" si="32"/>
        <v>3.2479557443391114</v>
      </c>
      <c r="K678" s="1043" t="s">
        <v>6323</v>
      </c>
      <c r="L678" s="264" t="s">
        <v>3769</v>
      </c>
      <c r="M678" s="1043" t="s">
        <v>6324</v>
      </c>
      <c r="N678">
        <f t="shared" si="33"/>
        <v>0.19832044765004</v>
      </c>
    </row>
    <row r="679" spans="1:14" ht="15">
      <c r="A679" s="1043" t="s">
        <v>1944</v>
      </c>
      <c r="B679" s="1043" t="s">
        <v>5026</v>
      </c>
      <c r="C679" s="1043" t="s">
        <v>6321</v>
      </c>
      <c r="E679" t="s">
        <v>6325</v>
      </c>
      <c r="F679" s="1043" t="s">
        <v>6326</v>
      </c>
      <c r="G679" s="264">
        <f t="shared" si="31"/>
        <v>0.27643491393416575</v>
      </c>
      <c r="H679" t="s">
        <v>6327</v>
      </c>
      <c r="I679" t="s">
        <v>6328</v>
      </c>
      <c r="J679">
        <f t="shared" si="32"/>
        <v>0.91581764636012575</v>
      </c>
      <c r="K679" s="1043" t="s">
        <v>6329</v>
      </c>
      <c r="L679" s="264" t="s">
        <v>2037</v>
      </c>
      <c r="M679" s="1043" t="s">
        <v>6330</v>
      </c>
      <c r="N679">
        <f t="shared" si="33"/>
        <v>0.25014549077187687</v>
      </c>
    </row>
    <row r="680" spans="1:14" ht="15">
      <c r="A680" s="1043" t="s">
        <v>1946</v>
      </c>
      <c r="B680" s="1043" t="s">
        <v>6331</v>
      </c>
      <c r="C680" s="1043" t="s">
        <v>6327</v>
      </c>
      <c r="E680" t="s">
        <v>6332</v>
      </c>
      <c r="F680" s="1043" t="s">
        <v>6333</v>
      </c>
      <c r="G680" s="264">
        <f t="shared" si="31"/>
        <v>0.40952454020416418</v>
      </c>
      <c r="H680" t="s">
        <v>6334</v>
      </c>
      <c r="I680" t="s">
        <v>6335</v>
      </c>
      <c r="J680">
        <f t="shared" si="32"/>
        <v>-0.9445764257619077</v>
      </c>
      <c r="K680" s="1043" t="s">
        <v>6336</v>
      </c>
      <c r="L680" s="264" t="s">
        <v>6337</v>
      </c>
      <c r="M680" s="1043" t="s">
        <v>6338</v>
      </c>
      <c r="N680">
        <f t="shared" si="33"/>
        <v>0.12766797133578994</v>
      </c>
    </row>
    <row r="681" spans="1:14" ht="15">
      <c r="A681" s="1043" t="s">
        <v>1948</v>
      </c>
      <c r="B681" s="1043" t="s">
        <v>6339</v>
      </c>
      <c r="C681" s="1043" t="s">
        <v>6334</v>
      </c>
      <c r="E681" t="s">
        <v>6340</v>
      </c>
      <c r="F681" s="1061" t="s">
        <v>6341</v>
      </c>
      <c r="G681" s="264">
        <f t="shared" si="31"/>
        <v>2.3118680037849275</v>
      </c>
      <c r="H681" t="s">
        <v>6342</v>
      </c>
      <c r="I681" t="s">
        <v>6343</v>
      </c>
      <c r="J681">
        <f t="shared" si="32"/>
        <v>3.2394037317886668</v>
      </c>
      <c r="K681" s="1043" t="s">
        <v>6344</v>
      </c>
      <c r="L681" s="264" t="s">
        <v>6345</v>
      </c>
      <c r="M681" s="1043" t="s">
        <v>6346</v>
      </c>
      <c r="N681">
        <f t="shared" si="33"/>
        <v>-4.9962261830217374</v>
      </c>
    </row>
    <row r="682" spans="1:14" ht="15">
      <c r="A682" s="1043" t="s">
        <v>1950</v>
      </c>
      <c r="B682" s="1053"/>
      <c r="C682" s="1043" t="s">
        <v>6342</v>
      </c>
      <c r="E682" t="s">
        <v>6347</v>
      </c>
      <c r="F682" s="1043" t="s">
        <v>6348</v>
      </c>
      <c r="G682" s="264">
        <f t="shared" si="31"/>
        <v>0.11487025069529745</v>
      </c>
      <c r="H682" t="s">
        <v>6349</v>
      </c>
      <c r="I682" t="s">
        <v>6350</v>
      </c>
      <c r="J682">
        <f t="shared" si="32"/>
        <v>6.6268803183998888E-3</v>
      </c>
      <c r="K682" s="1043" t="s">
        <v>6351</v>
      </c>
      <c r="L682" s="264" t="s">
        <v>6352</v>
      </c>
      <c r="M682" s="1043" t="s">
        <v>6353</v>
      </c>
      <c r="N682">
        <f t="shared" si="33"/>
        <v>0.16302603177700917</v>
      </c>
    </row>
    <row r="683" spans="1:14" ht="15">
      <c r="A683" s="1043" t="s">
        <v>1952</v>
      </c>
      <c r="B683" s="1043" t="s">
        <v>6354</v>
      </c>
      <c r="C683" s="1043" t="s">
        <v>6349</v>
      </c>
      <c r="E683" t="s">
        <v>6355</v>
      </c>
      <c r="F683" s="1043" t="s">
        <v>6356</v>
      </c>
      <c r="G683" s="264">
        <f t="shared" si="31"/>
        <v>0.14938110552751785</v>
      </c>
      <c r="H683" t="s">
        <v>6357</v>
      </c>
      <c r="I683" t="s">
        <v>6358</v>
      </c>
      <c r="J683" t="e">
        <f t="shared" si="32"/>
        <v>#DIV/0!</v>
      </c>
      <c r="K683" s="1043" t="s">
        <v>6359</v>
      </c>
      <c r="L683" s="264" t="s">
        <v>6360</v>
      </c>
      <c r="M683" s="1043" t="s">
        <v>6361</v>
      </c>
      <c r="N683">
        <f t="shared" si="33"/>
        <v>0.19497117865633401</v>
      </c>
    </row>
    <row r="684" spans="1:14" ht="15">
      <c r="A684" s="1043" t="s">
        <v>1954</v>
      </c>
      <c r="B684" s="1043" t="s">
        <v>2541</v>
      </c>
      <c r="C684" s="1043" t="s">
        <v>6357</v>
      </c>
      <c r="F684" s="1043" t="s">
        <v>6362</v>
      </c>
      <c r="G684" s="264">
        <f t="shared" si="31"/>
        <v>0</v>
      </c>
      <c r="H684" t="s">
        <v>6363</v>
      </c>
      <c r="J684">
        <f t="shared" si="32"/>
        <v>0</v>
      </c>
      <c r="K684" s="1043" t="s">
        <v>6364</v>
      </c>
      <c r="L684" s="264" t="s">
        <v>4229</v>
      </c>
      <c r="M684" s="1043" t="s">
        <v>6365</v>
      </c>
      <c r="N684">
        <f t="shared" si="33"/>
        <v>0</v>
      </c>
    </row>
    <row r="685" spans="1:14" ht="15">
      <c r="A685" s="1043" t="s">
        <v>1956</v>
      </c>
      <c r="B685" s="1053"/>
      <c r="C685" s="1043" t="s">
        <v>6363</v>
      </c>
      <c r="E685" t="s">
        <v>6366</v>
      </c>
      <c r="F685" s="1043" t="s">
        <v>6367</v>
      </c>
      <c r="G685" s="264">
        <f t="shared" si="31"/>
        <v>4.9431867541975837E-2</v>
      </c>
      <c r="H685">
        <v>0</v>
      </c>
      <c r="I685" t="s">
        <v>6368</v>
      </c>
      <c r="J685">
        <f t="shared" si="32"/>
        <v>13.547472904887158</v>
      </c>
      <c r="K685" s="1043" t="s">
        <v>6369</v>
      </c>
      <c r="L685" s="264"/>
      <c r="M685" s="1043" t="s">
        <v>6370</v>
      </c>
      <c r="N685">
        <f t="shared" si="33"/>
        <v>5.9536447830950211E-2</v>
      </c>
    </row>
    <row r="686" spans="1:14" ht="15">
      <c r="A686" s="1043" t="s">
        <v>1958</v>
      </c>
      <c r="B686" s="1043" t="s">
        <v>2095</v>
      </c>
      <c r="C686" s="1043">
        <v>0</v>
      </c>
      <c r="E686" t="s">
        <v>6371</v>
      </c>
      <c r="F686" s="1043" t="s">
        <v>6372</v>
      </c>
      <c r="G686" s="264">
        <f t="shared" si="31"/>
        <v>8.3844060287092306E-2</v>
      </c>
      <c r="H686" t="s">
        <v>6373</v>
      </c>
      <c r="I686" t="s">
        <v>6374</v>
      </c>
      <c r="J686">
        <f t="shared" si="32"/>
        <v>3.2545695473759313</v>
      </c>
      <c r="K686" s="1043" t="s">
        <v>6375</v>
      </c>
      <c r="L686" s="264" t="s">
        <v>6376</v>
      </c>
      <c r="M686" s="1043" t="s">
        <v>6377</v>
      </c>
      <c r="N686">
        <f t="shared" si="33"/>
        <v>9.1734470024695633E-2</v>
      </c>
    </row>
    <row r="687" spans="1:14" ht="15">
      <c r="A687" s="1043" t="s">
        <v>1960</v>
      </c>
      <c r="B687" s="1043" t="s">
        <v>6378</v>
      </c>
      <c r="C687" s="1043" t="s">
        <v>6373</v>
      </c>
      <c r="E687" t="s">
        <v>6379</v>
      </c>
      <c r="F687" s="1043" t="s">
        <v>6380</v>
      </c>
      <c r="G687" s="264">
        <f t="shared" si="31"/>
        <v>1.9082173545171003E-2</v>
      </c>
      <c r="H687" t="s">
        <v>6381</v>
      </c>
      <c r="I687" t="s">
        <v>6382</v>
      </c>
      <c r="J687">
        <f t="shared" si="32"/>
        <v>0</v>
      </c>
      <c r="K687" s="1043" t="s">
        <v>6383</v>
      </c>
      <c r="L687" s="264"/>
      <c r="M687" s="1043" t="s">
        <v>6384</v>
      </c>
      <c r="N687">
        <f t="shared" si="33"/>
        <v>0.10440485648207264</v>
      </c>
    </row>
    <row r="688" spans="1:14" ht="15">
      <c r="A688" s="1043" t="s">
        <v>1962</v>
      </c>
      <c r="B688" s="1043" t="s">
        <v>6385</v>
      </c>
      <c r="C688" s="1043" t="s">
        <v>6381</v>
      </c>
      <c r="E688" t="s">
        <v>6386</v>
      </c>
      <c r="F688" s="1061" t="s">
        <v>6387</v>
      </c>
      <c r="G688" s="264">
        <f t="shared" si="31"/>
        <v>3.3283358320839582</v>
      </c>
      <c r="H688">
        <v>0</v>
      </c>
      <c r="I688" t="s">
        <v>6388</v>
      </c>
      <c r="J688">
        <f t="shared" si="32"/>
        <v>0.83418200474649706</v>
      </c>
      <c r="K688" s="1003"/>
      <c r="L688" s="264" t="s">
        <v>6389</v>
      </c>
      <c r="M688" s="1043" t="s">
        <v>6390</v>
      </c>
      <c r="N688">
        <f t="shared" si="33"/>
        <v>-1.3126843657817109</v>
      </c>
    </row>
    <row r="689" spans="1:14" ht="15">
      <c r="A689" s="1043" t="s">
        <v>1964</v>
      </c>
      <c r="B689" s="1053"/>
      <c r="C689" s="1043">
        <v>0</v>
      </c>
      <c r="E689" t="s">
        <v>6391</v>
      </c>
      <c r="F689" s="1043" t="s">
        <v>6392</v>
      </c>
      <c r="G689" s="264">
        <f t="shared" si="31"/>
        <v>5.3983621361072535E-2</v>
      </c>
      <c r="H689" t="s">
        <v>6393</v>
      </c>
      <c r="I689" t="s">
        <v>6394</v>
      </c>
      <c r="J689">
        <f t="shared" si="32"/>
        <v>0.24773772433455329</v>
      </c>
      <c r="K689" s="1043" t="s">
        <v>6395</v>
      </c>
      <c r="L689" s="264"/>
      <c r="M689" s="1043" t="s">
        <v>6396</v>
      </c>
      <c r="N689">
        <f t="shared" si="33"/>
        <v>4.4665428314769648E-2</v>
      </c>
    </row>
    <row r="690" spans="1:14" ht="15">
      <c r="A690" s="1043" t="s">
        <v>1966</v>
      </c>
      <c r="B690" s="1043" t="s">
        <v>2170</v>
      </c>
      <c r="C690" s="1043" t="s">
        <v>6393</v>
      </c>
      <c r="E690" t="s">
        <v>6397</v>
      </c>
      <c r="F690" s="1043" t="s">
        <v>6398</v>
      </c>
      <c r="G690" s="264">
        <f t="shared" si="31"/>
        <v>0.13859472624078023</v>
      </c>
      <c r="H690" t="s">
        <v>6399</v>
      </c>
      <c r="I690" t="s">
        <v>6400</v>
      </c>
      <c r="J690">
        <f t="shared" si="32"/>
        <v>1.1521397908349806</v>
      </c>
      <c r="K690" s="1043" t="s">
        <v>6401</v>
      </c>
      <c r="L690" s="264" t="s">
        <v>6402</v>
      </c>
      <c r="M690" s="1043" t="s">
        <v>6403</v>
      </c>
      <c r="N690">
        <f t="shared" si="33"/>
        <v>0.13340853771782551</v>
      </c>
    </row>
    <row r="691" spans="1:14" ht="15">
      <c r="A691" s="1043" t="s">
        <v>1968</v>
      </c>
      <c r="B691" s="1043" t="s">
        <v>6404</v>
      </c>
      <c r="C691" s="1043" t="s">
        <v>6399</v>
      </c>
      <c r="E691" t="s">
        <v>6405</v>
      </c>
      <c r="F691" s="1043" t="s">
        <v>6406</v>
      </c>
      <c r="G691" s="264">
        <f t="shared" si="31"/>
        <v>0.31859371968883471</v>
      </c>
      <c r="H691" t="s">
        <v>6407</v>
      </c>
      <c r="I691" t="s">
        <v>6408</v>
      </c>
      <c r="J691" t="e">
        <f t="shared" si="32"/>
        <v>#DIV/0!</v>
      </c>
      <c r="K691" s="1043" t="s">
        <v>6409</v>
      </c>
      <c r="L691" s="264" t="s">
        <v>6410</v>
      </c>
      <c r="M691" s="1043" t="s">
        <v>6411</v>
      </c>
      <c r="N691">
        <f t="shared" si="33"/>
        <v>5.7701900139821155E-2</v>
      </c>
    </row>
    <row r="692" spans="1:14" ht="15">
      <c r="A692" s="1043" t="s">
        <v>1970</v>
      </c>
      <c r="B692" s="1043" t="s">
        <v>6412</v>
      </c>
      <c r="C692" s="1043" t="s">
        <v>6407</v>
      </c>
      <c r="F692" s="1053"/>
      <c r="G692" s="264" t="e">
        <f t="shared" si="31"/>
        <v>#DIV/0!</v>
      </c>
      <c r="J692">
        <f t="shared" si="32"/>
        <v>1.921042035589011</v>
      </c>
      <c r="K692" s="1043" t="s">
        <v>6413</v>
      </c>
      <c r="L692" s="264"/>
      <c r="M692" s="1003"/>
      <c r="N692" t="e">
        <f t="shared" si="33"/>
        <v>#DIV/0!</v>
      </c>
    </row>
    <row r="693" spans="1:14" ht="15">
      <c r="A693" s="1043" t="s">
        <v>1972</v>
      </c>
      <c r="B693" s="1053"/>
      <c r="C693" s="1053"/>
      <c r="E693" t="s">
        <v>6414</v>
      </c>
      <c r="F693" s="1043" t="s">
        <v>6415</v>
      </c>
      <c r="G693" s="264">
        <f t="shared" si="31"/>
        <v>0.10518738571167359</v>
      </c>
      <c r="H693" t="s">
        <v>6416</v>
      </c>
      <c r="I693" t="s">
        <v>6417</v>
      </c>
      <c r="J693">
        <f t="shared" si="32"/>
        <v>11.383926337525043</v>
      </c>
      <c r="K693" s="1043" t="s">
        <v>6418</v>
      </c>
      <c r="L693" s="264"/>
      <c r="M693" s="1043" t="s">
        <v>6419</v>
      </c>
      <c r="N693">
        <f t="shared" si="33"/>
        <v>0.18067738408971437</v>
      </c>
    </row>
    <row r="694" spans="1:14" ht="15">
      <c r="A694" s="1043" t="s">
        <v>1974</v>
      </c>
      <c r="B694" s="1043" t="s">
        <v>2229</v>
      </c>
      <c r="C694" s="1043" t="s">
        <v>6416</v>
      </c>
      <c r="E694" t="s">
        <v>6420</v>
      </c>
      <c r="F694" s="1043" t="s">
        <v>6421</v>
      </c>
      <c r="G694" s="264">
        <f t="shared" si="31"/>
        <v>0.11374075884007484</v>
      </c>
      <c r="H694" t="s">
        <v>6422</v>
      </c>
      <c r="I694" t="s">
        <v>6423</v>
      </c>
      <c r="J694">
        <f t="shared" si="32"/>
        <v>5.8931835362843668</v>
      </c>
      <c r="K694" s="1043" t="s">
        <v>6424</v>
      </c>
      <c r="L694" s="264" t="s">
        <v>5482</v>
      </c>
      <c r="M694" s="1043" t="s">
        <v>6425</v>
      </c>
      <c r="N694">
        <f t="shared" si="33"/>
        <v>2.8759873569204588E-2</v>
      </c>
    </row>
    <row r="695" spans="1:14" ht="15">
      <c r="A695" s="1043" t="s">
        <v>1976</v>
      </c>
      <c r="B695" s="1043" t="s">
        <v>6426</v>
      </c>
      <c r="C695" s="1043" t="s">
        <v>6422</v>
      </c>
      <c r="E695" t="s">
        <v>6427</v>
      </c>
      <c r="F695" s="1043" t="s">
        <v>6428</v>
      </c>
      <c r="G695" s="264">
        <f t="shared" si="31"/>
        <v>2.1020056573435329E-2</v>
      </c>
      <c r="H695" t="s">
        <v>6429</v>
      </c>
      <c r="I695" t="s">
        <v>6430</v>
      </c>
      <c r="J695">
        <f t="shared" si="32"/>
        <v>7.5676970095167153</v>
      </c>
      <c r="K695" s="1043" t="s">
        <v>6431</v>
      </c>
      <c r="L695" s="264"/>
      <c r="M695" s="1043" t="s">
        <v>6432</v>
      </c>
      <c r="N695">
        <f t="shared" si="33"/>
        <v>5.7910436840027746E-3</v>
      </c>
    </row>
    <row r="696" spans="1:14" ht="15">
      <c r="A696" s="1043" t="s">
        <v>1978</v>
      </c>
      <c r="B696" s="1043" t="s">
        <v>6433</v>
      </c>
      <c r="C696" s="1043" t="s">
        <v>6429</v>
      </c>
      <c r="E696" t="s">
        <v>6434</v>
      </c>
      <c r="F696" s="1043" t="s">
        <v>6435</v>
      </c>
      <c r="G696" s="264">
        <f t="shared" si="31"/>
        <v>0.13787812305610128</v>
      </c>
      <c r="H696" t="s">
        <v>6436</v>
      </c>
      <c r="I696" t="s">
        <v>6437</v>
      </c>
      <c r="J696">
        <f t="shared" si="32"/>
        <v>1.6771594364284674</v>
      </c>
      <c r="K696" s="1043" t="s">
        <v>6438</v>
      </c>
      <c r="L696" s="264"/>
      <c r="M696" s="1043" t="s">
        <v>6439</v>
      </c>
      <c r="N696">
        <f t="shared" si="33"/>
        <v>0.10714175565189621</v>
      </c>
    </row>
    <row r="697" spans="1:14" ht="15">
      <c r="A697" s="1043" t="s">
        <v>1980</v>
      </c>
      <c r="B697" s="1043" t="s">
        <v>6440</v>
      </c>
      <c r="C697" s="1043" t="s">
        <v>6436</v>
      </c>
      <c r="E697" t="s">
        <v>6441</v>
      </c>
      <c r="F697" s="1043" t="s">
        <v>6442</v>
      </c>
      <c r="G697" s="264">
        <f t="shared" si="31"/>
        <v>0.27550639585730863</v>
      </c>
      <c r="H697" t="s">
        <v>6443</v>
      </c>
      <c r="I697" t="s">
        <v>6444</v>
      </c>
      <c r="J697" t="e">
        <f t="shared" si="32"/>
        <v>#DIV/0!</v>
      </c>
      <c r="K697" s="1043" t="s">
        <v>6445</v>
      </c>
      <c r="L697" s="264" t="s">
        <v>4886</v>
      </c>
      <c r="M697" s="1043" t="s">
        <v>6446</v>
      </c>
      <c r="N697">
        <f t="shared" si="33"/>
        <v>0.22969115710787924</v>
      </c>
    </row>
    <row r="698" spans="1:14" ht="15">
      <c r="A698" s="1043" t="s">
        <v>1982</v>
      </c>
      <c r="B698" s="1043" t="s">
        <v>4744</v>
      </c>
      <c r="C698" s="1043" t="s">
        <v>6443</v>
      </c>
      <c r="F698" s="1053"/>
      <c r="G698" s="264" t="e">
        <f t="shared" si="31"/>
        <v>#DIV/0!</v>
      </c>
      <c r="J698">
        <f t="shared" si="32"/>
        <v>2.4299983567617534</v>
      </c>
      <c r="K698" s="1043" t="s">
        <v>6447</v>
      </c>
      <c r="L698" s="264"/>
      <c r="M698" s="1003"/>
      <c r="N698" t="e">
        <f t="shared" si="33"/>
        <v>#DIV/0!</v>
      </c>
    </row>
    <row r="699" spans="1:14" ht="15">
      <c r="A699" s="1043" t="s">
        <v>1984</v>
      </c>
      <c r="B699" s="1053"/>
      <c r="C699" s="1053"/>
      <c r="E699" t="s">
        <v>6448</v>
      </c>
      <c r="F699" s="1043" t="s">
        <v>6449</v>
      </c>
      <c r="G699" s="264">
        <f t="shared" si="31"/>
        <v>1.4052649960299344</v>
      </c>
      <c r="H699" t="s">
        <v>6450</v>
      </c>
      <c r="I699" t="s">
        <v>6451</v>
      </c>
      <c r="J699">
        <f t="shared" si="32"/>
        <v>2.6476921132565168</v>
      </c>
      <c r="K699" s="1043" t="s">
        <v>6452</v>
      </c>
      <c r="L699" s="264"/>
      <c r="M699" s="1043" t="s">
        <v>6453</v>
      </c>
      <c r="N699">
        <f t="shared" si="33"/>
        <v>0.11666327209474707</v>
      </c>
    </row>
    <row r="700" spans="1:14" ht="15">
      <c r="A700" s="1043" t="s">
        <v>1986</v>
      </c>
      <c r="B700" s="1043" t="s">
        <v>6454</v>
      </c>
      <c r="C700" s="1043" t="s">
        <v>6450</v>
      </c>
      <c r="E700" t="s">
        <v>6455</v>
      </c>
      <c r="F700" s="1043" t="s">
        <v>6456</v>
      </c>
      <c r="G700" s="264">
        <f t="shared" si="31"/>
        <v>0.27861334655448278</v>
      </c>
      <c r="H700" t="s">
        <v>6457</v>
      </c>
      <c r="I700" t="s">
        <v>6458</v>
      </c>
      <c r="J700">
        <f t="shared" si="32"/>
        <v>34.371317454997268</v>
      </c>
      <c r="K700" s="1043" t="s">
        <v>6459</v>
      </c>
      <c r="L700" s="264"/>
      <c r="M700" s="1043" t="s">
        <v>6460</v>
      </c>
      <c r="N700">
        <f t="shared" si="33"/>
        <v>0.10205901659414579</v>
      </c>
    </row>
    <row r="701" spans="1:14" ht="15">
      <c r="A701" s="1043" t="s">
        <v>1988</v>
      </c>
      <c r="B701" s="1043" t="s">
        <v>6461</v>
      </c>
      <c r="C701" s="1043" t="s">
        <v>6457</v>
      </c>
      <c r="E701" t="s">
        <v>6462</v>
      </c>
      <c r="F701" s="1043" t="s">
        <v>6463</v>
      </c>
      <c r="G701" s="264">
        <f t="shared" si="31"/>
        <v>-7.9124841558085315E-2</v>
      </c>
      <c r="H701" t="s">
        <v>6464</v>
      </c>
      <c r="I701" t="s">
        <v>6465</v>
      </c>
      <c r="J701">
        <f t="shared" si="32"/>
        <v>175.83096380355983</v>
      </c>
      <c r="K701" s="1043" t="s">
        <v>6466</v>
      </c>
      <c r="L701" s="264"/>
      <c r="M701" s="1043" t="s">
        <v>6467</v>
      </c>
      <c r="N701">
        <f t="shared" si="33"/>
        <v>5.1245005109481732E-3</v>
      </c>
    </row>
    <row r="702" spans="1:14" ht="15">
      <c r="A702" s="1043" t="s">
        <v>1990</v>
      </c>
      <c r="B702" s="1043" t="s">
        <v>2015</v>
      </c>
      <c r="C702" s="1043" t="s">
        <v>6464</v>
      </c>
      <c r="E702" t="s">
        <v>6468</v>
      </c>
      <c r="F702" s="1043" t="s">
        <v>6469</v>
      </c>
      <c r="G702" s="264">
        <f t="shared" si="31"/>
        <v>1.2707868246643794E-3</v>
      </c>
      <c r="H702" t="s">
        <v>6470</v>
      </c>
      <c r="I702" t="s">
        <v>6471</v>
      </c>
      <c r="J702">
        <f t="shared" si="32"/>
        <v>2.7863528955204155</v>
      </c>
      <c r="K702" s="1043" t="s">
        <v>6472</v>
      </c>
      <c r="L702" s="264" t="s">
        <v>6473</v>
      </c>
      <c r="M702" s="1043" t="s">
        <v>6474</v>
      </c>
      <c r="N702">
        <f t="shared" si="33"/>
        <v>0.24003834197378759</v>
      </c>
    </row>
    <row r="703" spans="1:14" ht="15">
      <c r="A703" s="1043" t="s">
        <v>1992</v>
      </c>
      <c r="B703" s="1043" t="s">
        <v>6475</v>
      </c>
      <c r="C703" s="1043" t="s">
        <v>6470</v>
      </c>
      <c r="E703" t="s">
        <v>6476</v>
      </c>
      <c r="F703" s="1043" t="s">
        <v>6477</v>
      </c>
      <c r="G703" s="264">
        <f t="shared" si="31"/>
        <v>0.39656002101320581</v>
      </c>
      <c r="H703" t="s">
        <v>6478</v>
      </c>
      <c r="I703" t="s">
        <v>6479</v>
      </c>
      <c r="J703" t="e">
        <f t="shared" si="32"/>
        <v>#DIV/0!</v>
      </c>
      <c r="K703" s="1043" t="s">
        <v>6480</v>
      </c>
      <c r="L703" s="264"/>
      <c r="M703" s="1043" t="s">
        <v>6481</v>
      </c>
      <c r="N703">
        <f t="shared" si="33"/>
        <v>0.19683850987626983</v>
      </c>
    </row>
    <row r="704" spans="1:14" ht="15">
      <c r="A704" s="1055" t="s">
        <v>1994</v>
      </c>
      <c r="B704" s="1043" t="s">
        <v>6482</v>
      </c>
      <c r="C704" s="1043" t="s">
        <v>6478</v>
      </c>
      <c r="F704" s="1062"/>
      <c r="G704" s="264" t="e">
        <f t="shared" si="31"/>
        <v>#DIV/0!</v>
      </c>
      <c r="J704" t="e">
        <f t="shared" si="32"/>
        <v>#DIV/0!</v>
      </c>
      <c r="K704" s="995"/>
      <c r="L704" s="264"/>
      <c r="M704" s="995"/>
      <c r="N704" t="e">
        <f t="shared" si="33"/>
        <v>#DIV/0!</v>
      </c>
    </row>
    <row r="705" spans="2:14">
      <c r="B705" s="1062"/>
      <c r="C705" s="1062"/>
      <c r="G705" t="e">
        <f t="shared" si="31"/>
        <v>#DIV/0!</v>
      </c>
      <c r="J705" t="e">
        <f t="shared" si="32"/>
        <v>#DIV/0!</v>
      </c>
      <c r="N705" t="e">
        <f t="shared" si="33"/>
        <v>#DIV/0!</v>
      </c>
    </row>
  </sheetData>
  <dataValidations count="2">
    <dataValidation allowBlank="1" showInputMessage="1" showErrorMessage="1" sqref="F3:F14" xr:uid="{8480735A-F6E6-4F26-904F-71360BEBE8CE}"/>
    <dataValidation type="decimal" allowBlank="1" showInputMessage="1" showErrorMessage="1" sqref="E2:E17" xr:uid="{6F92E2E1-1D91-4FBD-89F5-6B1DF649DA24}">
      <formula1>$E$2</formula1>
      <formula2>$E$6</formula2>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J137"/>
  <sheetViews>
    <sheetView showGridLines="0" zoomScaleNormal="100" workbookViewId="0">
      <selection activeCell="B56" sqref="B56"/>
    </sheetView>
  </sheetViews>
  <sheetFormatPr defaultColWidth="9.140625" defaultRowHeight="12.75"/>
  <cols>
    <col min="1" max="1" width="9.140625" style="546"/>
    <col min="2" max="2" width="19.7109375" style="546" customWidth="1"/>
    <col min="3" max="28" width="12.7109375" style="546" customWidth="1"/>
    <col min="29" max="35" width="12.28515625" style="546" bestFit="1" customWidth="1"/>
    <col min="36" max="16384" width="9.140625" style="546"/>
  </cols>
  <sheetData>
    <row r="2" spans="1:35" s="545" customFormat="1" ht="12.6" customHeight="1">
      <c r="A2" s="542"/>
      <c r="B2" s="543" t="s">
        <v>6483</v>
      </c>
      <c r="C2" s="544"/>
      <c r="D2" s="542"/>
      <c r="E2" s="542"/>
      <c r="F2" s="542"/>
      <c r="G2" s="542"/>
      <c r="H2" s="542"/>
      <c r="I2" s="542"/>
      <c r="J2" s="542"/>
      <c r="K2" s="542"/>
      <c r="L2" s="542"/>
      <c r="M2" s="542"/>
      <c r="N2" s="542"/>
      <c r="O2" s="542"/>
      <c r="P2" s="542"/>
      <c r="Q2" s="542"/>
      <c r="R2" s="542"/>
      <c r="S2" s="542"/>
      <c r="T2" s="542"/>
      <c r="U2" s="542"/>
      <c r="V2" s="542"/>
      <c r="W2" s="542"/>
      <c r="X2" s="542"/>
      <c r="Y2" s="542"/>
      <c r="Z2" s="542"/>
      <c r="AA2" s="542"/>
      <c r="AB2" s="542"/>
      <c r="AC2" s="542"/>
      <c r="AD2" s="542"/>
      <c r="AE2" s="542"/>
      <c r="AF2" s="542"/>
      <c r="AG2" s="542"/>
      <c r="AH2" s="542"/>
      <c r="AI2" s="542"/>
    </row>
    <row r="3" spans="1:35" ht="12.6" customHeight="1">
      <c r="C3" s="547"/>
    </row>
    <row r="4" spans="1:35">
      <c r="B4" s="546" t="s">
        <v>6484</v>
      </c>
      <c r="F4" s="548"/>
      <c r="G4" s="549"/>
      <c r="H4" s="549"/>
      <c r="I4" s="549"/>
      <c r="J4" s="549"/>
      <c r="K4" s="549"/>
      <c r="L4" s="549"/>
    </row>
    <row r="5" spans="1:35">
      <c r="B5" s="550"/>
      <c r="G5" s="551"/>
      <c r="H5" s="551"/>
      <c r="I5" s="551"/>
      <c r="J5" s="551"/>
      <c r="K5" s="551"/>
      <c r="L5" s="551"/>
    </row>
    <row r="6" spans="1:35">
      <c r="B6" s="546" t="s">
        <v>6485</v>
      </c>
    </row>
    <row r="8" spans="1:35">
      <c r="B8" s="549"/>
      <c r="C8" s="570">
        <v>2022</v>
      </c>
      <c r="D8" s="570">
        <f>C8-1</f>
        <v>2021</v>
      </c>
      <c r="E8" s="570">
        <f t="shared" ref="E8:G8" si="0">D8-1</f>
        <v>2020</v>
      </c>
      <c r="F8" s="570">
        <f t="shared" si="0"/>
        <v>2019</v>
      </c>
      <c r="G8" s="570">
        <f t="shared" si="0"/>
        <v>2018</v>
      </c>
      <c r="I8" s="569" t="s">
        <v>6486</v>
      </c>
      <c r="K8" s="564" t="s">
        <v>6487</v>
      </c>
      <c r="L8" s="564" t="s">
        <v>6488</v>
      </c>
    </row>
    <row r="9" spans="1:35">
      <c r="B9" s="568" t="s">
        <v>6489</v>
      </c>
      <c r="C9" s="264">
        <f>(Inputs!B6-Inputs!C6)/Inputs!C6</f>
        <v>0.14649045295631785</v>
      </c>
      <c r="D9" s="264">
        <f>(Inputs!C6-Inputs!D6)/Inputs!D6</f>
        <v>0.27212746200087984</v>
      </c>
      <c r="E9" s="264">
        <f>(Inputs!D6-Inputs!E6)/Inputs!E6</f>
        <v>0.42050819216884183</v>
      </c>
      <c r="F9" s="264">
        <f>(Inputs!E6-Inputs!F6)/Inputs!F6</f>
        <v>-0.1150703446581065</v>
      </c>
      <c r="G9" s="264">
        <f>(Inputs!F6-Inputs!G6)/Inputs!G6</f>
        <v>0.14618688824730663</v>
      </c>
      <c r="H9" s="264"/>
      <c r="I9" s="551">
        <f>AVERAGE(C9:G9)</f>
        <v>0.17404853014304794</v>
      </c>
      <c r="K9" s="769">
        <f>AVERAGE(Assumptions!C43:F43)</f>
        <v>0.1275</v>
      </c>
      <c r="L9" s="769">
        <f>AVERAGE(H43:AB43)</f>
        <v>5.1499999999999976E-2</v>
      </c>
    </row>
    <row r="10" spans="1:35" ht="10.5" customHeight="1">
      <c r="B10" s="568" t="s">
        <v>127</v>
      </c>
      <c r="C10" s="264">
        <f>Inputs!B8/Inputs!B6</f>
        <v>0.29952382548086592</v>
      </c>
      <c r="D10" s="264">
        <f>Inputs!C8/Inputs!C6</f>
        <v>0.29755272964770063</v>
      </c>
      <c r="E10" s="264">
        <f>Inputs!D8/Inputs!D6</f>
        <v>0.28307511851815653</v>
      </c>
      <c r="F10" s="264">
        <f>Inputs!E8/Inputs!E6</f>
        <v>0.25603998889197443</v>
      </c>
      <c r="G10" s="264">
        <f>Inputs!F8/Inputs!F6</f>
        <v>0.30214412975364008</v>
      </c>
      <c r="H10" s="264"/>
      <c r="I10" s="551">
        <f>AVERAGE(C10:G10)</f>
        <v>0.28766715845846752</v>
      </c>
      <c r="K10" s="769">
        <f>AVERAGE(C77:G77)</f>
        <v>0.28999999999999998</v>
      </c>
      <c r="L10" s="769">
        <f>AVERAGE(H77:AB77)</f>
        <v>0.22499999999999989</v>
      </c>
    </row>
    <row r="13" spans="1:35" s="545" customFormat="1" ht="15">
      <c r="A13" s="542"/>
      <c r="B13" s="544" t="s">
        <v>6490</v>
      </c>
      <c r="C13" s="544"/>
      <c r="D13" s="542"/>
      <c r="E13" s="542"/>
      <c r="F13" s="542"/>
      <c r="G13" s="542"/>
      <c r="H13" s="542"/>
      <c r="I13" s="542"/>
      <c r="J13" s="542"/>
      <c r="K13" s="542"/>
      <c r="L13" s="542"/>
      <c r="M13" s="542"/>
      <c r="N13" s="542"/>
      <c r="O13" s="542"/>
      <c r="P13" s="542"/>
      <c r="Q13" s="542"/>
      <c r="R13" s="542"/>
      <c r="S13" s="542"/>
      <c r="T13" s="542"/>
      <c r="U13" s="542"/>
      <c r="V13" s="542"/>
      <c r="W13" s="542"/>
      <c r="X13" s="542"/>
      <c r="Y13" s="542"/>
      <c r="Z13" s="542"/>
      <c r="AA13" s="542"/>
      <c r="AB13" s="542"/>
      <c r="AC13" s="542"/>
      <c r="AD13" s="542"/>
      <c r="AE13" s="542"/>
      <c r="AF13" s="542"/>
      <c r="AG13" s="542"/>
      <c r="AH13" s="542"/>
      <c r="AI13" s="542"/>
    </row>
    <row r="14" spans="1:35" ht="15">
      <c r="A14" s="566"/>
      <c r="B14" s="567"/>
      <c r="C14" s="567"/>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row>
    <row r="15" spans="1:35" ht="15">
      <c r="C15" s="1368" t="s">
        <v>6491</v>
      </c>
      <c r="D15" s="1368"/>
      <c r="E15" s="1368"/>
      <c r="F15" s="1368"/>
      <c r="G15" s="1368"/>
    </row>
    <row r="16" spans="1:35" ht="25.5">
      <c r="B16" s="552"/>
      <c r="C16" s="563">
        <v>2023</v>
      </c>
      <c r="D16" s="563">
        <v>2022</v>
      </c>
      <c r="E16" s="563">
        <v>2021</v>
      </c>
      <c r="F16" s="563">
        <v>2020</v>
      </c>
      <c r="G16" s="563">
        <v>2019</v>
      </c>
      <c r="H16" s="553"/>
      <c r="I16" s="571" t="s">
        <v>215</v>
      </c>
      <c r="K16" s="863" t="s">
        <v>6487</v>
      </c>
      <c r="L16" s="863" t="s">
        <v>6488</v>
      </c>
      <c r="N16" s="626" t="s">
        <v>6492</v>
      </c>
    </row>
    <row r="17" spans="1:36" ht="15">
      <c r="B17" s="568" t="s">
        <v>476</v>
      </c>
      <c r="C17" s="554">
        <f>-DCF!F9/'Fin. Data'!B42</f>
        <v>0.24509829280910503</v>
      </c>
      <c r="D17" s="554">
        <f>-DCF!E9/Inputs!C33</f>
        <v>0.22592275476966031</v>
      </c>
      <c r="E17" s="554">
        <f>-DCF!D9/Inputs!D33</f>
        <v>0.22804773896857553</v>
      </c>
      <c r="F17" s="554">
        <f>185.302/Inputs!E33</f>
        <v>0.23076587790337827</v>
      </c>
      <c r="G17" s="554">
        <f>157.532/Inputs!F33</f>
        <v>0.19532796032238067</v>
      </c>
      <c r="I17" s="768">
        <f>AVERAGE(C17:G17)</f>
        <v>0.22503252495461998</v>
      </c>
      <c r="K17" s="565"/>
      <c r="L17" s="565"/>
      <c r="N17" s="625" t="s">
        <v>6493</v>
      </c>
      <c r="AJ17" s="556"/>
    </row>
    <row r="18" spans="1:36" ht="15">
      <c r="B18" s="568" t="s">
        <v>477</v>
      </c>
      <c r="C18" s="554">
        <f>-DCF!F10/'Balance Sheet'!B52</f>
        <v>2.10381119438686E-2</v>
      </c>
      <c r="D18" s="554">
        <f>-DCF!E10/'Balance Sheet'!C52</f>
        <v>1.8284794983912219E-2</v>
      </c>
      <c r="E18" s="554">
        <f>-DCF!D10/1673.491</f>
        <v>2.2852229262063557E-2</v>
      </c>
      <c r="F18" s="554">
        <f>15.674/437.89</f>
        <v>3.5794377583411356E-2</v>
      </c>
      <c r="G18" s="554">
        <f>(13.591)/434.972</f>
        <v>3.1245689377707071E-2</v>
      </c>
      <c r="I18" s="768">
        <v>2.5999999999999999E-2</v>
      </c>
      <c r="K18" s="565">
        <v>2.5999999999999999E-2</v>
      </c>
      <c r="L18" s="565">
        <v>2.5999999999999999E-2</v>
      </c>
      <c r="N18" s="625" t="s">
        <v>6494</v>
      </c>
    </row>
    <row r="19" spans="1:36" ht="15">
      <c r="A19" s="901"/>
      <c r="B19" s="902" t="s">
        <v>478</v>
      </c>
      <c r="C19" s="554">
        <f>DCF!F11/Inputs!B6</f>
        <v>-1.340392735071376E-2</v>
      </c>
      <c r="D19" s="554">
        <f>DCF!E11/Inputs!C6</f>
        <v>-1.4214914134234891E-2</v>
      </c>
      <c r="E19" s="554">
        <f>DCF!D11/Inputs!D6</f>
        <v>-1.3977811446165878E-2</v>
      </c>
      <c r="F19" s="554">
        <f>31/Inputs!E6</f>
        <v>2.1521799500138848E-2</v>
      </c>
      <c r="G19" s="554">
        <f>29.4/Inputs!F6</f>
        <v>1.806229649198255E-2</v>
      </c>
      <c r="I19" s="768">
        <f t="shared" ref="I19:I27" si="1">AVERAGE(C19:G19)</f>
        <v>-4.0251138779862636E-4</v>
      </c>
      <c r="K19" s="846">
        <v>1.4E-2</v>
      </c>
      <c r="L19" s="846">
        <v>1.4E-2</v>
      </c>
      <c r="N19" s="625" t="s">
        <v>6495</v>
      </c>
    </row>
    <row r="20" spans="1:36" ht="12.6" customHeight="1">
      <c r="B20" s="568" t="s">
        <v>479</v>
      </c>
      <c r="C20" s="554">
        <f>-'Fin. Data'!B21/(-'Fin. Data'!B21+'Fin. Data'!B23)</f>
        <v>0.29716744921117677</v>
      </c>
      <c r="D20" s="554">
        <f>-'Fin. Data'!C21/(-'Fin. Data'!C21+'Fin. Data'!C23)</f>
        <v>0.18814398501271232</v>
      </c>
      <c r="E20" s="554">
        <f>-'Fin. Data'!D21/(-'Fin. Data'!D21+'Fin. Data'!D23)</f>
        <v>0.2941529918408417</v>
      </c>
      <c r="F20" s="554">
        <f>-'Fin. Data'!E21/(-'Fin. Data'!E21+'Fin. Data'!E23)</f>
        <v>0.13053545586107099</v>
      </c>
      <c r="G20" s="554">
        <f>-'Fin. Data'!F21/(-'Fin. Data'!F21+'Fin. Data'!F23)</f>
        <v>0.2379434884214999</v>
      </c>
      <c r="I20" s="768">
        <f t="shared" si="1"/>
        <v>0.22958867406946032</v>
      </c>
      <c r="K20" s="565">
        <f>I20</f>
        <v>0.22958867406946032</v>
      </c>
      <c r="L20" s="565">
        <f>I20</f>
        <v>0.22958867406946032</v>
      </c>
      <c r="N20" s="625" t="s">
        <v>6496</v>
      </c>
    </row>
    <row r="21" spans="1:36" ht="15">
      <c r="B21" s="568" t="s">
        <v>480</v>
      </c>
      <c r="C21" s="554">
        <f>(-'Income Statement'!C40)/('Balance Sheet'!B78)</f>
        <v>2.8812445223488171E-2</v>
      </c>
      <c r="D21" s="554">
        <f>(-'Income Statement'!D40)/('Balance Sheet'!C78)</f>
        <v>2.5495130758288655E-2</v>
      </c>
      <c r="E21" s="554">
        <f>(-'Income Statement'!E40)/('Balance Sheet'!D78)</f>
        <v>3.2244497406420866E-2</v>
      </c>
      <c r="F21" s="554">
        <f>(-'Income Statement'!F40)/('Balance Sheet'!E78)</f>
        <v>2.9371954520844613E-2</v>
      </c>
      <c r="G21" s="554">
        <f>(-'Income Statement'!G40)/('Balance Sheet'!F78)</f>
        <v>1.3485477178423235E-2</v>
      </c>
      <c r="I21" s="768">
        <f t="shared" si="1"/>
        <v>2.588190101749311E-2</v>
      </c>
      <c r="K21" s="846">
        <v>0.03</v>
      </c>
      <c r="L21" s="846">
        <v>0.04</v>
      </c>
      <c r="N21" s="625" t="s">
        <v>6497</v>
      </c>
    </row>
    <row r="22" spans="1:36" ht="15">
      <c r="B22" s="568" t="s">
        <v>481</v>
      </c>
      <c r="C22" s="554">
        <f>-'Income Statement'!C40/Inputs!B28</f>
        <v>2.6331624280761197E-2</v>
      </c>
      <c r="D22" s="554">
        <f>-'Income Statement'!D40/Inputs!C28</f>
        <v>2.6409628066293832E-2</v>
      </c>
      <c r="E22" s="554">
        <f>-'Income Statement'!E40/Inputs!D28</f>
        <v>2.4659590436367534E-2</v>
      </c>
      <c r="F22" s="554">
        <f>-'Income Statement'!F40/Inputs!E28</f>
        <v>2.3497563616675689E-2</v>
      </c>
      <c r="G22" s="554">
        <f>-'Income Statement'!G40/Inputs!F28</f>
        <v>1.712779973649539E-3</v>
      </c>
      <c r="I22" s="768">
        <f t="shared" si="1"/>
        <v>2.0522237274749559E-2</v>
      </c>
      <c r="K22" s="846">
        <v>0.02</v>
      </c>
      <c r="L22" s="846">
        <v>0.02</v>
      </c>
      <c r="N22" s="625" t="s">
        <v>6498</v>
      </c>
    </row>
    <row r="23" spans="1:36" ht="15">
      <c r="B23" s="568" t="s">
        <v>482</v>
      </c>
      <c r="C23" s="554">
        <f>Inputs!B62/(Inputs!B6-Inputs!C6)</f>
        <v>-0.12726462103330721</v>
      </c>
      <c r="D23" s="554">
        <f>Inputs!C62/(Inputs!C6-Inputs!D6)</f>
        <v>-7.6925287356321814E-2</v>
      </c>
      <c r="E23" s="554">
        <f>Inputs!D62/(Inputs!D6-Inputs!E6)</f>
        <v>0.15238732045567116</v>
      </c>
      <c r="F23" s="554">
        <f>Inputs!E62/(Inputs!E6-Inputs!F6)</f>
        <v>0.19671649759743731</v>
      </c>
      <c r="G23" s="554">
        <f>Inputs!F62/(Inputs!F6-Inputs!G6)</f>
        <v>-0.12022639691714829</v>
      </c>
      <c r="I23" s="768">
        <f t="shared" si="1"/>
        <v>4.9375025492662313E-3</v>
      </c>
      <c r="K23" s="565">
        <f>AVERAGE(C23:E23)</f>
        <v>-1.726752931131929E-2</v>
      </c>
      <c r="L23" s="565">
        <f>I23</f>
        <v>4.9375025492662313E-3</v>
      </c>
      <c r="N23" s="625" t="s">
        <v>6499</v>
      </c>
    </row>
    <row r="24" spans="1:36" ht="12.6" customHeight="1">
      <c r="B24" s="568" t="s">
        <v>6500</v>
      </c>
      <c r="C24" s="554">
        <f>Inputs!B65/Inputs!B6</f>
        <v>-5.8307083975604856E-2</v>
      </c>
      <c r="D24" s="554">
        <f>Inputs!C65/Inputs!C6</f>
        <v>-6.419378385646779E-2</v>
      </c>
      <c r="E24" s="554">
        <f>Inputs!D65/Inputs!D6</f>
        <v>-6.0935926885293978E-2</v>
      </c>
      <c r="F24" s="554">
        <f>Inputs!E65/Inputs!E6</f>
        <v>-6.2739516800888642E-2</v>
      </c>
      <c r="G24" s="554">
        <f>Inputs!F65/Inputs!F6</f>
        <v>-7.4215150211955516E-2</v>
      </c>
      <c r="I24" s="768">
        <f t="shared" si="1"/>
        <v>-6.4078292346042148E-2</v>
      </c>
      <c r="K24" s="565">
        <v>-7.0000000000000007E-2</v>
      </c>
      <c r="L24" s="565">
        <v>-0.09</v>
      </c>
      <c r="N24" s="625" t="s">
        <v>6495</v>
      </c>
    </row>
    <row r="25" spans="1:36" ht="15">
      <c r="B25" s="568" t="s">
        <v>484</v>
      </c>
      <c r="C25" s="554">
        <f>Inputs!B66/Inputs!B6</f>
        <v>0</v>
      </c>
      <c r="D25" s="554">
        <f>Inputs!C66/Inputs!C6</f>
        <v>0</v>
      </c>
      <c r="E25" s="554">
        <f>Inputs!D66/Inputs!D6</f>
        <v>-0.24275450857729339</v>
      </c>
      <c r="F25" s="554">
        <f>Inputs!E66/Inputs!E6</f>
        <v>0</v>
      </c>
      <c r="G25" s="554">
        <f>Inputs!F66/Inputs!F6</f>
        <v>0</v>
      </c>
      <c r="I25" s="768">
        <f t="shared" si="1"/>
        <v>-4.8550901715458679E-2</v>
      </c>
      <c r="K25" s="565">
        <v>0</v>
      </c>
      <c r="L25" s="565">
        <v>0</v>
      </c>
      <c r="N25" s="625" t="s">
        <v>6495</v>
      </c>
    </row>
    <row r="26" spans="1:36" ht="15">
      <c r="B26" s="568" t="s">
        <v>137</v>
      </c>
      <c r="C26" s="554">
        <f>'Fin. Data'!B27/'Fin. Data'!B23</f>
        <v>-0.49580753385594123</v>
      </c>
      <c r="D26" s="554">
        <f>'Fin. Data'!C27/'Fin. Data'!C23</f>
        <v>-0.26530410417010053</v>
      </c>
      <c r="E26" s="554">
        <f>'Fin. Data'!D27/'Fin. Data'!D23</f>
        <v>-0.30665535037722375</v>
      </c>
      <c r="F26" s="554">
        <f>'Fin. Data'!E27/'Fin. Data'!E23</f>
        <v>0</v>
      </c>
      <c r="G26" s="554">
        <f>'Fin. Data'!F27/'Fin. Data'!F23</f>
        <v>-0.28355171452467243</v>
      </c>
      <c r="I26" s="768">
        <f t="shared" si="1"/>
        <v>-0.27026374058558755</v>
      </c>
      <c r="K26" s="846">
        <v>-0.3</v>
      </c>
      <c r="L26" s="846">
        <v>-0.4</v>
      </c>
      <c r="N26" s="625" t="s">
        <v>6501</v>
      </c>
    </row>
    <row r="27" spans="1:36" ht="15">
      <c r="B27" s="568" t="s">
        <v>485</v>
      </c>
      <c r="C27" s="554">
        <f>+'Fin. Data'!B28/'Fin. Data'!B23</f>
        <v>-4.9842220773257111E-2</v>
      </c>
      <c r="D27" s="554">
        <f>+'Fin. Data'!C28/'Fin. Data'!C23</f>
        <v>-7.9696719960441725E-2</v>
      </c>
      <c r="E27" s="554">
        <f>+'Fin. Data'!D28/'Fin. Data'!D23</f>
        <v>0</v>
      </c>
      <c r="F27" s="554">
        <f>+'Fin. Data'!E28/'Fin. Data'!E23</f>
        <v>0</v>
      </c>
      <c r="G27" s="554">
        <f>+'Fin. Data'!F28/'Fin. Data'!F23</f>
        <v>-4.2096459436855312E-2</v>
      </c>
      <c r="I27" s="768">
        <f t="shared" si="1"/>
        <v>-3.4327080034110828E-2</v>
      </c>
      <c r="K27" s="846">
        <v>0.04</v>
      </c>
      <c r="L27" s="846">
        <v>0.03</v>
      </c>
      <c r="N27" s="625" t="s">
        <v>6501</v>
      </c>
    </row>
    <row r="28" spans="1:36" ht="15">
      <c r="B28" s="568" t="s">
        <v>486</v>
      </c>
      <c r="C28" s="554">
        <f>+C133/C134</f>
        <v>3.5140830292140747E-2</v>
      </c>
      <c r="D28" s="554">
        <f>+D133/D134</f>
        <v>2.6149909430564826E-2</v>
      </c>
      <c r="E28" s="554">
        <f>+E133/E134</f>
        <v>2.7593974377023791E-2</v>
      </c>
      <c r="F28" s="554">
        <f>+F133/F134</f>
        <v>3.2797331234304138E-2</v>
      </c>
      <c r="G28" s="554">
        <f>+G133/G134</f>
        <v>3.1597059283591432E-2</v>
      </c>
      <c r="I28" s="768">
        <f>AVERAGE(C28:G28)</f>
        <v>3.0655820923524989E-2</v>
      </c>
      <c r="K28" s="565">
        <v>3.5000000000000003E-2</v>
      </c>
      <c r="L28" s="565">
        <v>0.04</v>
      </c>
      <c r="N28" s="625" t="s">
        <v>487</v>
      </c>
    </row>
    <row r="29" spans="1:36" ht="15">
      <c r="B29" s="568" t="s">
        <v>292</v>
      </c>
      <c r="C29" s="794">
        <f>'Fin. Data'!B58/'Fin. Data'!B19</f>
        <v>0.71578497206755742</v>
      </c>
      <c r="D29" s="794">
        <f>'Fin. Data'!C58/'Fin. Data'!C19</f>
        <v>0.87817115303023152</v>
      </c>
      <c r="E29" s="794">
        <f>'Fin. Data'!D58/'Fin. Data'!D19</f>
        <v>1.1068400910720342</v>
      </c>
      <c r="F29" s="794">
        <f>'Fin. Data'!E58/'Fin. Data'!E19</f>
        <v>1.2518028540289334</v>
      </c>
      <c r="G29" s="794">
        <f>'Fin. Data'!F58/'Fin. Data'!F19</f>
        <v>1.1190055965364831</v>
      </c>
      <c r="H29" s="795"/>
      <c r="I29" s="796">
        <f>AVERAGE(C29:G29)</f>
        <v>1.0143209333470478</v>
      </c>
      <c r="J29" s="795"/>
      <c r="K29" s="797">
        <v>0.5</v>
      </c>
      <c r="L29" s="797">
        <v>1</v>
      </c>
      <c r="N29" s="625" t="s">
        <v>6502</v>
      </c>
    </row>
    <row r="32" spans="1:36" s="545" customFormat="1" ht="15">
      <c r="B32" s="557" t="s">
        <v>6503</v>
      </c>
    </row>
    <row r="34" spans="1:28" ht="12.6" customHeight="1"/>
    <row r="35" spans="1:28" ht="13.15" customHeight="1">
      <c r="A35" s="11"/>
      <c r="B35" s="1364" t="s">
        <v>6504</v>
      </c>
      <c r="C35" s="1364"/>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ht="12.6" customHeight="1">
      <c r="A36" s="11"/>
      <c r="B36" s="11"/>
      <c r="C36" s="11"/>
      <c r="D36" s="11"/>
      <c r="E36" s="11"/>
      <c r="F36" s="1369" t="s">
        <v>6505</v>
      </c>
      <c r="G36" s="1369"/>
      <c r="H36" s="1369"/>
      <c r="I36" s="756">
        <v>3.2500000000000001E-2</v>
      </c>
      <c r="J36" s="733"/>
      <c r="K36" s="675"/>
      <c r="L36" s="11"/>
      <c r="M36" s="11"/>
      <c r="N36" s="11"/>
      <c r="O36" s="11"/>
      <c r="P36" s="11"/>
      <c r="Q36" s="11"/>
      <c r="R36" s="11"/>
      <c r="S36" s="11"/>
      <c r="T36" s="11"/>
      <c r="U36" s="11"/>
      <c r="V36" s="11"/>
      <c r="W36" s="11"/>
      <c r="X36" s="11"/>
      <c r="Y36" s="11"/>
      <c r="Z36" s="11"/>
      <c r="AA36" s="11"/>
      <c r="AB36" s="11"/>
    </row>
    <row r="37" spans="1:28">
      <c r="A37" s="11"/>
      <c r="B37" s="676" t="s">
        <v>6506</v>
      </c>
      <c r="C37" s="677">
        <f>AVERAGE(C47:M47)</f>
        <v>0.18543191808021817</v>
      </c>
      <c r="D37" s="11"/>
      <c r="E37" s="11"/>
      <c r="F37" s="1367" t="s">
        <v>6507</v>
      </c>
      <c r="G37" s="1367"/>
      <c r="H37" s="1367"/>
      <c r="I37" s="678">
        <v>3.5000000000000003E-2</v>
      </c>
      <c r="J37" s="11"/>
      <c r="K37" s="11"/>
      <c r="L37" s="11"/>
      <c r="M37" s="11"/>
      <c r="N37" s="11"/>
      <c r="O37" s="11"/>
      <c r="P37" s="11"/>
      <c r="Q37" s="11"/>
      <c r="R37" s="11"/>
      <c r="S37" s="11"/>
      <c r="T37" s="11"/>
      <c r="U37" s="11"/>
      <c r="V37" s="11"/>
      <c r="W37" s="11"/>
      <c r="X37" s="11"/>
      <c r="Y37" s="11"/>
      <c r="Z37" s="11"/>
      <c r="AA37" s="11"/>
      <c r="AB37" s="11"/>
    </row>
    <row r="38" spans="1:28">
      <c r="A38" s="11"/>
      <c r="B38" s="679" t="s">
        <v>6508</v>
      </c>
      <c r="C38" s="680">
        <f>AVERAGE(C47:G47)</f>
        <v>0.17404853014304794</v>
      </c>
      <c r="D38" s="11"/>
      <c r="E38" s="11"/>
      <c r="F38" s="1367" t="s">
        <v>6509</v>
      </c>
      <c r="G38" s="1367"/>
      <c r="H38" s="1367"/>
      <c r="I38" s="674">
        <v>0.03</v>
      </c>
      <c r="J38" s="11"/>
      <c r="K38" s="11"/>
      <c r="L38" s="11"/>
      <c r="M38" s="11"/>
      <c r="N38" s="11"/>
      <c r="O38" s="11"/>
      <c r="P38" s="11"/>
      <c r="Q38" s="11"/>
      <c r="R38" s="11"/>
      <c r="S38" s="11"/>
      <c r="T38" s="11"/>
      <c r="U38" s="11"/>
      <c r="V38" s="11"/>
      <c r="W38" s="11"/>
      <c r="X38" s="11"/>
      <c r="Y38" s="11"/>
      <c r="Z38" s="11"/>
      <c r="AA38" s="11"/>
      <c r="AB38" s="11"/>
    </row>
    <row r="39" spans="1:28">
      <c r="A39" s="11"/>
      <c r="B39" s="730" t="s">
        <v>6510</v>
      </c>
      <c r="C39" s="731">
        <f>AVERAGE(C47:E47)</f>
        <v>0.27970870237534651</v>
      </c>
      <c r="D39" s="11"/>
      <c r="E39" s="11"/>
      <c r="F39" s="1367" t="s">
        <v>6511</v>
      </c>
      <c r="G39" s="1367"/>
      <c r="H39" s="1367"/>
      <c r="I39" s="681">
        <v>0.02</v>
      </c>
      <c r="J39" s="11"/>
      <c r="K39" s="11"/>
      <c r="L39" s="11"/>
      <c r="M39" s="11"/>
      <c r="N39" s="11"/>
      <c r="O39" s="11"/>
      <c r="P39" s="11"/>
      <c r="Q39" s="11"/>
      <c r="R39" s="11"/>
      <c r="S39" s="11"/>
      <c r="T39" s="11"/>
      <c r="U39" s="11"/>
      <c r="V39" s="11"/>
      <c r="W39" s="11"/>
      <c r="X39" s="11"/>
      <c r="Y39" s="11"/>
      <c r="Z39" s="11"/>
      <c r="AA39" s="11"/>
      <c r="AB39" s="11"/>
    </row>
    <row r="40" spans="1:28" ht="12.6"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c r="A42" s="11"/>
      <c r="B42" s="11" t="s">
        <v>6512</v>
      </c>
      <c r="C42" s="729">
        <v>2024</v>
      </c>
      <c r="D42" s="682">
        <v>2025</v>
      </c>
      <c r="E42" s="684">
        <v>2026</v>
      </c>
      <c r="F42" s="684">
        <v>2027</v>
      </c>
      <c r="G42" s="684">
        <v>2028</v>
      </c>
      <c r="H42" s="684">
        <v>2029</v>
      </c>
      <c r="I42" s="684">
        <v>2030</v>
      </c>
      <c r="J42" s="684">
        <v>2031</v>
      </c>
      <c r="K42" s="684">
        <v>2032</v>
      </c>
      <c r="L42" s="684">
        <v>2033</v>
      </c>
      <c r="M42" s="684">
        <v>2034</v>
      </c>
      <c r="N42" s="684">
        <v>2035</v>
      </c>
      <c r="O42" s="684">
        <v>2036</v>
      </c>
      <c r="P42" s="684">
        <v>2037</v>
      </c>
      <c r="Q42" s="684">
        <v>2038</v>
      </c>
      <c r="R42" s="684">
        <v>2039</v>
      </c>
      <c r="S42" s="684">
        <v>2040</v>
      </c>
      <c r="T42" s="684">
        <v>2041</v>
      </c>
      <c r="U42" s="684">
        <v>2042</v>
      </c>
      <c r="V42" s="684">
        <v>2043</v>
      </c>
      <c r="W42" s="684">
        <v>2044</v>
      </c>
      <c r="X42" s="684">
        <v>2045</v>
      </c>
      <c r="Y42" s="684">
        <v>2046</v>
      </c>
      <c r="Z42" s="684">
        <v>2047</v>
      </c>
      <c r="AA42" s="684">
        <v>2048</v>
      </c>
      <c r="AB42" s="683">
        <v>2049</v>
      </c>
    </row>
    <row r="43" spans="1:28">
      <c r="A43" s="11"/>
      <c r="B43" s="685" t="s">
        <v>6513</v>
      </c>
      <c r="C43" s="686">
        <v>0.15</v>
      </c>
      <c r="D43" s="728">
        <f>C43-0.015</f>
        <v>0.13500000000000001</v>
      </c>
      <c r="E43" s="728">
        <f t="shared" ref="E43:G43" si="2">D43-0.015</f>
        <v>0.12000000000000001</v>
      </c>
      <c r="F43" s="728">
        <f t="shared" si="2"/>
        <v>0.10500000000000001</v>
      </c>
      <c r="G43" s="728">
        <f t="shared" si="2"/>
        <v>9.0000000000000011E-2</v>
      </c>
      <c r="H43" s="728">
        <f>G43-0.0035</f>
        <v>8.6500000000000007E-2</v>
      </c>
      <c r="I43" s="728">
        <f t="shared" ref="I43:AB43" si="3">H43-0.0035</f>
        <v>8.3000000000000004E-2</v>
      </c>
      <c r="J43" s="728">
        <f t="shared" si="3"/>
        <v>7.9500000000000001E-2</v>
      </c>
      <c r="K43" s="728">
        <f t="shared" si="3"/>
        <v>7.5999999999999998E-2</v>
      </c>
      <c r="L43" s="728">
        <f t="shared" si="3"/>
        <v>7.2499999999999995E-2</v>
      </c>
      <c r="M43" s="728">
        <f t="shared" si="3"/>
        <v>6.8999999999999992E-2</v>
      </c>
      <c r="N43" s="728">
        <f t="shared" si="3"/>
        <v>6.5499999999999989E-2</v>
      </c>
      <c r="O43" s="728">
        <f t="shared" si="3"/>
        <v>6.1999999999999986E-2</v>
      </c>
      <c r="P43" s="728">
        <f t="shared" si="3"/>
        <v>5.8499999999999983E-2</v>
      </c>
      <c r="Q43" s="728">
        <f t="shared" si="3"/>
        <v>5.4999999999999979E-2</v>
      </c>
      <c r="R43" s="728">
        <f t="shared" si="3"/>
        <v>5.1499999999999976E-2</v>
      </c>
      <c r="S43" s="728">
        <f t="shared" si="3"/>
        <v>4.7999999999999973E-2</v>
      </c>
      <c r="T43" s="728">
        <f t="shared" si="3"/>
        <v>4.449999999999997E-2</v>
      </c>
      <c r="U43" s="728">
        <f t="shared" si="3"/>
        <v>4.0999999999999967E-2</v>
      </c>
      <c r="V43" s="728">
        <f t="shared" si="3"/>
        <v>3.7499999999999964E-2</v>
      </c>
      <c r="W43" s="728">
        <f t="shared" si="3"/>
        <v>3.3999999999999961E-2</v>
      </c>
      <c r="X43" s="728">
        <f t="shared" si="3"/>
        <v>3.0499999999999961E-2</v>
      </c>
      <c r="Y43" s="728">
        <f t="shared" si="3"/>
        <v>2.6999999999999962E-2</v>
      </c>
      <c r="Z43" s="728">
        <f t="shared" si="3"/>
        <v>2.3499999999999962E-2</v>
      </c>
      <c r="AA43" s="728">
        <f t="shared" si="3"/>
        <v>1.9999999999999962E-2</v>
      </c>
      <c r="AB43" s="728">
        <f t="shared" si="3"/>
        <v>1.6499999999999963E-2</v>
      </c>
    </row>
    <row r="44" spans="1:28">
      <c r="A44" s="687" t="s">
        <v>6514</v>
      </c>
      <c r="B44" s="688" t="s">
        <v>6515</v>
      </c>
      <c r="C44" s="689">
        <f>(Inputs!B6)*(1+C43)</f>
        <v>3431.8299999999995</v>
      </c>
      <c r="D44" s="689">
        <f t="shared" ref="D44:AB44" si="4">C44*(1+D43)</f>
        <v>3895.1270499999996</v>
      </c>
      <c r="E44" s="690">
        <f t="shared" si="4"/>
        <v>4362.5422959999996</v>
      </c>
      <c r="F44" s="690">
        <f t="shared" si="4"/>
        <v>4820.6092370799997</v>
      </c>
      <c r="G44" s="690">
        <f t="shared" si="4"/>
        <v>5254.4640684172</v>
      </c>
      <c r="H44" s="690">
        <f t="shared" si="4"/>
        <v>5708.9752103352876</v>
      </c>
      <c r="I44" s="690">
        <f t="shared" si="4"/>
        <v>6182.820152793116</v>
      </c>
      <c r="J44" s="690">
        <f t="shared" si="4"/>
        <v>6674.3543549401684</v>
      </c>
      <c r="K44" s="690">
        <f t="shared" si="4"/>
        <v>7181.6052859156216</v>
      </c>
      <c r="L44" s="690">
        <f t="shared" si="4"/>
        <v>7702.2716691445039</v>
      </c>
      <c r="M44" s="690">
        <f t="shared" si="4"/>
        <v>8233.7284143154739</v>
      </c>
      <c r="N44" s="690">
        <f t="shared" si="4"/>
        <v>8773.0376254531366</v>
      </c>
      <c r="O44" s="690">
        <f t="shared" si="4"/>
        <v>9316.9659582312306</v>
      </c>
      <c r="P44" s="690">
        <f t="shared" si="4"/>
        <v>9862.0084667877582</v>
      </c>
      <c r="Q44" s="690">
        <f t="shared" si="4"/>
        <v>10404.418932461083</v>
      </c>
      <c r="R44" s="690">
        <f t="shared" si="4"/>
        <v>10940.246507482829</v>
      </c>
      <c r="S44" s="690">
        <f t="shared" si="4"/>
        <v>11465.378339842006</v>
      </c>
      <c r="T44" s="690">
        <f t="shared" si="4"/>
        <v>11975.587675964975</v>
      </c>
      <c r="U44" s="690">
        <f t="shared" si="4"/>
        <v>12466.586770679538</v>
      </c>
      <c r="V44" s="690">
        <f t="shared" si="4"/>
        <v>12934.083774580018</v>
      </c>
      <c r="W44" s="690">
        <f t="shared" si="4"/>
        <v>13373.842622915739</v>
      </c>
      <c r="X44" s="690">
        <f t="shared" si="4"/>
        <v>13781.744822914668</v>
      </c>
      <c r="Y44" s="690">
        <f t="shared" si="4"/>
        <v>14153.851933133363</v>
      </c>
      <c r="Z44" s="690">
        <f t="shared" si="4"/>
        <v>14486.467453561994</v>
      </c>
      <c r="AA44" s="690">
        <f t="shared" si="4"/>
        <v>14776.196802633234</v>
      </c>
      <c r="AB44" s="690">
        <f t="shared" si="4"/>
        <v>15020.004049876681</v>
      </c>
    </row>
    <row r="46" spans="1:28" ht="15">
      <c r="B46" s="546" t="s">
        <v>6512</v>
      </c>
      <c r="C46" s="732">
        <v>2023</v>
      </c>
      <c r="D46" s="732">
        <f>C46-1</f>
        <v>2022</v>
      </c>
      <c r="E46" s="732">
        <f t="shared" ref="E46:N46" si="5">D46-1</f>
        <v>2021</v>
      </c>
      <c r="F46" s="732">
        <f t="shared" si="5"/>
        <v>2020</v>
      </c>
      <c r="G46" s="732">
        <f t="shared" si="5"/>
        <v>2019</v>
      </c>
      <c r="H46" s="732">
        <f t="shared" si="5"/>
        <v>2018</v>
      </c>
      <c r="I46" s="732">
        <f t="shared" si="5"/>
        <v>2017</v>
      </c>
      <c r="J46" s="732">
        <f t="shared" si="5"/>
        <v>2016</v>
      </c>
      <c r="K46" s="732">
        <f t="shared" si="5"/>
        <v>2015</v>
      </c>
      <c r="L46" s="732">
        <f t="shared" si="5"/>
        <v>2014</v>
      </c>
      <c r="M46" s="732">
        <f t="shared" si="5"/>
        <v>2013</v>
      </c>
      <c r="N46" s="732">
        <f t="shared" si="5"/>
        <v>2012</v>
      </c>
    </row>
    <row r="47" spans="1:28">
      <c r="B47" s="737" t="s">
        <v>6516</v>
      </c>
      <c r="C47" s="740">
        <f>(Inputs!B6-Inputs!C6)/Inputs!C6</f>
        <v>0.14649045295631785</v>
      </c>
      <c r="D47" s="740">
        <f>(Inputs!C6-Inputs!D6)/Inputs!D6</f>
        <v>0.27212746200087984</v>
      </c>
      <c r="E47" s="740">
        <f>(Inputs!D6-Inputs!E6)/Inputs!E6</f>
        <v>0.42050819216884183</v>
      </c>
      <c r="F47" s="740">
        <f>(Inputs!E6-Inputs!F6)/Inputs!F6</f>
        <v>-0.1150703446581065</v>
      </c>
      <c r="G47" s="740">
        <f>(Inputs!F6-Inputs!G6)/Inputs!G6</f>
        <v>0.14618688824730663</v>
      </c>
      <c r="H47" s="740">
        <f>(Inputs!G6-Inputs!H6)/Inputs!H6</f>
        <v>0.18966239423640768</v>
      </c>
      <c r="I47" s="740">
        <f>(Inputs!H6-Inputs!I6)/Inputs!I6</f>
        <v>0.14745746419302133</v>
      </c>
      <c r="J47" s="740">
        <f>(Inputs!I6-Inputs!J6)/Inputs!J6</f>
        <v>0.18162199000454338</v>
      </c>
      <c r="K47" s="740">
        <f>(Inputs!J6-Inputs!K6)/Inputs!K6</f>
        <v>0.2682224142898299</v>
      </c>
      <c r="L47" s="740">
        <f>(Inputs!K6-Inputs!L6)/Inputs!L6</f>
        <v>0.19570702938628304</v>
      </c>
      <c r="M47" s="740">
        <f>(Inputs!L6-Inputs!M6)/Inputs!M6</f>
        <v>0.1868371560570751</v>
      </c>
      <c r="N47" s="741" t="s">
        <v>74</v>
      </c>
    </row>
    <row r="48" spans="1:28">
      <c r="B48" s="739" t="s">
        <v>6517</v>
      </c>
      <c r="C48" s="742">
        <v>2573.1590000000001</v>
      </c>
      <c r="D48" s="743">
        <v>2201.7579999999998</v>
      </c>
      <c r="E48" s="743">
        <v>1824.1659999999999</v>
      </c>
      <c r="F48" s="738">
        <v>1440.4</v>
      </c>
      <c r="G48" s="738">
        <v>1627.7</v>
      </c>
      <c r="H48" s="738">
        <v>1420.1</v>
      </c>
      <c r="I48" s="738">
        <v>1193.7</v>
      </c>
      <c r="J48" s="738">
        <v>1040.3</v>
      </c>
      <c r="K48" s="738">
        <v>880.4</v>
      </c>
      <c r="L48" s="738">
        <v>694.2</v>
      </c>
      <c r="M48" s="738">
        <v>580.577</v>
      </c>
      <c r="N48" s="738">
        <v>489.18</v>
      </c>
    </row>
    <row r="49" spans="1:28">
      <c r="B49" s="739" t="s">
        <v>6518</v>
      </c>
      <c r="C49" s="745">
        <f>(C48-D48)/D48</f>
        <v>0.16868384263847358</v>
      </c>
      <c r="D49" s="745">
        <f t="shared" ref="D49:M49" si="6">(D48-E48)/E48</f>
        <v>0.20699431959591391</v>
      </c>
      <c r="E49" s="745">
        <f t="shared" si="6"/>
        <v>0.26643015828936395</v>
      </c>
      <c r="F49" s="744">
        <f t="shared" si="6"/>
        <v>-0.1150703446581065</v>
      </c>
      <c r="G49" s="744">
        <f t="shared" si="6"/>
        <v>0.14618688824730663</v>
      </c>
      <c r="H49" s="744">
        <f t="shared" si="6"/>
        <v>0.18966239423640768</v>
      </c>
      <c r="I49" s="744">
        <f t="shared" si="6"/>
        <v>0.14745746419302133</v>
      </c>
      <c r="J49" s="744">
        <f t="shared" si="6"/>
        <v>0.18162199000454338</v>
      </c>
      <c r="K49" s="744">
        <f t="shared" si="6"/>
        <v>0.2682224142898299</v>
      </c>
      <c r="L49" s="744">
        <f t="shared" si="6"/>
        <v>0.19570702938628304</v>
      </c>
      <c r="M49" s="744">
        <f t="shared" si="6"/>
        <v>0.1868371560570751</v>
      </c>
      <c r="N49" s="744"/>
    </row>
    <row r="50" spans="1:28">
      <c r="B50" s="739" t="s">
        <v>6519</v>
      </c>
      <c r="C50" s="738">
        <v>411.05799999999999</v>
      </c>
      <c r="D50" s="738">
        <v>401.13200000000001</v>
      </c>
      <c r="E50" s="738">
        <v>221.93600000000001</v>
      </c>
    </row>
    <row r="51" spans="1:28">
      <c r="B51" s="739" t="s">
        <v>6520</v>
      </c>
      <c r="C51" s="744">
        <f>(C50-D50)/D50</f>
        <v>2.4744971730004058E-2</v>
      </c>
      <c r="D51" s="744">
        <f t="shared" ref="D51" si="7">(D50-E50)/E50</f>
        <v>0.80742195948381512</v>
      </c>
      <c r="E51" s="744"/>
    </row>
    <row r="54" spans="1:28" ht="15">
      <c r="C54" s="748">
        <v>2023</v>
      </c>
      <c r="D54" s="748">
        <f>C54-1</f>
        <v>2022</v>
      </c>
      <c r="E54" s="748">
        <f>D54-1</f>
        <v>2021</v>
      </c>
      <c r="F54" s="748">
        <f>E54-1</f>
        <v>2020</v>
      </c>
      <c r="G54" s="749">
        <f>F54-1</f>
        <v>2019</v>
      </c>
      <c r="H54" s="732">
        <f>G54-1</f>
        <v>2018</v>
      </c>
    </row>
    <row r="55" spans="1:28">
      <c r="A55" s="546" t="s">
        <v>6521</v>
      </c>
      <c r="B55" s="753" t="s">
        <v>6522</v>
      </c>
      <c r="C55" s="751">
        <v>111.5</v>
      </c>
      <c r="D55" s="738">
        <v>97.2</v>
      </c>
      <c r="E55" s="738">
        <v>92.7</v>
      </c>
      <c r="F55" s="738">
        <v>85.6</v>
      </c>
      <c r="G55" s="738">
        <v>95.8</v>
      </c>
      <c r="H55" s="738">
        <v>90.6</v>
      </c>
    </row>
    <row r="56" spans="1:28">
      <c r="B56" s="753" t="s">
        <v>6523</v>
      </c>
      <c r="C56" s="752">
        <f>(C55-D55)/D55</f>
        <v>0.14711934156378598</v>
      </c>
      <c r="D56" s="744">
        <f t="shared" ref="D56:G56" si="8">(D55-E55)/E55</f>
        <v>4.8543689320388349E-2</v>
      </c>
      <c r="E56" s="744">
        <f t="shared" si="8"/>
        <v>8.2943925233644966E-2</v>
      </c>
      <c r="F56" s="744">
        <f t="shared" si="8"/>
        <v>-0.10647181628392488</v>
      </c>
      <c r="G56" s="744">
        <f t="shared" si="8"/>
        <v>5.7395143487858756E-2</v>
      </c>
      <c r="H56" s="744"/>
    </row>
    <row r="58" spans="1:28" ht="15">
      <c r="B58" s="546" t="s">
        <v>6512</v>
      </c>
      <c r="C58" s="748">
        <v>2023</v>
      </c>
      <c r="D58" s="748">
        <f t="shared" ref="D58:M58" si="9">C58-1</f>
        <v>2022</v>
      </c>
      <c r="E58" s="748">
        <f t="shared" si="9"/>
        <v>2021</v>
      </c>
      <c r="F58" s="748">
        <f t="shared" si="9"/>
        <v>2020</v>
      </c>
      <c r="G58" s="749">
        <f t="shared" si="9"/>
        <v>2019</v>
      </c>
      <c r="H58" s="732">
        <f t="shared" si="9"/>
        <v>2018</v>
      </c>
      <c r="I58" s="732">
        <f t="shared" si="9"/>
        <v>2017</v>
      </c>
      <c r="J58" s="732">
        <f t="shared" si="9"/>
        <v>2016</v>
      </c>
      <c r="K58" s="732">
        <f t="shared" si="9"/>
        <v>2015</v>
      </c>
      <c r="L58" s="732">
        <f t="shared" si="9"/>
        <v>2014</v>
      </c>
      <c r="M58" s="732">
        <f t="shared" si="9"/>
        <v>2013</v>
      </c>
    </row>
    <row r="59" spans="1:28">
      <c r="B59" s="755" t="s">
        <v>6516</v>
      </c>
      <c r="C59" s="747">
        <f t="shared" ref="C59:M59" si="10">C47</f>
        <v>0.14649045295631785</v>
      </c>
      <c r="D59" s="747">
        <f t="shared" si="10"/>
        <v>0.27212746200087984</v>
      </c>
      <c r="E59" s="747">
        <f t="shared" si="10"/>
        <v>0.42050819216884183</v>
      </c>
      <c r="F59" s="747">
        <f t="shared" si="10"/>
        <v>-0.1150703446581065</v>
      </c>
      <c r="G59" s="750">
        <f t="shared" si="10"/>
        <v>0.14618688824730663</v>
      </c>
      <c r="H59" s="747">
        <f t="shared" si="10"/>
        <v>0.18966239423640768</v>
      </c>
      <c r="I59" s="747">
        <f t="shared" si="10"/>
        <v>0.14745746419302133</v>
      </c>
      <c r="J59" s="747">
        <f t="shared" si="10"/>
        <v>0.18162199000454338</v>
      </c>
      <c r="K59" s="747">
        <f t="shared" si="10"/>
        <v>0.2682224142898299</v>
      </c>
      <c r="L59" s="747">
        <f t="shared" si="10"/>
        <v>0.19570702938628304</v>
      </c>
      <c r="M59" s="747">
        <f t="shared" si="10"/>
        <v>0.1868371560570751</v>
      </c>
      <c r="N59" s="746"/>
    </row>
    <row r="60" spans="1:28">
      <c r="B60" s="754" t="s">
        <v>6524</v>
      </c>
      <c r="C60" s="747">
        <f>C56</f>
        <v>0.14711934156378598</v>
      </c>
      <c r="D60" s="747">
        <f>D56</f>
        <v>4.8543689320388349E-2</v>
      </c>
      <c r="E60" s="747">
        <f>E56</f>
        <v>8.2943925233644966E-2</v>
      </c>
      <c r="F60" s="747">
        <f>F56</f>
        <v>-0.10647181628392488</v>
      </c>
      <c r="G60" s="747">
        <f>G56</f>
        <v>5.7395143487858756E-2</v>
      </c>
      <c r="H60" s="746"/>
      <c r="I60" s="746"/>
      <c r="J60" s="746"/>
      <c r="K60" s="746"/>
      <c r="L60" s="746"/>
      <c r="M60" s="746"/>
      <c r="N60" s="746"/>
    </row>
    <row r="62" spans="1:28">
      <c r="A62" s="558"/>
      <c r="C62" s="555"/>
    </row>
    <row r="63" spans="1:28">
      <c r="A63" s="558"/>
      <c r="C63" s="555"/>
    </row>
    <row r="64" spans="1:28" ht="13.15" customHeight="1">
      <c r="A64" s="558"/>
      <c r="B64" s="1364" t="s">
        <v>67</v>
      </c>
      <c r="C64" s="1364"/>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2:28">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2:28">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2:28">
      <c r="B67" s="11"/>
      <c r="C67" s="758">
        <v>2023</v>
      </c>
      <c r="D67" s="759">
        <v>2022</v>
      </c>
      <c r="E67" s="759">
        <v>2021</v>
      </c>
      <c r="F67" s="759">
        <v>2020</v>
      </c>
      <c r="G67" s="759">
        <v>2019</v>
      </c>
      <c r="H67" s="759">
        <v>2018</v>
      </c>
      <c r="I67" s="759">
        <v>2017</v>
      </c>
      <c r="J67" s="759">
        <v>2016</v>
      </c>
      <c r="K67" s="760">
        <v>2015</v>
      </c>
      <c r="L67" s="761">
        <v>2014</v>
      </c>
      <c r="M67" s="11"/>
      <c r="N67" s="11"/>
      <c r="O67" s="11"/>
      <c r="P67" s="11"/>
      <c r="Q67" s="11"/>
      <c r="R67" s="11"/>
      <c r="S67" s="11"/>
      <c r="T67" s="11"/>
      <c r="U67" s="11"/>
      <c r="V67" s="11"/>
      <c r="W67" s="11"/>
      <c r="X67" s="11"/>
      <c r="Y67" s="11"/>
      <c r="Z67" s="11"/>
      <c r="AA67" s="11"/>
      <c r="AB67" s="11"/>
    </row>
    <row r="68" spans="2:28">
      <c r="B68" s="762" t="s">
        <v>6525</v>
      </c>
      <c r="C68" s="681">
        <f>'Fin. Data'!B16/Inputs!B6</f>
        <v>0.29952382548086592</v>
      </c>
      <c r="D68" s="681">
        <f>'Fin. Data'!C16/Inputs!C6</f>
        <v>0.29755618732951705</v>
      </c>
      <c r="E68" s="681">
        <f>'Fin. Data'!D16/Inputs!D6</f>
        <v>0.28308489321147551</v>
      </c>
      <c r="F68" s="681">
        <f>'Fin. Data'!E16/Inputs!E6</f>
        <v>0.2560504026659261</v>
      </c>
      <c r="G68" s="681">
        <f>'Fin. Data'!F16/Inputs!F6</f>
        <v>0.3021502733919027</v>
      </c>
      <c r="H68" s="681">
        <f>'Fin. Data'!G16/Inputs!G6</f>
        <v>0.29166678402929375</v>
      </c>
      <c r="I68" s="681">
        <f>'Fin. Data'!H16/Inputs!H6</f>
        <v>0.28564966071877351</v>
      </c>
      <c r="J68" s="681">
        <f>'Fin. Data'!I16/Inputs!I6</f>
        <v>0.28643564356435641</v>
      </c>
      <c r="K68" s="681">
        <f>'Fin. Data'!J16/Inputs!J6</f>
        <v>0.28708200817810087</v>
      </c>
      <c r="L68" s="681">
        <f>'Fin. Data'!K16/Inputs!K6</f>
        <v>0.29011812157879574</v>
      </c>
      <c r="M68" s="11"/>
      <c r="N68" s="11"/>
      <c r="O68" s="11"/>
      <c r="P68" s="11"/>
      <c r="Q68" s="11"/>
      <c r="R68" s="11"/>
      <c r="S68" s="11"/>
      <c r="T68" s="11"/>
      <c r="U68" s="11"/>
      <c r="V68" s="11"/>
      <c r="W68" s="11"/>
      <c r="X68" s="11"/>
      <c r="Y68" s="11"/>
      <c r="Z68" s="11"/>
      <c r="AA68" s="11"/>
      <c r="AB68" s="11"/>
    </row>
    <row r="69" spans="2:28">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2:28">
      <c r="B70" s="676" t="s">
        <v>6526</v>
      </c>
      <c r="C70" s="677">
        <f>AVERAGE(C68:L68)</f>
        <v>0.28793178001490072</v>
      </c>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2:28">
      <c r="B71" s="679" t="s">
        <v>6527</v>
      </c>
      <c r="C71" s="680">
        <f>AVERAGE(C68:G68)</f>
        <v>0.28767311641593746</v>
      </c>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2:28">
      <c r="B72" s="679" t="s">
        <v>6528</v>
      </c>
      <c r="C72" s="680">
        <f>AVERAGE(C68:E68)</f>
        <v>0.29338830200728622</v>
      </c>
      <c r="D72" s="11" t="s">
        <v>6529</v>
      </c>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2:28">
      <c r="B73" s="730" t="s">
        <v>6530</v>
      </c>
      <c r="C73" s="763">
        <f>AVERAGE(G68:L68)</f>
        <v>0.29051708191020387</v>
      </c>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2:28">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2:28">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2:28">
      <c r="B76" s="11"/>
      <c r="C76" s="764">
        <v>2024</v>
      </c>
      <c r="D76" s="765">
        <v>2025</v>
      </c>
      <c r="E76" s="765">
        <v>2026</v>
      </c>
      <c r="F76" s="765">
        <v>2027</v>
      </c>
      <c r="G76" s="765">
        <v>2028</v>
      </c>
      <c r="H76" s="765">
        <v>2029</v>
      </c>
      <c r="I76" s="765">
        <v>2030</v>
      </c>
      <c r="J76" s="765">
        <v>2031</v>
      </c>
      <c r="K76" s="765">
        <v>2032</v>
      </c>
      <c r="L76" s="765">
        <v>2033</v>
      </c>
      <c r="M76" s="765">
        <v>2034</v>
      </c>
      <c r="N76" s="765">
        <v>2035</v>
      </c>
      <c r="O76" s="765">
        <v>2036</v>
      </c>
      <c r="P76" s="765">
        <v>2037</v>
      </c>
      <c r="Q76" s="765">
        <v>2038</v>
      </c>
      <c r="R76" s="765">
        <v>2039</v>
      </c>
      <c r="S76" s="765">
        <v>2040</v>
      </c>
      <c r="T76" s="765">
        <v>2041</v>
      </c>
      <c r="U76" s="765">
        <v>2042</v>
      </c>
      <c r="V76" s="765">
        <v>2043</v>
      </c>
      <c r="W76" s="765">
        <v>2044</v>
      </c>
      <c r="X76" s="765">
        <v>2045</v>
      </c>
      <c r="Y76" s="765">
        <v>2046</v>
      </c>
      <c r="Z76" s="765">
        <v>2047</v>
      </c>
      <c r="AA76" s="765">
        <v>2048</v>
      </c>
      <c r="AB76" s="765">
        <v>2049</v>
      </c>
    </row>
    <row r="77" spans="2:28" ht="25.5">
      <c r="B77" s="864" t="s">
        <v>6531</v>
      </c>
      <c r="C77" s="767">
        <v>0.3</v>
      </c>
      <c r="D77" s="767">
        <v>0.29499999999999998</v>
      </c>
      <c r="E77" s="767">
        <v>0.28999999999999998</v>
      </c>
      <c r="F77" s="767">
        <f>E77-0.5%</f>
        <v>0.28499999999999998</v>
      </c>
      <c r="G77" s="866">
        <f t="shared" ref="G77:AB77" si="11">F77-0.5%</f>
        <v>0.27999999999999997</v>
      </c>
      <c r="H77" s="767">
        <f t="shared" si="11"/>
        <v>0.27499999999999997</v>
      </c>
      <c r="I77" s="767">
        <f t="shared" si="11"/>
        <v>0.26999999999999996</v>
      </c>
      <c r="J77" s="767">
        <f t="shared" si="11"/>
        <v>0.26499999999999996</v>
      </c>
      <c r="K77" s="767">
        <f t="shared" si="11"/>
        <v>0.25999999999999995</v>
      </c>
      <c r="L77" s="767">
        <f t="shared" si="11"/>
        <v>0.25499999999999995</v>
      </c>
      <c r="M77" s="767">
        <f t="shared" si="11"/>
        <v>0.24999999999999994</v>
      </c>
      <c r="N77" s="767">
        <f t="shared" si="11"/>
        <v>0.24499999999999994</v>
      </c>
      <c r="O77" s="767">
        <f t="shared" si="11"/>
        <v>0.23999999999999994</v>
      </c>
      <c r="P77" s="767">
        <f t="shared" si="11"/>
        <v>0.23499999999999993</v>
      </c>
      <c r="Q77" s="767">
        <f t="shared" si="11"/>
        <v>0.22999999999999993</v>
      </c>
      <c r="R77" s="767">
        <f t="shared" si="11"/>
        <v>0.22499999999999992</v>
      </c>
      <c r="S77" s="767">
        <f t="shared" si="11"/>
        <v>0.21999999999999992</v>
      </c>
      <c r="T77" s="767">
        <f t="shared" si="11"/>
        <v>0.21499999999999991</v>
      </c>
      <c r="U77" s="767">
        <f t="shared" si="11"/>
        <v>0.20999999999999991</v>
      </c>
      <c r="V77" s="767">
        <f t="shared" si="11"/>
        <v>0.2049999999999999</v>
      </c>
      <c r="W77" s="767">
        <f t="shared" si="11"/>
        <v>0.1999999999999999</v>
      </c>
      <c r="X77" s="767">
        <f t="shared" si="11"/>
        <v>0.1949999999999999</v>
      </c>
      <c r="Y77" s="767">
        <f t="shared" si="11"/>
        <v>0.18999999999999989</v>
      </c>
      <c r="Z77" s="767">
        <f t="shared" si="11"/>
        <v>0.18499999999999989</v>
      </c>
      <c r="AA77" s="767">
        <f t="shared" si="11"/>
        <v>0.17999999999999988</v>
      </c>
      <c r="AB77" s="767">
        <f t="shared" si="11"/>
        <v>0.17499999999999988</v>
      </c>
    </row>
    <row r="78" spans="2:28">
      <c r="B78" s="865" t="s">
        <v>6532</v>
      </c>
      <c r="C78" s="766">
        <f>C77*C44</f>
        <v>1029.5489999999998</v>
      </c>
      <c r="D78" s="766">
        <f t="shared" ref="D78:AB78" si="12">D77*D44</f>
        <v>1149.0624797499997</v>
      </c>
      <c r="E78" s="766">
        <f t="shared" si="12"/>
        <v>1265.1372658399998</v>
      </c>
      <c r="F78" s="766">
        <f t="shared" si="12"/>
        <v>1373.8736325677999</v>
      </c>
      <c r="G78" s="766">
        <f t="shared" si="12"/>
        <v>1471.2499391568158</v>
      </c>
      <c r="H78" s="766">
        <f t="shared" si="12"/>
        <v>1569.968182842204</v>
      </c>
      <c r="I78" s="766">
        <f t="shared" si="12"/>
        <v>1669.361441254141</v>
      </c>
      <c r="J78" s="766">
        <f t="shared" si="12"/>
        <v>1768.7039040591444</v>
      </c>
      <c r="K78" s="766">
        <f t="shared" si="12"/>
        <v>1867.2173743380613</v>
      </c>
      <c r="L78" s="766">
        <f t="shared" si="12"/>
        <v>1964.0792756318481</v>
      </c>
      <c r="M78" s="766">
        <f t="shared" si="12"/>
        <v>2058.432103578868</v>
      </c>
      <c r="N78" s="766">
        <f t="shared" si="12"/>
        <v>2149.3942182360179</v>
      </c>
      <c r="O78" s="766">
        <f t="shared" si="12"/>
        <v>2236.0718299754949</v>
      </c>
      <c r="P78" s="766">
        <f t="shared" si="12"/>
        <v>2317.5719896951223</v>
      </c>
      <c r="Q78" s="766">
        <f t="shared" si="12"/>
        <v>2393.0163544660486</v>
      </c>
      <c r="R78" s="766">
        <f t="shared" si="12"/>
        <v>2461.5554641836356</v>
      </c>
      <c r="S78" s="766">
        <f t="shared" si="12"/>
        <v>2522.3832347652401</v>
      </c>
      <c r="T78" s="766">
        <f t="shared" si="12"/>
        <v>2574.7513503324685</v>
      </c>
      <c r="U78" s="766">
        <f t="shared" si="12"/>
        <v>2617.9832218427018</v>
      </c>
      <c r="V78" s="766">
        <f t="shared" si="12"/>
        <v>2651.4871737889025</v>
      </c>
      <c r="W78" s="766">
        <f t="shared" si="12"/>
        <v>2674.7685245831467</v>
      </c>
      <c r="X78" s="766">
        <f t="shared" si="12"/>
        <v>2687.4402404683588</v>
      </c>
      <c r="Y78" s="766">
        <f t="shared" si="12"/>
        <v>2689.2318672953375</v>
      </c>
      <c r="Z78" s="766">
        <f t="shared" si="12"/>
        <v>2679.9964789089672</v>
      </c>
      <c r="AA78" s="766">
        <f t="shared" si="12"/>
        <v>2659.7154244739804</v>
      </c>
      <c r="AB78" s="766">
        <f t="shared" si="12"/>
        <v>2628.5007087284175</v>
      </c>
    </row>
    <row r="81" spans="2:14" ht="15">
      <c r="B81" s="1364" t="s">
        <v>6533</v>
      </c>
      <c r="C81" s="1364"/>
    </row>
    <row r="82" spans="2:14">
      <c r="B82" s="14" t="s">
        <v>6534</v>
      </c>
    </row>
    <row r="83" spans="2:14">
      <c r="B83" t="s">
        <v>6535</v>
      </c>
    </row>
    <row r="84" spans="2:14">
      <c r="B84" t="s">
        <v>6536</v>
      </c>
    </row>
    <row r="85" spans="2:14">
      <c r="B85" t="s">
        <v>6537</v>
      </c>
    </row>
    <row r="87" spans="2:14">
      <c r="B87"/>
      <c r="C87" s="875">
        <v>2023</v>
      </c>
      <c r="D87" s="876">
        <v>2022</v>
      </c>
      <c r="E87" s="877">
        <v>2021</v>
      </c>
      <c r="F87" s="876">
        <v>2020</v>
      </c>
      <c r="G87" s="877">
        <v>2019</v>
      </c>
      <c r="H87" s="876">
        <v>2018</v>
      </c>
      <c r="I87" s="877">
        <v>2017</v>
      </c>
      <c r="J87" s="876">
        <v>2016</v>
      </c>
      <c r="K87" s="877">
        <v>2015</v>
      </c>
      <c r="L87" s="878">
        <v>2014</v>
      </c>
      <c r="M87" s="14"/>
      <c r="N87" s="14"/>
    </row>
    <row r="88" spans="2:14">
      <c r="B88" s="802" t="s">
        <v>6538</v>
      </c>
      <c r="C88" s="830">
        <f>('Fin. Data'!B41/('Fin. Data'!B5-'Fin. Data'!B7))*365</f>
        <v>241.7567524115756</v>
      </c>
      <c r="D88" s="874">
        <f>'Fin. Data'!C41/('Fin. Data'!C5-'Fin. Data'!C7)*365</f>
        <v>224.0379613071045</v>
      </c>
      <c r="E88" s="830">
        <f>'Fin. Data'!D41/('Fin. Data'!D5-'Fin. Data'!D7)*365</f>
        <v>200.7042988313857</v>
      </c>
      <c r="F88" s="874">
        <f>'Fin. Data'!E41/('Fin. Data'!E5-'Fin. Data'!E7)*365</f>
        <v>210.97790763968061</v>
      </c>
      <c r="G88" s="830">
        <f>'Fin. Data'!F41/('Fin. Data'!F5-'Fin. Data'!F7)*365</f>
        <v>210.39873068432667</v>
      </c>
      <c r="H88" s="874">
        <f>'Fin. Data'!G41/('Fin. Data'!G5-'Fin. Data'!G7)*365</f>
        <v>197.1433031532938</v>
      </c>
      <c r="I88" s="830">
        <f>'Fin. Data'!H41/('Fin. Data'!H5-'Fin. Data'!H7)*365</f>
        <v>179.93495655322226</v>
      </c>
      <c r="J88" s="874">
        <f>'Fin. Data'!I41/('Fin. Data'!I5-'Fin. Data'!I7)*365</f>
        <v>196.5314506539834</v>
      </c>
      <c r="K88" s="830">
        <f>'Fin. Data'!J41/('Fin. Data'!J5-'Fin. Data'!J7)*365</f>
        <v>216.99776053215078</v>
      </c>
      <c r="L88" s="871">
        <f>'Fin. Data'!K41/('Fin. Data'!K5-'Fin. Data'!K7)*365</f>
        <v>232.84155844155836</v>
      </c>
      <c r="M88"/>
      <c r="N88"/>
    </row>
    <row r="89" spans="2:14">
      <c r="B89" s="803" t="s">
        <v>6539</v>
      </c>
      <c r="C89" s="831">
        <f>'Fin. Data'!B40/'Fin. Data'!B5*365</f>
        <v>39.824408551705652</v>
      </c>
      <c r="D89" s="831">
        <f>'Fin. Data'!C40/'Fin. Data'!C5*365</f>
        <v>41.584674785815821</v>
      </c>
      <c r="E89" s="831">
        <f>'Fin. Data'!D40/'Fin. Data'!D5*365</f>
        <v>41.79099262010655</v>
      </c>
      <c r="F89" s="831">
        <f>'Fin. Data'!E40/'Fin. Data'!E5*365</f>
        <v>44.127395168008881</v>
      </c>
      <c r="G89" s="831">
        <f>'Fin. Data'!F40/'Fin. Data'!F5*365</f>
        <v>37.650365546476621</v>
      </c>
      <c r="H89" s="831">
        <f>'Fin. Data'!G40/'Fin. Data'!G5*365</f>
        <v>39.849024716569261</v>
      </c>
      <c r="I89" s="831">
        <f>'Fin. Data'!H40/'Fin. Data'!H5*365</f>
        <v>36.909122895199793</v>
      </c>
      <c r="J89" s="831">
        <f>'Fin. Data'!I40/'Fin. Data'!I5*365</f>
        <v>36.792617514178609</v>
      </c>
      <c r="K89" s="831">
        <f>'Fin. Data'!J40/'Fin. Data'!J5*365</f>
        <v>37.222205815538388</v>
      </c>
      <c r="L89" s="872">
        <f>'Fin. Data'!K40/'Fin. Data'!K5*365</f>
        <v>45.527729760875829</v>
      </c>
      <c r="M89"/>
      <c r="N89"/>
    </row>
    <row r="90" spans="2:14">
      <c r="B90" s="869" t="s">
        <v>6540</v>
      </c>
      <c r="C90" s="870">
        <f>Inputs!B43/('Fin. Data'!B5-'Fin. Data'!B7)*365</f>
        <v>287.31933645133012</v>
      </c>
      <c r="D90" s="870">
        <f>Inputs!C43/('Fin. Data'!C5-'Fin. Data'!C7)*365</f>
        <v>286.27369533409194</v>
      </c>
      <c r="E90" s="870">
        <f>Inputs!D43/('Fin. Data'!D5-'Fin. Data'!D7)*365</f>
        <v>265.75229549248758</v>
      </c>
      <c r="F90" s="870">
        <f>Inputs!E43/('Fin. Data'!E5-'Fin. Data'!E7)*365</f>
        <v>220.47748004560992</v>
      </c>
      <c r="G90" s="870">
        <f>Inputs!F43/('Fin. Data'!F5-'Fin. Data'!F7)*365</f>
        <v>250.38355408388514</v>
      </c>
      <c r="H90" s="870">
        <f>Inputs!G43/('Fin. Data'!G5-'Fin. Data'!G7)*365</f>
        <v>256.37745863253201</v>
      </c>
      <c r="I90" s="870">
        <f>Inputs!H43/('Fin. Data'!H5-'Fin. Data'!H7)*365</f>
        <v>220.97168718320054</v>
      </c>
      <c r="J90" s="870">
        <f>Inputs!I43/('Fin. Data'!I5-'Fin. Data'!I7)*365</f>
        <v>191.81089972255259</v>
      </c>
      <c r="K90" s="870">
        <f>Inputs!J43/('Fin. Data'!J5-'Fin. Data'!J7)*365</f>
        <v>182.85447893569844</v>
      </c>
      <c r="L90" s="873">
        <f>Inputs!K43/('Fin. Data'!K5-'Fin. Data'!K7)*365</f>
        <v>212.93246753246748</v>
      </c>
      <c r="M90"/>
      <c r="N90"/>
    </row>
    <row r="91" spans="2:14">
      <c r="B91" s="1063" t="s">
        <v>6541</v>
      </c>
      <c r="C91" s="867">
        <f>C88+C89-C90</f>
        <v>-5.7381754880488529</v>
      </c>
      <c r="D91" s="867">
        <f t="shared" ref="D91:L91" si="13">D88+D89-D90</f>
        <v>-20.651059241171652</v>
      </c>
      <c r="E91" s="867">
        <f t="shared" si="13"/>
        <v>-23.257004040995326</v>
      </c>
      <c r="F91" s="867">
        <f t="shared" si="13"/>
        <v>34.627822762079575</v>
      </c>
      <c r="G91" s="867">
        <f t="shared" si="13"/>
        <v>-2.334457853081858</v>
      </c>
      <c r="H91" s="867">
        <f t="shared" si="13"/>
        <v>-19.38513076266895</v>
      </c>
      <c r="I91" s="867">
        <f t="shared" si="13"/>
        <v>-4.1276077347784792</v>
      </c>
      <c r="J91" s="867">
        <f t="shared" si="13"/>
        <v>41.513168445609409</v>
      </c>
      <c r="K91" s="867">
        <f t="shared" si="13"/>
        <v>71.365487411990728</v>
      </c>
      <c r="L91" s="868">
        <f t="shared" si="13"/>
        <v>65.436820669966693</v>
      </c>
      <c r="M91" s="14"/>
      <c r="N91" s="14"/>
    </row>
    <row r="94" spans="2:14" ht="25.5">
      <c r="B94"/>
      <c r="C94" s="879" t="s">
        <v>6542</v>
      </c>
      <c r="D94" s="880" t="s">
        <v>6543</v>
      </c>
      <c r="E94" s="880" t="s">
        <v>6544</v>
      </c>
      <c r="F94" s="848" t="s">
        <v>6545</v>
      </c>
      <c r="G94" s="882" t="s">
        <v>6546</v>
      </c>
      <c r="H94" s="881" t="s">
        <v>6547</v>
      </c>
      <c r="I94" s="14"/>
    </row>
    <row r="95" spans="2:14" ht="25.5">
      <c r="B95" s="883" t="s">
        <v>6538</v>
      </c>
      <c r="C95" s="884">
        <f>AVERAGE(C88:E88)</f>
        <v>222.1663375166886</v>
      </c>
      <c r="D95" s="884">
        <f>AVERAGE(C88:G88)</f>
        <v>217.5751301748146</v>
      </c>
      <c r="E95" s="885">
        <f>AVERAGE(C88:L88)</f>
        <v>211.13246802082818</v>
      </c>
      <c r="F95" s="886" t="s">
        <v>6548</v>
      </c>
      <c r="G95" s="887">
        <v>224</v>
      </c>
      <c r="H95" s="888">
        <v>225</v>
      </c>
      <c r="I95" s="836"/>
    </row>
    <row r="96" spans="2:14" ht="25.5">
      <c r="B96" s="889" t="s">
        <v>6539</v>
      </c>
      <c r="C96" s="890">
        <f>AVERAGE(C89:E89)</f>
        <v>41.066691985876012</v>
      </c>
      <c r="D96" s="890">
        <f>AVERAGE(C89:G89)</f>
        <v>40.995567334422709</v>
      </c>
      <c r="E96" s="891">
        <f>AVERAGE(C89:L89)</f>
        <v>40.127853737447545</v>
      </c>
      <c r="F96" s="892" t="s">
        <v>6548</v>
      </c>
      <c r="G96" s="893">
        <v>41</v>
      </c>
      <c r="H96" s="894">
        <v>42</v>
      </c>
      <c r="I96" s="836"/>
    </row>
    <row r="97" spans="2:28" ht="25.5">
      <c r="B97" s="895" t="s">
        <v>6540</v>
      </c>
      <c r="C97" s="896">
        <f>AVERAGE(C90:E90)</f>
        <v>279.78177575930317</v>
      </c>
      <c r="D97" s="896">
        <f>AVERAGE(C90:G90)</f>
        <v>262.04127228148093</v>
      </c>
      <c r="E97" s="897">
        <f>AVERAGE(C90:L90)</f>
        <v>237.51533534138557</v>
      </c>
      <c r="F97" s="898" t="s">
        <v>6548</v>
      </c>
      <c r="G97" s="899">
        <v>285</v>
      </c>
      <c r="H97" s="900">
        <v>290</v>
      </c>
      <c r="I97" s="836"/>
    </row>
    <row r="98" spans="2:28" ht="25.5">
      <c r="B98" s="1064" t="s">
        <v>6541</v>
      </c>
      <c r="C98" s="1065">
        <f>AVERAGE(C91:E91)</f>
        <v>-16.54874625673861</v>
      </c>
      <c r="D98" s="1065">
        <f>AVERAGE(C91:G91)</f>
        <v>-3.4705747722436229</v>
      </c>
      <c r="E98" s="1065">
        <f>AVERAGE(C91:L91)</f>
        <v>13.744986416890129</v>
      </c>
      <c r="F98" s="1066" t="s">
        <v>6549</v>
      </c>
      <c r="G98" s="1067">
        <f>G95+G96-G97</f>
        <v>-20</v>
      </c>
      <c r="H98" s="1067">
        <f>H95+H96-H97</f>
        <v>-23</v>
      </c>
      <c r="I98" s="836"/>
    </row>
    <row r="101" spans="2:28">
      <c r="C101" s="835">
        <v>2023</v>
      </c>
      <c r="D101" s="835">
        <v>2022</v>
      </c>
      <c r="E101" s="835">
        <v>2021</v>
      </c>
      <c r="F101" s="835">
        <v>2020</v>
      </c>
      <c r="G101" s="835">
        <v>2019</v>
      </c>
      <c r="H101" s="835">
        <v>2018</v>
      </c>
      <c r="I101" s="835">
        <v>2017</v>
      </c>
      <c r="J101" s="835">
        <v>2016</v>
      </c>
      <c r="K101" s="835">
        <v>2015</v>
      </c>
      <c r="L101" s="835">
        <v>2014</v>
      </c>
    </row>
    <row r="102" spans="2:28">
      <c r="B102" s="832" t="s">
        <v>279</v>
      </c>
      <c r="C102" s="834">
        <f>'Fin. Data'!B5-'Fin. Data'!B7</f>
        <v>684.19999999999982</v>
      </c>
      <c r="D102" s="805">
        <f>'Fin. Data'!C5-'Fin. Data'!C7</f>
        <v>615.10000000000014</v>
      </c>
      <c r="E102" s="805">
        <f>'Fin. Data'!D5-'Fin. Data'!D7</f>
        <v>479.19999999999982</v>
      </c>
      <c r="F102" s="805">
        <f>'Fin. Data'!E5-'Fin. Data'!E7</f>
        <v>350.80000000000018</v>
      </c>
      <c r="G102" s="805">
        <f>'Fin. Data'!F5-'Fin. Data'!F7</f>
        <v>362.40000000000009</v>
      </c>
      <c r="H102" s="805">
        <f>'Fin. Data'!G5-'Fin. Data'!G7</f>
        <v>320.29999999999995</v>
      </c>
      <c r="I102" s="805">
        <f>'Fin. Data'!H5-'Fin. Data'!H7</f>
        <v>276.20000000000005</v>
      </c>
      <c r="J102" s="805">
        <f>'Fin. Data'!I5-'Fin. Data'!I7</f>
        <v>252.29999999999995</v>
      </c>
      <c r="K102" s="805">
        <f>'Fin. Data'!J5-'Fin. Data'!J7</f>
        <v>225.5</v>
      </c>
      <c r="L102" s="805">
        <f>'Fin. Data'!K5-'Fin. Data'!K7</f>
        <v>192.50000000000006</v>
      </c>
    </row>
    <row r="103" spans="2:28">
      <c r="B103" s="833" t="s">
        <v>6550</v>
      </c>
      <c r="C103" s="752">
        <f>C102/'Fin. Data'!B5</f>
        <v>0.2292741773339588</v>
      </c>
      <c r="D103" s="744">
        <f>D102/'Fin. Data'!C5</f>
        <v>0.23631334280994279</v>
      </c>
      <c r="E103" s="744">
        <f>E102/'Fin. Data'!D5</f>
        <v>0.23420165192317083</v>
      </c>
      <c r="F103" s="744">
        <f>F102/'Fin. Data'!E5</f>
        <v>0.24354346014995845</v>
      </c>
      <c r="G103" s="744">
        <f>G102/'Fin. Data'!F5</f>
        <v>0.2226454506358666</v>
      </c>
      <c r="H103" s="744">
        <f>H102/'Fin. Data'!G5</f>
        <v>0.2255474966551651</v>
      </c>
      <c r="I103" s="744">
        <f>I102/'Fin. Data'!H5</f>
        <v>0.23138141911703111</v>
      </c>
      <c r="J103" s="744">
        <f>J102/'Fin. Data'!I5</f>
        <v>0.24252619436700948</v>
      </c>
      <c r="K103" s="744">
        <f>K102/'Fin. Data'!J5</f>
        <v>0.256133575647433</v>
      </c>
      <c r="L103" s="744">
        <f>L102/'Fin. Data'!K5</f>
        <v>0.27729760875828297</v>
      </c>
      <c r="N103" s="806"/>
    </row>
    <row r="106" spans="2:28">
      <c r="B106" s="807" t="s">
        <v>6526</v>
      </c>
      <c r="C106" s="808">
        <f>AVERAGE(C103:L103)</f>
        <v>0.23988643773978188</v>
      </c>
      <c r="E106" s="809" t="s">
        <v>6546</v>
      </c>
      <c r="F106" s="808">
        <v>0.23499999999999999</v>
      </c>
      <c r="G106" s="1365" t="s">
        <v>6551</v>
      </c>
    </row>
    <row r="107" spans="2:28">
      <c r="B107" s="810" t="s">
        <v>6552</v>
      </c>
      <c r="C107" s="811">
        <f>AVERAGE(C103:G103)</f>
        <v>0.23319561657057947</v>
      </c>
      <c r="E107" s="812" t="s">
        <v>6547</v>
      </c>
      <c r="F107" s="813">
        <v>0.23499999999999999</v>
      </c>
      <c r="G107" s="1366"/>
      <c r="H107" s="814"/>
    </row>
    <row r="108" spans="2:28">
      <c r="B108" s="804" t="s">
        <v>6553</v>
      </c>
      <c r="C108" s="813">
        <f>AVERAGE(C103:E103)</f>
        <v>0.23326305735569078</v>
      </c>
    </row>
    <row r="111" spans="2:28">
      <c r="B111"/>
      <c r="C111" s="815">
        <v>2024</v>
      </c>
      <c r="D111" s="816">
        <v>2025</v>
      </c>
      <c r="E111" s="816">
        <v>2026</v>
      </c>
      <c r="F111" s="815">
        <v>2027</v>
      </c>
      <c r="G111" s="816">
        <v>2028</v>
      </c>
      <c r="H111" s="816">
        <v>2029</v>
      </c>
      <c r="I111" s="815">
        <v>2030</v>
      </c>
      <c r="J111" s="816">
        <v>2031</v>
      </c>
      <c r="K111" s="816">
        <v>2032</v>
      </c>
      <c r="L111" s="815">
        <v>2033</v>
      </c>
      <c r="M111" s="816">
        <v>2034</v>
      </c>
      <c r="N111" s="816">
        <v>2035</v>
      </c>
      <c r="O111" s="815">
        <v>2036</v>
      </c>
      <c r="P111" s="816">
        <v>2037</v>
      </c>
      <c r="Q111" s="816">
        <v>2038</v>
      </c>
      <c r="R111" s="815">
        <v>2039</v>
      </c>
      <c r="S111" s="816">
        <v>2040</v>
      </c>
      <c r="T111" s="816">
        <v>2041</v>
      </c>
      <c r="U111" s="815">
        <v>2042</v>
      </c>
      <c r="V111" s="816">
        <v>2043</v>
      </c>
      <c r="W111" s="816">
        <v>2044</v>
      </c>
      <c r="X111" s="815">
        <v>2045</v>
      </c>
      <c r="Y111" s="816">
        <v>2046</v>
      </c>
      <c r="Z111" s="816">
        <v>2047</v>
      </c>
      <c r="AA111" s="815">
        <v>2048</v>
      </c>
      <c r="AB111" s="816">
        <v>2049</v>
      </c>
    </row>
    <row r="112" spans="2:28">
      <c r="B112" s="817" t="s">
        <v>6554</v>
      </c>
      <c r="C112" s="837">
        <f>F106*C44</f>
        <v>806.48004999999978</v>
      </c>
      <c r="D112" s="837">
        <f>F106*D44</f>
        <v>915.35485674999984</v>
      </c>
      <c r="E112" s="837">
        <f>(23.5%)*E44</f>
        <v>1025.1974395599998</v>
      </c>
      <c r="F112" s="837">
        <f t="shared" ref="F112:AB112" si="14">(23.5%)*F44</f>
        <v>1132.8431707138</v>
      </c>
      <c r="G112" s="837">
        <f t="shared" si="14"/>
        <v>1234.799056078042</v>
      </c>
      <c r="H112" s="837">
        <f t="shared" si="14"/>
        <v>1341.6091744287926</v>
      </c>
      <c r="I112" s="837">
        <f t="shared" si="14"/>
        <v>1452.9627359063822</v>
      </c>
      <c r="J112" s="837">
        <f t="shared" si="14"/>
        <v>1568.4732734109396</v>
      </c>
      <c r="K112" s="837">
        <f t="shared" si="14"/>
        <v>1687.677242190171</v>
      </c>
      <c r="L112" s="837">
        <f t="shared" si="14"/>
        <v>1810.0338422489583</v>
      </c>
      <c r="M112" s="837">
        <f t="shared" si="14"/>
        <v>1934.9261773641363</v>
      </c>
      <c r="N112" s="837">
        <f t="shared" si="14"/>
        <v>2061.6638419814872</v>
      </c>
      <c r="O112" s="837">
        <f t="shared" si="14"/>
        <v>2189.4870001843392</v>
      </c>
      <c r="P112" s="837">
        <f t="shared" si="14"/>
        <v>2317.5719896951232</v>
      </c>
      <c r="Q112" s="837">
        <f t="shared" si="14"/>
        <v>2445.0384491283544</v>
      </c>
      <c r="R112" s="837">
        <f t="shared" si="14"/>
        <v>2570.9579292584644</v>
      </c>
      <c r="S112" s="837">
        <f t="shared" si="14"/>
        <v>2694.363909862871</v>
      </c>
      <c r="T112" s="837">
        <f t="shared" si="14"/>
        <v>2814.2631038517688</v>
      </c>
      <c r="U112" s="837">
        <f t="shared" si="14"/>
        <v>2929.647891109691</v>
      </c>
      <c r="V112" s="837">
        <f t="shared" si="14"/>
        <v>3039.5096870263042</v>
      </c>
      <c r="W112" s="837">
        <f t="shared" si="14"/>
        <v>3142.8530163851988</v>
      </c>
      <c r="X112" s="837">
        <f t="shared" si="14"/>
        <v>3238.7100333849471</v>
      </c>
      <c r="Y112" s="837">
        <f t="shared" si="14"/>
        <v>3326.15520428634</v>
      </c>
      <c r="Z112" s="837">
        <f t="shared" si="14"/>
        <v>3404.3198515870686</v>
      </c>
      <c r="AA112" s="837">
        <f t="shared" si="14"/>
        <v>3472.40624861881</v>
      </c>
      <c r="AB112" s="837">
        <f t="shared" si="14"/>
        <v>3529.7009517210199</v>
      </c>
    </row>
    <row r="114" spans="2:28">
      <c r="B114"/>
      <c r="C114"/>
      <c r="D114"/>
      <c r="E114"/>
      <c r="F114"/>
      <c r="G114"/>
      <c r="H114"/>
      <c r="I114"/>
      <c r="J114"/>
      <c r="K114"/>
      <c r="L114"/>
      <c r="M114"/>
      <c r="N114"/>
      <c r="O114"/>
      <c r="P114"/>
      <c r="Q114"/>
      <c r="R114"/>
      <c r="S114"/>
      <c r="T114"/>
      <c r="U114"/>
      <c r="V114"/>
      <c r="W114"/>
      <c r="X114"/>
      <c r="Y114"/>
      <c r="Z114"/>
      <c r="AA114"/>
      <c r="AB114"/>
    </row>
    <row r="115" spans="2:28">
      <c r="B115"/>
      <c r="C115"/>
      <c r="D115"/>
      <c r="E115"/>
      <c r="F115"/>
      <c r="G115"/>
      <c r="H115"/>
      <c r="I115"/>
      <c r="J115"/>
      <c r="K115"/>
      <c r="L115"/>
      <c r="M115"/>
      <c r="N115"/>
      <c r="O115"/>
      <c r="P115"/>
      <c r="Q115"/>
      <c r="R115"/>
      <c r="S115"/>
      <c r="T115"/>
      <c r="U115"/>
      <c r="V115"/>
      <c r="W115"/>
      <c r="X115"/>
      <c r="Y115"/>
      <c r="Z115"/>
      <c r="AA115"/>
      <c r="AB115"/>
    </row>
    <row r="116" spans="2:28">
      <c r="B116"/>
      <c r="C116" s="818">
        <v>2024</v>
      </c>
      <c r="D116" s="819">
        <v>2025</v>
      </c>
      <c r="E116" s="819">
        <v>2026</v>
      </c>
      <c r="F116" s="819">
        <v>2027</v>
      </c>
      <c r="G116" s="818">
        <v>2028</v>
      </c>
      <c r="H116" s="819">
        <v>2029</v>
      </c>
      <c r="I116" s="819">
        <v>2030</v>
      </c>
      <c r="J116" s="819">
        <v>2031</v>
      </c>
      <c r="K116" s="818">
        <v>2032</v>
      </c>
      <c r="L116" s="819">
        <v>2033</v>
      </c>
      <c r="M116" s="819">
        <v>2034</v>
      </c>
      <c r="N116" s="819">
        <v>2035</v>
      </c>
      <c r="O116" s="818">
        <v>2036</v>
      </c>
      <c r="P116" s="819">
        <v>2037</v>
      </c>
      <c r="Q116" s="819">
        <v>2038</v>
      </c>
      <c r="R116" s="819">
        <v>2039</v>
      </c>
      <c r="S116" s="818">
        <v>2040</v>
      </c>
      <c r="T116" s="819">
        <v>2041</v>
      </c>
      <c r="U116" s="819">
        <v>2042</v>
      </c>
      <c r="V116" s="819">
        <v>2043</v>
      </c>
      <c r="W116" s="818">
        <v>2044</v>
      </c>
      <c r="X116" s="819">
        <v>2045</v>
      </c>
      <c r="Y116" s="819">
        <v>2046</v>
      </c>
      <c r="Z116" s="819">
        <v>2047</v>
      </c>
      <c r="AA116" s="818">
        <v>2048</v>
      </c>
      <c r="AB116" s="819">
        <v>2049</v>
      </c>
    </row>
    <row r="117" spans="2:28">
      <c r="B117" s="820" t="s">
        <v>6555</v>
      </c>
      <c r="C117" s="821">
        <f>G96</f>
        <v>41</v>
      </c>
      <c r="D117" s="821">
        <v>41</v>
      </c>
      <c r="E117" s="821">
        <v>41</v>
      </c>
      <c r="F117" s="821">
        <v>41</v>
      </c>
      <c r="G117" s="821">
        <v>42</v>
      </c>
      <c r="H117" s="821">
        <v>42</v>
      </c>
      <c r="I117" s="821">
        <v>42</v>
      </c>
      <c r="J117" s="821">
        <v>42</v>
      </c>
      <c r="K117" s="821">
        <v>42</v>
      </c>
      <c r="L117" s="821">
        <v>42</v>
      </c>
      <c r="M117" s="821">
        <v>42</v>
      </c>
      <c r="N117" s="821">
        <v>42</v>
      </c>
      <c r="O117" s="821">
        <v>42</v>
      </c>
      <c r="P117" s="821">
        <v>42</v>
      </c>
      <c r="Q117" s="821">
        <v>42</v>
      </c>
      <c r="R117" s="821">
        <v>42</v>
      </c>
      <c r="S117" s="821">
        <v>42</v>
      </c>
      <c r="T117" s="821">
        <v>42</v>
      </c>
      <c r="U117" s="821">
        <v>42</v>
      </c>
      <c r="V117" s="821">
        <v>42</v>
      </c>
      <c r="W117" s="821">
        <v>42</v>
      </c>
      <c r="X117" s="821">
        <v>42</v>
      </c>
      <c r="Y117" s="821">
        <v>42</v>
      </c>
      <c r="Z117" s="821">
        <v>42</v>
      </c>
      <c r="AA117" s="821">
        <v>42</v>
      </c>
      <c r="AB117" s="821">
        <v>42</v>
      </c>
    </row>
    <row r="118" spans="2:28">
      <c r="B118" s="822" t="s">
        <v>6556</v>
      </c>
      <c r="C118" s="823">
        <f t="shared" ref="C118:AB118" si="15">C117/365*C44</f>
        <v>385.49323287671228</v>
      </c>
      <c r="D118" s="823">
        <f t="shared" si="15"/>
        <v>437.53481931506843</v>
      </c>
      <c r="E118" s="823">
        <f t="shared" si="15"/>
        <v>490.03899763287666</v>
      </c>
      <c r="F118" s="823">
        <f t="shared" si="15"/>
        <v>541.49309238432875</v>
      </c>
      <c r="G118" s="823">
        <f t="shared" si="15"/>
        <v>604.62326266718469</v>
      </c>
      <c r="H118" s="823">
        <f t="shared" si="15"/>
        <v>656.92317488789615</v>
      </c>
      <c r="I118" s="823">
        <f t="shared" si="15"/>
        <v>711.44779840359138</v>
      </c>
      <c r="J118" s="823">
        <f t="shared" si="15"/>
        <v>768.00789837667685</v>
      </c>
      <c r="K118" s="823">
        <f t="shared" si="15"/>
        <v>826.37649865330445</v>
      </c>
      <c r="L118" s="823">
        <f t="shared" si="15"/>
        <v>886.28879480566889</v>
      </c>
      <c r="M118" s="823">
        <f t="shared" si="15"/>
        <v>947.44272164725999</v>
      </c>
      <c r="N118" s="823">
        <f t="shared" si="15"/>
        <v>1009.5002199151554</v>
      </c>
      <c r="O118" s="823">
        <f t="shared" si="15"/>
        <v>1072.089233549895</v>
      </c>
      <c r="P118" s="823">
        <f t="shared" si="15"/>
        <v>1134.806453712564</v>
      </c>
      <c r="Q118" s="823">
        <f t="shared" si="15"/>
        <v>1197.2208086667547</v>
      </c>
      <c r="R118" s="823">
        <f t="shared" si="15"/>
        <v>1258.8776803130927</v>
      </c>
      <c r="S118" s="823">
        <f t="shared" si="15"/>
        <v>1319.3038089681211</v>
      </c>
      <c r="T118" s="823">
        <f t="shared" si="15"/>
        <v>1378.0128284672026</v>
      </c>
      <c r="U118" s="823">
        <f t="shared" si="15"/>
        <v>1434.5113544343578</v>
      </c>
      <c r="V118" s="823">
        <f t="shared" si="15"/>
        <v>1488.305530225646</v>
      </c>
      <c r="W118" s="823">
        <f t="shared" si="15"/>
        <v>1538.907918253318</v>
      </c>
      <c r="X118" s="823">
        <f t="shared" si="15"/>
        <v>1585.844609760044</v>
      </c>
      <c r="Y118" s="823">
        <f t="shared" si="15"/>
        <v>1628.6624142235651</v>
      </c>
      <c r="Z118" s="823">
        <f t="shared" si="15"/>
        <v>1666.9359809578184</v>
      </c>
      <c r="AA118" s="823">
        <f t="shared" si="15"/>
        <v>1700.274700576975</v>
      </c>
      <c r="AB118" s="823">
        <f t="shared" si="15"/>
        <v>1728.3292331364948</v>
      </c>
    </row>
    <row r="119" spans="2:28">
      <c r="B119"/>
      <c r="C119"/>
      <c r="D119"/>
      <c r="E119"/>
      <c r="F119"/>
      <c r="G119"/>
      <c r="H119"/>
      <c r="I119"/>
      <c r="J119"/>
      <c r="K119"/>
      <c r="L119"/>
      <c r="M119"/>
      <c r="N119"/>
      <c r="O119"/>
      <c r="P119"/>
      <c r="Q119"/>
      <c r="R119"/>
      <c r="S119"/>
      <c r="T119"/>
      <c r="U119"/>
      <c r="V119"/>
      <c r="W119"/>
      <c r="X119"/>
      <c r="Y119"/>
      <c r="Z119"/>
      <c r="AA119"/>
      <c r="AB119"/>
    </row>
    <row r="120" spans="2:28">
      <c r="B120"/>
      <c r="C120" s="818">
        <v>2024</v>
      </c>
      <c r="D120" s="819">
        <v>2025</v>
      </c>
      <c r="E120" s="819">
        <v>2026</v>
      </c>
      <c r="F120" s="819">
        <v>2027</v>
      </c>
      <c r="G120" s="818">
        <v>2028</v>
      </c>
      <c r="H120" s="819">
        <v>2029</v>
      </c>
      <c r="I120" s="819">
        <v>2030</v>
      </c>
      <c r="J120" s="819">
        <v>2031</v>
      </c>
      <c r="K120" s="818">
        <v>2032</v>
      </c>
      <c r="L120" s="819">
        <v>2033</v>
      </c>
      <c r="M120" s="819">
        <v>2034</v>
      </c>
      <c r="N120" s="819">
        <v>2035</v>
      </c>
      <c r="O120" s="818">
        <v>2036</v>
      </c>
      <c r="P120" s="819">
        <v>2037</v>
      </c>
      <c r="Q120" s="819">
        <v>2038</v>
      </c>
      <c r="R120" s="819">
        <v>2039</v>
      </c>
      <c r="S120" s="818">
        <v>2040</v>
      </c>
      <c r="T120" s="819">
        <v>2041</v>
      </c>
      <c r="U120" s="819">
        <v>2042</v>
      </c>
      <c r="V120" s="819">
        <v>2043</v>
      </c>
      <c r="W120" s="818">
        <v>2044</v>
      </c>
      <c r="X120" s="819">
        <v>2045</v>
      </c>
      <c r="Y120" s="819">
        <v>2046</v>
      </c>
      <c r="Z120" s="819">
        <v>2047</v>
      </c>
      <c r="AA120" s="818">
        <v>2048</v>
      </c>
      <c r="AB120" s="819">
        <v>2049</v>
      </c>
    </row>
    <row r="121" spans="2:28">
      <c r="B121" s="820" t="s">
        <v>6540</v>
      </c>
      <c r="C121" s="821">
        <f>G97</f>
        <v>285</v>
      </c>
      <c r="D121" s="821">
        <v>285</v>
      </c>
      <c r="E121" s="821">
        <v>285</v>
      </c>
      <c r="F121" s="821">
        <v>285</v>
      </c>
      <c r="G121" s="821">
        <v>290</v>
      </c>
      <c r="H121" s="821">
        <v>290</v>
      </c>
      <c r="I121" s="821">
        <v>290</v>
      </c>
      <c r="J121" s="821">
        <v>290</v>
      </c>
      <c r="K121" s="821">
        <v>290</v>
      </c>
      <c r="L121" s="821">
        <v>290</v>
      </c>
      <c r="M121" s="821">
        <v>290</v>
      </c>
      <c r="N121" s="821">
        <v>290</v>
      </c>
      <c r="O121" s="821">
        <v>290</v>
      </c>
      <c r="P121" s="821">
        <v>290</v>
      </c>
      <c r="Q121" s="821">
        <v>290</v>
      </c>
      <c r="R121" s="821">
        <v>290</v>
      </c>
      <c r="S121" s="821">
        <v>290</v>
      </c>
      <c r="T121" s="821">
        <v>290</v>
      </c>
      <c r="U121" s="821">
        <v>290</v>
      </c>
      <c r="V121" s="821">
        <v>290</v>
      </c>
      <c r="W121" s="821">
        <v>290</v>
      </c>
      <c r="X121" s="821">
        <v>290</v>
      </c>
      <c r="Y121" s="821">
        <v>290</v>
      </c>
      <c r="Z121" s="821">
        <v>290</v>
      </c>
      <c r="AA121" s="821">
        <v>290</v>
      </c>
      <c r="AB121" s="821">
        <v>290</v>
      </c>
    </row>
    <row r="122" spans="2:28">
      <c r="B122" s="822" t="s">
        <v>6557</v>
      </c>
      <c r="C122" s="823">
        <f t="shared" ref="C122:AB122" si="16">C121/365*C112</f>
        <v>629.71729931506832</v>
      </c>
      <c r="D122" s="823">
        <f t="shared" si="16"/>
        <v>714.72913472260268</v>
      </c>
      <c r="E122" s="823">
        <f t="shared" si="16"/>
        <v>800.49663088931493</v>
      </c>
      <c r="F122" s="823">
        <f t="shared" si="16"/>
        <v>884.54877713269309</v>
      </c>
      <c r="G122" s="823">
        <f t="shared" si="16"/>
        <v>981.07322263734841</v>
      </c>
      <c r="H122" s="823">
        <f t="shared" si="16"/>
        <v>1065.936056395479</v>
      </c>
      <c r="I122" s="823">
        <f t="shared" si="16"/>
        <v>1154.4087490763036</v>
      </c>
      <c r="J122" s="823">
        <f t="shared" si="16"/>
        <v>1246.1842446278697</v>
      </c>
      <c r="K122" s="823">
        <f t="shared" si="16"/>
        <v>1340.8942472195879</v>
      </c>
      <c r="L122" s="823">
        <f t="shared" si="16"/>
        <v>1438.109080143008</v>
      </c>
      <c r="M122" s="823">
        <f t="shared" si="16"/>
        <v>1537.3386066728754</v>
      </c>
      <c r="N122" s="823">
        <f t="shared" si="16"/>
        <v>1638.0342854099486</v>
      </c>
      <c r="O122" s="823">
        <f t="shared" si="16"/>
        <v>1739.5924111053653</v>
      </c>
      <c r="P122" s="823">
        <f t="shared" si="16"/>
        <v>1841.3585671550293</v>
      </c>
      <c r="Q122" s="823">
        <f t="shared" si="16"/>
        <v>1942.6332883485554</v>
      </c>
      <c r="R122" s="823">
        <f t="shared" si="16"/>
        <v>2042.6789026985059</v>
      </c>
      <c r="S122" s="823">
        <f t="shared" si="16"/>
        <v>2140.7274900280345</v>
      </c>
      <c r="T122" s="823">
        <f t="shared" si="16"/>
        <v>2235.9898633342818</v>
      </c>
      <c r="U122" s="823">
        <f t="shared" si="16"/>
        <v>2327.6654477309871</v>
      </c>
      <c r="V122" s="823">
        <f t="shared" si="16"/>
        <v>2414.9529020208993</v>
      </c>
      <c r="W122" s="823">
        <f t="shared" si="16"/>
        <v>2497.0613006896097</v>
      </c>
      <c r="X122" s="823">
        <f t="shared" si="16"/>
        <v>2573.2216703606427</v>
      </c>
      <c r="Y122" s="823">
        <f t="shared" si="16"/>
        <v>2642.6986554603795</v>
      </c>
      <c r="Z122" s="823">
        <f t="shared" si="16"/>
        <v>2704.8020738636983</v>
      </c>
      <c r="AA122" s="823">
        <f t="shared" si="16"/>
        <v>2758.8981153409723</v>
      </c>
      <c r="AB122" s="823">
        <f t="shared" si="16"/>
        <v>2804.4199342440979</v>
      </c>
    </row>
    <row r="123" spans="2:28">
      <c r="B123"/>
      <c r="C123"/>
      <c r="D123"/>
      <c r="E123"/>
      <c r="F123"/>
      <c r="G123"/>
      <c r="H123"/>
      <c r="I123"/>
      <c r="J123"/>
      <c r="K123"/>
      <c r="L123"/>
      <c r="M123"/>
      <c r="N123"/>
      <c r="O123"/>
      <c r="P123"/>
      <c r="Q123"/>
      <c r="R123"/>
      <c r="S123"/>
      <c r="T123"/>
      <c r="U123"/>
      <c r="V123"/>
      <c r="W123"/>
      <c r="X123"/>
      <c r="Y123"/>
      <c r="Z123"/>
      <c r="AA123"/>
      <c r="AB123"/>
    </row>
    <row r="124" spans="2:28">
      <c r="B124"/>
      <c r="C124" s="818">
        <v>2024</v>
      </c>
      <c r="D124" s="819">
        <v>2025</v>
      </c>
      <c r="E124" s="819">
        <v>2026</v>
      </c>
      <c r="F124" s="819">
        <v>2027</v>
      </c>
      <c r="G124" s="818">
        <v>2028</v>
      </c>
      <c r="H124" s="819">
        <v>2029</v>
      </c>
      <c r="I124" s="819">
        <v>2030</v>
      </c>
      <c r="J124" s="819">
        <v>2031</v>
      </c>
      <c r="K124" s="818">
        <v>2032</v>
      </c>
      <c r="L124" s="819">
        <v>2033</v>
      </c>
      <c r="M124" s="819">
        <v>2034</v>
      </c>
      <c r="N124" s="819">
        <v>2035</v>
      </c>
      <c r="O124" s="818">
        <v>2036</v>
      </c>
      <c r="P124" s="819">
        <v>2037</v>
      </c>
      <c r="Q124" s="819">
        <v>2038</v>
      </c>
      <c r="R124" s="819">
        <v>2039</v>
      </c>
      <c r="S124" s="818">
        <v>2040</v>
      </c>
      <c r="T124" s="819">
        <v>2041</v>
      </c>
      <c r="U124" s="819">
        <v>2042</v>
      </c>
      <c r="V124" s="819">
        <v>2043</v>
      </c>
      <c r="W124" s="818">
        <v>2044</v>
      </c>
      <c r="X124" s="819">
        <v>2045</v>
      </c>
      <c r="Y124" s="819">
        <v>2046</v>
      </c>
      <c r="Z124" s="819">
        <v>2047</v>
      </c>
      <c r="AA124" s="818">
        <v>2048</v>
      </c>
      <c r="AB124" s="819">
        <v>2049</v>
      </c>
    </row>
    <row r="125" spans="2:28">
      <c r="B125" s="820" t="s">
        <v>6558</v>
      </c>
      <c r="C125" s="824">
        <f>C126+C117-C121</f>
        <v>-20</v>
      </c>
      <c r="D125" s="824">
        <f t="shared" ref="D125:AB125" si="17">D126+D117-D121</f>
        <v>-20</v>
      </c>
      <c r="E125" s="824">
        <f t="shared" si="17"/>
        <v>-20</v>
      </c>
      <c r="F125" s="824">
        <f t="shared" si="17"/>
        <v>-20</v>
      </c>
      <c r="G125" s="824">
        <f t="shared" si="17"/>
        <v>-23</v>
      </c>
      <c r="H125" s="824">
        <f t="shared" si="17"/>
        <v>-23</v>
      </c>
      <c r="I125" s="824">
        <f t="shared" si="17"/>
        <v>-23</v>
      </c>
      <c r="J125" s="824">
        <f t="shared" si="17"/>
        <v>-23</v>
      </c>
      <c r="K125" s="824">
        <f t="shared" si="17"/>
        <v>-23</v>
      </c>
      <c r="L125" s="824">
        <f t="shared" si="17"/>
        <v>-23</v>
      </c>
      <c r="M125" s="824">
        <f t="shared" si="17"/>
        <v>-23</v>
      </c>
      <c r="N125" s="824">
        <f t="shared" si="17"/>
        <v>-23</v>
      </c>
      <c r="O125" s="824">
        <f t="shared" si="17"/>
        <v>-23</v>
      </c>
      <c r="P125" s="824">
        <f t="shared" si="17"/>
        <v>-23</v>
      </c>
      <c r="Q125" s="824">
        <f t="shared" si="17"/>
        <v>-23</v>
      </c>
      <c r="R125" s="824">
        <f t="shared" si="17"/>
        <v>-23</v>
      </c>
      <c r="S125" s="824">
        <f t="shared" si="17"/>
        <v>-23</v>
      </c>
      <c r="T125" s="824">
        <f t="shared" si="17"/>
        <v>-23</v>
      </c>
      <c r="U125" s="824">
        <f t="shared" si="17"/>
        <v>-23</v>
      </c>
      <c r="V125" s="824">
        <f t="shared" si="17"/>
        <v>-23</v>
      </c>
      <c r="W125" s="824">
        <f t="shared" si="17"/>
        <v>-23</v>
      </c>
      <c r="X125" s="824">
        <f t="shared" si="17"/>
        <v>-23</v>
      </c>
      <c r="Y125" s="824">
        <f t="shared" si="17"/>
        <v>-23</v>
      </c>
      <c r="Z125" s="824">
        <f t="shared" si="17"/>
        <v>-23</v>
      </c>
      <c r="AA125" s="824">
        <f t="shared" si="17"/>
        <v>-23</v>
      </c>
      <c r="AB125" s="824">
        <f t="shared" si="17"/>
        <v>-23</v>
      </c>
    </row>
    <row r="126" spans="2:28">
      <c r="B126" s="822" t="s">
        <v>6559</v>
      </c>
      <c r="C126" s="823">
        <f>G95</f>
        <v>224</v>
      </c>
      <c r="D126" s="823">
        <v>224</v>
      </c>
      <c r="E126" s="823">
        <v>224</v>
      </c>
      <c r="F126" s="823">
        <v>224</v>
      </c>
      <c r="G126" s="823">
        <f>H95</f>
        <v>225</v>
      </c>
      <c r="H126" s="823">
        <v>225</v>
      </c>
      <c r="I126" s="823">
        <v>225</v>
      </c>
      <c r="J126" s="823">
        <v>225</v>
      </c>
      <c r="K126" s="823">
        <v>225</v>
      </c>
      <c r="L126" s="823">
        <v>225</v>
      </c>
      <c r="M126" s="823">
        <v>225</v>
      </c>
      <c r="N126" s="823">
        <v>225</v>
      </c>
      <c r="O126" s="823">
        <v>225</v>
      </c>
      <c r="P126" s="823">
        <v>225</v>
      </c>
      <c r="Q126" s="823">
        <v>225</v>
      </c>
      <c r="R126" s="823">
        <v>225</v>
      </c>
      <c r="S126" s="823">
        <v>225</v>
      </c>
      <c r="T126" s="823">
        <v>225</v>
      </c>
      <c r="U126" s="823">
        <v>225</v>
      </c>
      <c r="V126" s="823">
        <v>225</v>
      </c>
      <c r="W126" s="823">
        <v>225</v>
      </c>
      <c r="X126" s="823">
        <v>225</v>
      </c>
      <c r="Y126" s="823">
        <v>225</v>
      </c>
      <c r="Z126" s="823">
        <v>225</v>
      </c>
      <c r="AA126" s="823">
        <v>225</v>
      </c>
      <c r="AB126" s="823">
        <v>225</v>
      </c>
    </row>
    <row r="127" spans="2:28">
      <c r="B127" s="822" t="s">
        <v>6560</v>
      </c>
      <c r="C127" s="825">
        <f>C126/365*C112</f>
        <v>494.9357019178081</v>
      </c>
      <c r="D127" s="825">
        <f t="shared" ref="D127:AB127" si="18">D126/365*D112</f>
        <v>561.75202167671227</v>
      </c>
      <c r="E127" s="825">
        <f t="shared" si="18"/>
        <v>629.16226427791776</v>
      </c>
      <c r="F127" s="825">
        <f t="shared" si="18"/>
        <v>695.22430202709916</v>
      </c>
      <c r="G127" s="825">
        <f t="shared" si="18"/>
        <v>761.17750032208073</v>
      </c>
      <c r="H127" s="825">
        <f t="shared" si="18"/>
        <v>827.01935409994064</v>
      </c>
      <c r="I127" s="825">
        <f t="shared" si="18"/>
        <v>895.66196049023563</v>
      </c>
      <c r="J127" s="825">
        <f t="shared" si="18"/>
        <v>966.86708634920933</v>
      </c>
      <c r="K127" s="825">
        <f t="shared" si="18"/>
        <v>1040.3489849117493</v>
      </c>
      <c r="L127" s="825">
        <f t="shared" si="18"/>
        <v>1115.774286317851</v>
      </c>
      <c r="M127" s="825">
        <f t="shared" si="18"/>
        <v>1192.7627120737827</v>
      </c>
      <c r="N127" s="825">
        <f t="shared" si="18"/>
        <v>1270.8886697146154</v>
      </c>
      <c r="O127" s="825">
        <f t="shared" si="18"/>
        <v>1349.6837672369215</v>
      </c>
      <c r="P127" s="825">
        <f t="shared" si="18"/>
        <v>1428.6402676202815</v>
      </c>
      <c r="Q127" s="825">
        <f t="shared" si="18"/>
        <v>1507.2154823393967</v>
      </c>
      <c r="R127" s="825">
        <f t="shared" si="18"/>
        <v>1584.8370796798754</v>
      </c>
      <c r="S127" s="825">
        <f t="shared" si="18"/>
        <v>1660.9092595045095</v>
      </c>
      <c r="T127" s="825">
        <f t="shared" si="18"/>
        <v>1734.8197215524604</v>
      </c>
      <c r="U127" s="825">
        <f t="shared" si="18"/>
        <v>1805.9473301361111</v>
      </c>
      <c r="V127" s="825">
        <f t="shared" si="18"/>
        <v>1873.6703550162149</v>
      </c>
      <c r="W127" s="825">
        <f t="shared" si="18"/>
        <v>1937.3751470867664</v>
      </c>
      <c r="X127" s="825">
        <f t="shared" si="18"/>
        <v>1996.4650890729126</v>
      </c>
      <c r="Y127" s="825">
        <f t="shared" si="18"/>
        <v>2050.3696464778809</v>
      </c>
      <c r="Z127" s="825">
        <f t="shared" si="18"/>
        <v>2098.5533331701108</v>
      </c>
      <c r="AA127" s="825">
        <f t="shared" si="18"/>
        <v>2140.5243998335131</v>
      </c>
      <c r="AB127" s="825">
        <f t="shared" si="18"/>
        <v>2175.843052430766</v>
      </c>
    </row>
    <row r="128" spans="2:28">
      <c r="B128"/>
      <c r="C128"/>
      <c r="D128"/>
      <c r="E128"/>
      <c r="F128"/>
      <c r="G128"/>
      <c r="H128"/>
      <c r="I128"/>
      <c r="J128"/>
      <c r="K128"/>
      <c r="L128"/>
      <c r="M128"/>
      <c r="N128"/>
      <c r="O128"/>
      <c r="P128"/>
      <c r="Q128"/>
      <c r="R128"/>
      <c r="S128"/>
      <c r="T128"/>
      <c r="U128"/>
      <c r="V128"/>
      <c r="W128"/>
      <c r="X128"/>
      <c r="Y128"/>
      <c r="Z128"/>
      <c r="AA128"/>
      <c r="AB128"/>
    </row>
    <row r="129" spans="2:28">
      <c r="B129" s="826" t="s">
        <v>6561</v>
      </c>
      <c r="C129" s="827">
        <f>C118+C127-C122</f>
        <v>250.71163547945207</v>
      </c>
      <c r="D129" s="827">
        <f t="shared" ref="D129:AB129" si="19">D118+D127-D122</f>
        <v>284.55770626917808</v>
      </c>
      <c r="E129" s="827">
        <f t="shared" si="19"/>
        <v>318.7046310214796</v>
      </c>
      <c r="F129" s="827">
        <f t="shared" si="19"/>
        <v>352.16861727873481</v>
      </c>
      <c r="G129" s="827">
        <f t="shared" si="19"/>
        <v>384.72754035191701</v>
      </c>
      <c r="H129" s="827">
        <f t="shared" si="19"/>
        <v>418.0064725923578</v>
      </c>
      <c r="I129" s="827">
        <f t="shared" si="19"/>
        <v>452.7010098175233</v>
      </c>
      <c r="J129" s="827">
        <f t="shared" si="19"/>
        <v>488.69074009801648</v>
      </c>
      <c r="K129" s="827">
        <f t="shared" si="19"/>
        <v>525.83123634546587</v>
      </c>
      <c r="L129" s="827">
        <f t="shared" si="19"/>
        <v>563.95400098051186</v>
      </c>
      <c r="M129" s="827">
        <f t="shared" si="19"/>
        <v>602.86682704816758</v>
      </c>
      <c r="N129" s="827">
        <f t="shared" si="19"/>
        <v>642.35460421982225</v>
      </c>
      <c r="O129" s="827">
        <f t="shared" si="19"/>
        <v>682.18058968145147</v>
      </c>
      <c r="P129" s="827">
        <f t="shared" si="19"/>
        <v>722.08815417781602</v>
      </c>
      <c r="Q129" s="827">
        <f t="shared" si="19"/>
        <v>761.80300265759593</v>
      </c>
      <c r="R129" s="827">
        <f t="shared" si="19"/>
        <v>801.03585729446218</v>
      </c>
      <c r="S129" s="827">
        <f t="shared" si="19"/>
        <v>839.48557844459629</v>
      </c>
      <c r="T129" s="827">
        <f t="shared" si="19"/>
        <v>876.84268668538107</v>
      </c>
      <c r="U129" s="827">
        <f t="shared" si="19"/>
        <v>912.79323683948178</v>
      </c>
      <c r="V129" s="827">
        <f t="shared" si="19"/>
        <v>947.02298322096158</v>
      </c>
      <c r="W129" s="827">
        <f t="shared" si="19"/>
        <v>979.2217646504746</v>
      </c>
      <c r="X129" s="827">
        <f t="shared" si="19"/>
        <v>1009.0880284723139</v>
      </c>
      <c r="Y129" s="827">
        <f t="shared" si="19"/>
        <v>1036.3334052410664</v>
      </c>
      <c r="Z129" s="827">
        <f t="shared" si="19"/>
        <v>1060.6872402642307</v>
      </c>
      <c r="AA129" s="827">
        <f t="shared" si="19"/>
        <v>1081.9009850695156</v>
      </c>
      <c r="AB129" s="827">
        <f t="shared" si="19"/>
        <v>1099.7523513231627</v>
      </c>
    </row>
    <row r="130" spans="2:28">
      <c r="B130" s="828" t="s">
        <v>6562</v>
      </c>
      <c r="C130" s="829">
        <f>C129-(Inputs!B29+Inputs!B30-Inputs!B43)</f>
        <v>10.519635479452063</v>
      </c>
      <c r="D130" s="829">
        <f>D129-C129</f>
        <v>33.846070789726014</v>
      </c>
      <c r="E130" s="829">
        <f t="shared" ref="E130:AB130" si="20">E129-D129</f>
        <v>34.146924752301516</v>
      </c>
      <c r="F130" s="829">
        <f t="shared" si="20"/>
        <v>33.463986257255215</v>
      </c>
      <c r="G130" s="829">
        <f t="shared" si="20"/>
        <v>32.5589230731822</v>
      </c>
      <c r="H130" s="829">
        <f t="shared" si="20"/>
        <v>33.278932240440781</v>
      </c>
      <c r="I130" s="829">
        <f t="shared" si="20"/>
        <v>34.694537225165504</v>
      </c>
      <c r="J130" s="829">
        <f t="shared" si="20"/>
        <v>35.989730280493177</v>
      </c>
      <c r="K130" s="829">
        <f t="shared" si="20"/>
        <v>37.140496247449391</v>
      </c>
      <c r="L130" s="829">
        <f t="shared" si="20"/>
        <v>38.122764635045996</v>
      </c>
      <c r="M130" s="829">
        <f t="shared" si="20"/>
        <v>38.912826067655715</v>
      </c>
      <c r="N130" s="829">
        <f t="shared" si="20"/>
        <v>39.48777717165467</v>
      </c>
      <c r="O130" s="829">
        <f t="shared" si="20"/>
        <v>39.825985461629216</v>
      </c>
      <c r="P130" s="829">
        <f t="shared" si="20"/>
        <v>39.907564496364557</v>
      </c>
      <c r="Q130" s="829">
        <f t="shared" si="20"/>
        <v>39.714848479779903</v>
      </c>
      <c r="R130" s="829">
        <f t="shared" si="20"/>
        <v>39.23285463686625</v>
      </c>
      <c r="S130" s="829">
        <f t="shared" si="20"/>
        <v>38.44972115013411</v>
      </c>
      <c r="T130" s="829">
        <f t="shared" si="20"/>
        <v>37.357108240784783</v>
      </c>
      <c r="U130" s="829">
        <f t="shared" si="20"/>
        <v>35.950550154100711</v>
      </c>
      <c r="V130" s="829">
        <f t="shared" si="20"/>
        <v>34.229746381479799</v>
      </c>
      <c r="W130" s="829">
        <f t="shared" si="20"/>
        <v>32.198781429513019</v>
      </c>
      <c r="X130" s="829">
        <f t="shared" si="20"/>
        <v>29.866263821839311</v>
      </c>
      <c r="Y130" s="829">
        <f t="shared" si="20"/>
        <v>27.245376768752521</v>
      </c>
      <c r="Z130" s="829">
        <f t="shared" si="20"/>
        <v>24.353835023164265</v>
      </c>
      <c r="AA130" s="829">
        <f t="shared" si="20"/>
        <v>21.213744805284932</v>
      </c>
      <c r="AB130" s="829">
        <f t="shared" si="20"/>
        <v>17.851366253647029</v>
      </c>
    </row>
    <row r="132" spans="2:28">
      <c r="C132" s="835">
        <v>2023</v>
      </c>
      <c r="D132" s="835">
        <f>+C132-1</f>
        <v>2022</v>
      </c>
      <c r="E132" s="835">
        <f>+D132-1</f>
        <v>2021</v>
      </c>
      <c r="F132" s="835">
        <f>+E132-1</f>
        <v>2020</v>
      </c>
      <c r="G132" s="835">
        <f>+F132-1</f>
        <v>2019</v>
      </c>
    </row>
    <row r="133" spans="2:28">
      <c r="B133" s="1034" t="s">
        <v>6563</v>
      </c>
      <c r="C133" s="1035">
        <v>28.3</v>
      </c>
      <c r="D133" s="1035">
        <v>21.9</v>
      </c>
      <c r="E133" s="1035">
        <v>19.600000000000001</v>
      </c>
      <c r="F133" s="1035">
        <v>21</v>
      </c>
      <c r="G133" s="1035">
        <v>20.2</v>
      </c>
    </row>
    <row r="134" spans="2:28">
      <c r="B134" s="1036" t="s">
        <v>6564</v>
      </c>
      <c r="C134" s="1068">
        <f>+Inputs!B45+Inputs!B49</f>
        <v>805.33100000000002</v>
      </c>
      <c r="D134" s="1068">
        <f>+Inputs!C45+Inputs!C49</f>
        <v>837.47899999999993</v>
      </c>
      <c r="E134" s="1068">
        <f>+Inputs!D45+Inputs!D49</f>
        <v>710.30000000000007</v>
      </c>
      <c r="F134" s="1068">
        <f>+Inputs!E45+Inputs!E49</f>
        <v>640.29599999999994</v>
      </c>
      <c r="G134" s="1068">
        <f>+Inputs!F45+Inputs!F49</f>
        <v>639.29999999999995</v>
      </c>
    </row>
    <row r="136" spans="2:28">
      <c r="C136" s="818">
        <v>2024</v>
      </c>
      <c r="D136" s="819">
        <f t="shared" ref="D136:AB136" si="21">+C136+1</f>
        <v>2025</v>
      </c>
      <c r="E136" s="819">
        <f t="shared" si="21"/>
        <v>2026</v>
      </c>
      <c r="F136" s="819">
        <f t="shared" si="21"/>
        <v>2027</v>
      </c>
      <c r="G136" s="818">
        <f t="shared" si="21"/>
        <v>2028</v>
      </c>
      <c r="H136" s="819">
        <f t="shared" si="21"/>
        <v>2029</v>
      </c>
      <c r="I136" s="819">
        <f t="shared" si="21"/>
        <v>2030</v>
      </c>
      <c r="J136" s="819">
        <f t="shared" si="21"/>
        <v>2031</v>
      </c>
      <c r="K136" s="818">
        <f t="shared" si="21"/>
        <v>2032</v>
      </c>
      <c r="L136" s="819">
        <f t="shared" si="21"/>
        <v>2033</v>
      </c>
      <c r="M136" s="819">
        <f t="shared" si="21"/>
        <v>2034</v>
      </c>
      <c r="N136" s="819">
        <f t="shared" si="21"/>
        <v>2035</v>
      </c>
      <c r="O136" s="818">
        <f t="shared" si="21"/>
        <v>2036</v>
      </c>
      <c r="P136" s="819">
        <f t="shared" si="21"/>
        <v>2037</v>
      </c>
      <c r="Q136" s="819">
        <f t="shared" si="21"/>
        <v>2038</v>
      </c>
      <c r="R136" s="819">
        <f t="shared" si="21"/>
        <v>2039</v>
      </c>
      <c r="S136" s="818">
        <f t="shared" si="21"/>
        <v>2040</v>
      </c>
      <c r="T136" s="819">
        <f t="shared" si="21"/>
        <v>2041</v>
      </c>
      <c r="U136" s="819">
        <f t="shared" si="21"/>
        <v>2042</v>
      </c>
      <c r="V136" s="819">
        <f t="shared" si="21"/>
        <v>2043</v>
      </c>
      <c r="W136" s="818">
        <f t="shared" si="21"/>
        <v>2044</v>
      </c>
      <c r="X136" s="819">
        <f t="shared" si="21"/>
        <v>2045</v>
      </c>
      <c r="Y136" s="819">
        <f t="shared" si="21"/>
        <v>2046</v>
      </c>
      <c r="Z136" s="819">
        <f t="shared" si="21"/>
        <v>2047</v>
      </c>
      <c r="AA136" s="818">
        <f t="shared" si="21"/>
        <v>2048</v>
      </c>
      <c r="AB136" s="819">
        <f t="shared" si="21"/>
        <v>2049</v>
      </c>
    </row>
    <row r="137" spans="2:28">
      <c r="B137" s="820" t="s">
        <v>6565</v>
      </c>
      <c r="C137" s="824">
        <f>805*(1+DCF!G5)</f>
        <v>925.74999999999989</v>
      </c>
      <c r="D137" s="824">
        <f>C137*(1+DCF!H5)</f>
        <v>1050.7262499999999</v>
      </c>
      <c r="E137" s="824">
        <f>D137*(1+DCF!I5)</f>
        <v>1176.8134</v>
      </c>
      <c r="F137" s="824">
        <f>E137*(1+DCF!J5)</f>
        <v>1300.3788070000001</v>
      </c>
      <c r="G137" s="824">
        <f>F137*(1+DCF!K5)</f>
        <v>1417.4128996300001</v>
      </c>
      <c r="H137" s="824">
        <f>G137*(1+DCF!L5)</f>
        <v>1540.0191154479951</v>
      </c>
      <c r="I137" s="824">
        <f>H137*(1+DCF!M5)</f>
        <v>1667.8407020301786</v>
      </c>
      <c r="J137" s="824">
        <f>I137*(1+DCF!N5)</f>
        <v>1800.4340378415777</v>
      </c>
      <c r="K137" s="824">
        <f>J137*(1+DCF!O5)</f>
        <v>1937.2670247175377</v>
      </c>
      <c r="L137" s="824">
        <f>K137*(1+DCF!P5)</f>
        <v>2077.7188840095591</v>
      </c>
      <c r="M137" s="824">
        <f>L137*(1+DCF!Q5)</f>
        <v>2221.0814870062186</v>
      </c>
      <c r="N137" s="824">
        <f>M137*(1+DCF!R5)</f>
        <v>2366.5623244051258</v>
      </c>
      <c r="O137" s="824">
        <f>N137*(1+DCF!S5)</f>
        <v>2513.2891885182439</v>
      </c>
      <c r="P137" s="824">
        <f>O137*(1+DCF!T5)</f>
        <v>2660.316606046561</v>
      </c>
      <c r="Q137" s="824">
        <f>P137*(1+DCF!U5)</f>
        <v>2806.6340193791216</v>
      </c>
      <c r="R137" s="824">
        <f>Q137*(1+DCF!V5)</f>
        <v>2951.175671377146</v>
      </c>
      <c r="S137" s="824">
        <f>R137*(1+DCF!W5)</f>
        <v>3092.8321036032494</v>
      </c>
      <c r="T137" s="824">
        <f>S137*(1+DCF!X5)</f>
        <v>3230.4631322135938</v>
      </c>
      <c r="U137" s="824">
        <f>T137*(1+DCF!Y5)</f>
        <v>3362.9121206343507</v>
      </c>
      <c r="V137" s="824">
        <f>U137*(1+DCF!Z5)</f>
        <v>3489.0213251581386</v>
      </c>
      <c r="W137" s="824">
        <f>V137*(1+DCF!AA5)</f>
        <v>3607.6480502135155</v>
      </c>
      <c r="X137" s="824">
        <f>W137*(1+DCF!AB5)</f>
        <v>3717.6813157450274</v>
      </c>
      <c r="Y137" s="824">
        <f>X137*(1+DCF!AC5)</f>
        <v>3818.0587112701428</v>
      </c>
      <c r="Z137" s="824">
        <f>Y137*(1+DCF!AD5)</f>
        <v>3907.7830909849904</v>
      </c>
      <c r="AA137" s="824">
        <f>Z137*(1+DCF!AE5)</f>
        <v>3985.9387528046905</v>
      </c>
      <c r="AB137" s="824">
        <f>AA137*(1+DCF!AF5)</f>
        <v>4051.7067422259679</v>
      </c>
    </row>
  </sheetData>
  <mergeCells count="9">
    <mergeCell ref="B81:C81"/>
    <mergeCell ref="G106:G107"/>
    <mergeCell ref="B64:C64"/>
    <mergeCell ref="F39:H39"/>
    <mergeCell ref="C15:G15"/>
    <mergeCell ref="B35:C35"/>
    <mergeCell ref="F36:H36"/>
    <mergeCell ref="F37:H37"/>
    <mergeCell ref="F38:H38"/>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topLeftCell="A11" zoomScale="76" workbookViewId="0">
      <selection activeCell="E12" sqref="E12"/>
    </sheetView>
  </sheetViews>
  <sheetFormatPr defaultColWidth="11.42578125" defaultRowHeight="12.75"/>
  <cols>
    <col min="1" max="1" width="36.140625" style="11" customWidth="1"/>
    <col min="2" max="10" width="12.42578125" style="44" customWidth="1"/>
    <col min="11" max="12" width="12.42578125" style="51" customWidth="1"/>
    <col min="13" max="13" width="12.140625" style="51" bestFit="1" customWidth="1"/>
    <col min="14" max="16384" width="11.42578125" style="43"/>
  </cols>
  <sheetData>
    <row r="1" spans="1:25" ht="15.75">
      <c r="A1" s="1371" t="e" vm="1">
        <f>Inputs!H3</f>
        <v>#VALUE!</v>
      </c>
      <c r="B1" s="1371"/>
      <c r="C1" s="1371"/>
      <c r="D1" s="1371"/>
      <c r="E1" s="1371"/>
      <c r="F1" s="1371"/>
      <c r="G1" s="1371"/>
      <c r="H1" s="1371"/>
      <c r="I1" s="1371"/>
      <c r="J1" s="1371"/>
      <c r="K1" s="1371"/>
      <c r="L1" s="1371"/>
      <c r="M1" s="1371"/>
    </row>
    <row r="2" spans="1:25" ht="12">
      <c r="A2" s="1372" t="str">
        <f>Inputs!G2</f>
        <v>Figures in Millions of USD</v>
      </c>
      <c r="B2" s="1372"/>
      <c r="C2" s="1372"/>
      <c r="D2" s="1372"/>
      <c r="E2" s="1372"/>
      <c r="F2" s="1372"/>
      <c r="G2" s="1372"/>
      <c r="H2" s="1372"/>
      <c r="I2" s="1372"/>
      <c r="J2" s="1372"/>
      <c r="K2" s="1372"/>
      <c r="L2" s="1372"/>
      <c r="M2" s="1372"/>
    </row>
    <row r="3" spans="1:25" ht="20.25">
      <c r="A3" s="1370" t="s">
        <v>503</v>
      </c>
      <c r="B3" s="1370"/>
      <c r="C3" s="1370"/>
      <c r="D3" s="1370"/>
      <c r="E3" s="1370"/>
      <c r="F3" s="1370"/>
      <c r="G3" s="1370"/>
      <c r="H3" s="1370"/>
      <c r="I3" s="1370"/>
      <c r="J3" s="1370"/>
      <c r="K3" s="1370"/>
      <c r="L3" s="1370"/>
      <c r="M3" s="1370"/>
    </row>
    <row r="4" spans="1:25">
      <c r="A4" s="114"/>
      <c r="B4" s="53">
        <f>OP!J19</f>
        <v>2023</v>
      </c>
      <c r="C4" s="45">
        <f>B4-1</f>
        <v>2022</v>
      </c>
      <c r="D4" s="45">
        <f t="shared" ref="D4:M4" si="0">C4-1</f>
        <v>2021</v>
      </c>
      <c r="E4" s="45">
        <f t="shared" si="0"/>
        <v>2020</v>
      </c>
      <c r="F4" s="45">
        <f t="shared" si="0"/>
        <v>2019</v>
      </c>
      <c r="G4" s="45">
        <f t="shared" si="0"/>
        <v>2018</v>
      </c>
      <c r="H4" s="45">
        <f t="shared" si="0"/>
        <v>2017</v>
      </c>
      <c r="I4" s="45">
        <f t="shared" si="0"/>
        <v>2016</v>
      </c>
      <c r="J4" s="45">
        <f>I4-1</f>
        <v>2015</v>
      </c>
      <c r="K4" s="45">
        <f t="shared" si="0"/>
        <v>2014</v>
      </c>
      <c r="L4" s="45">
        <f t="shared" si="0"/>
        <v>2013</v>
      </c>
      <c r="M4" s="45">
        <f t="shared" si="0"/>
        <v>2012</v>
      </c>
    </row>
    <row r="5" spans="1:25">
      <c r="A5" s="115" t="s">
        <v>126</v>
      </c>
      <c r="B5" s="861">
        <f>_xlfn.XLOOKUP($A5,Inputs!$A:$A,Inputs!B:B,,0)</f>
        <v>2984.2</v>
      </c>
      <c r="C5" s="861">
        <f>_xlfn.XLOOKUP($A5,Inputs!$A:$A,Inputs!C:C,,0)</f>
        <v>2602.9</v>
      </c>
      <c r="D5" s="861">
        <f>_xlfn.XLOOKUP($A5,Inputs!$A:$A,Inputs!D:D,,0)</f>
        <v>2046.1</v>
      </c>
      <c r="E5" s="861">
        <f>_xlfn.XLOOKUP($A5,Inputs!$A:$A,Inputs!E:E,,0)</f>
        <v>1440.4</v>
      </c>
      <c r="F5" s="861">
        <f>_xlfn.XLOOKUP($A5,Inputs!$A:$A,Inputs!F:F,,0)</f>
        <v>1627.7</v>
      </c>
      <c r="G5" s="861">
        <f>_xlfn.XLOOKUP($A5,Inputs!$A:$A,Inputs!G:G,,0)</f>
        <v>1420.1</v>
      </c>
      <c r="H5" s="861">
        <f>_xlfn.XLOOKUP($A5,Inputs!$A:$A,Inputs!H:H,,0)</f>
        <v>1193.7</v>
      </c>
      <c r="I5" s="861">
        <f>_xlfn.XLOOKUP($A5,Inputs!$A:$A,Inputs!I:I,,0)</f>
        <v>1040.3</v>
      </c>
      <c r="J5" s="861">
        <f>_xlfn.XLOOKUP($A5,Inputs!$A:$A,Inputs!J:J,,0)</f>
        <v>880.4</v>
      </c>
      <c r="K5" s="861">
        <f>_xlfn.XLOOKUP($A5,Inputs!$A:$A,Inputs!K:K,,0)</f>
        <v>694.2</v>
      </c>
      <c r="L5" s="861">
        <f>_xlfn.XLOOKUP($A5,Inputs!$A:$A,Inputs!L:L,,0)</f>
        <v>580.577</v>
      </c>
      <c r="M5" s="862">
        <f>_xlfn.XLOOKUP($A5,Inputs!$A:$A,Inputs!M:M,,0)</f>
        <v>489.18</v>
      </c>
    </row>
    <row r="6" spans="1:25">
      <c r="A6" s="116" t="s">
        <v>6566</v>
      </c>
      <c r="B6" s="56">
        <f t="shared" ref="B6:L6" si="1">IFERROR(B5/C5-1,"-")</f>
        <v>0.1464904529563178</v>
      </c>
      <c r="C6" s="56">
        <f t="shared" si="1"/>
        <v>0.27212746200087978</v>
      </c>
      <c r="D6" s="56">
        <f t="shared" si="1"/>
        <v>0.42050819216884183</v>
      </c>
      <c r="E6" s="56">
        <f t="shared" si="1"/>
        <v>-0.1150703446581065</v>
      </c>
      <c r="F6" s="56">
        <f t="shared" si="1"/>
        <v>0.14618688824730652</v>
      </c>
      <c r="G6" s="56">
        <f t="shared" si="1"/>
        <v>0.18966239423640774</v>
      </c>
      <c r="H6" s="56">
        <f t="shared" si="1"/>
        <v>0.1474574641930213</v>
      </c>
      <c r="I6" s="56">
        <f t="shared" si="1"/>
        <v>0.18162199000454327</v>
      </c>
      <c r="J6" s="56">
        <f t="shared" si="1"/>
        <v>0.26822241428982996</v>
      </c>
      <c r="K6" s="56">
        <f t="shared" si="1"/>
        <v>0.19570702938628304</v>
      </c>
      <c r="L6" s="56">
        <f t="shared" si="1"/>
        <v>0.18683715605707518</v>
      </c>
      <c r="M6" s="57" t="str">
        <f>IFERROR(M5/#REF!-1,"-")</f>
        <v>-</v>
      </c>
      <c r="N6" s="378"/>
    </row>
    <row r="7" spans="1:25">
      <c r="A7" s="115" t="s">
        <v>6567</v>
      </c>
      <c r="B7" s="54">
        <f>_xlfn.XLOOKUP($A7,Inputs!$A:$A,Inputs!B:B,,0)</f>
        <v>2300</v>
      </c>
      <c r="C7" s="54">
        <f>_xlfn.XLOOKUP($A7,Inputs!$A:$A,Inputs!C:C,,0)</f>
        <v>1987.8</v>
      </c>
      <c r="D7" s="54">
        <f>_xlfn.XLOOKUP($A7,Inputs!$A:$A,Inputs!D:D,,0)</f>
        <v>1566.9</v>
      </c>
      <c r="E7" s="54">
        <f>_xlfn.XLOOKUP($A7,Inputs!$A:$A,Inputs!E:E,,0)</f>
        <v>1089.5999999999999</v>
      </c>
      <c r="F7" s="54">
        <f>_xlfn.XLOOKUP($A7,Inputs!$A:$A,Inputs!F:F,,0)</f>
        <v>1265.3</v>
      </c>
      <c r="G7" s="54">
        <f>_xlfn.XLOOKUP($A7,Inputs!$A:$A,Inputs!G:G,,0)</f>
        <v>1099.8</v>
      </c>
      <c r="H7" s="54">
        <f>_xlfn.XLOOKUP($A7,Inputs!$A:$A,Inputs!H:H,,0)</f>
        <v>917.5</v>
      </c>
      <c r="I7" s="54">
        <f>_xlfn.XLOOKUP($A7,Inputs!$A:$A,Inputs!I:I,,0)</f>
        <v>788</v>
      </c>
      <c r="J7" s="54">
        <f>_xlfn.XLOOKUP($A7,Inputs!$A:$A,Inputs!J:J,,0)</f>
        <v>654.9</v>
      </c>
      <c r="K7" s="54">
        <f>_xlfn.XLOOKUP($A7,Inputs!$A:$A,Inputs!K:K,,0)</f>
        <v>501.7</v>
      </c>
      <c r="L7" s="54">
        <f>_xlfn.XLOOKUP($A7,Inputs!$A:$A,Inputs!L:L,,0)</f>
        <v>414.05700000000002</v>
      </c>
      <c r="M7" s="55">
        <f>_xlfn.XLOOKUP($A7,Inputs!$A:$A,Inputs!M:M,,0)</f>
        <v>340.92</v>
      </c>
    </row>
    <row r="8" spans="1:25">
      <c r="A8" s="116" t="s">
        <v>6568</v>
      </c>
      <c r="B8" s="56">
        <f>IFERROR(B7/B$5,"-")</f>
        <v>0.77072582266604117</v>
      </c>
      <c r="C8" s="56">
        <f t="shared" ref="C8:M8" si="2">IFERROR(C7/C$5,"-")</f>
        <v>0.76368665719005724</v>
      </c>
      <c r="D8" s="56">
        <f t="shared" si="2"/>
        <v>0.76579834807682912</v>
      </c>
      <c r="E8" s="56">
        <f t="shared" si="2"/>
        <v>0.75645653985004158</v>
      </c>
      <c r="F8" s="56">
        <f t="shared" si="2"/>
        <v>0.7773545493641334</v>
      </c>
      <c r="G8" s="56">
        <f t="shared" si="2"/>
        <v>0.77445250334483484</v>
      </c>
      <c r="H8" s="56">
        <f t="shared" si="2"/>
        <v>0.76861858088296886</v>
      </c>
      <c r="I8" s="56">
        <f t="shared" si="2"/>
        <v>0.75747380563299049</v>
      </c>
      <c r="J8" s="56">
        <f t="shared" si="2"/>
        <v>0.743866424352567</v>
      </c>
      <c r="K8" s="56">
        <f t="shared" si="2"/>
        <v>0.72270239124171698</v>
      </c>
      <c r="L8" s="56">
        <f t="shared" si="2"/>
        <v>0.71318188629587465</v>
      </c>
      <c r="M8" s="57">
        <f t="shared" si="2"/>
        <v>0.69692137863363179</v>
      </c>
    </row>
    <row r="9" spans="1:25">
      <c r="A9" s="115" t="s">
        <v>6569</v>
      </c>
      <c r="B9" s="54">
        <f t="shared" ref="B9:M9" si="3">B5-B11</f>
        <v>2090.3609999999999</v>
      </c>
      <c r="C9" s="54">
        <f t="shared" si="3"/>
        <v>1828.4</v>
      </c>
      <c r="D9" s="54">
        <f t="shared" si="3"/>
        <v>1466.8999999999999</v>
      </c>
      <c r="E9" s="54">
        <f t="shared" si="3"/>
        <v>1071.6000000000001</v>
      </c>
      <c r="F9" s="54">
        <f t="shared" si="3"/>
        <v>1135.9000000000001</v>
      </c>
      <c r="G9" s="54">
        <f t="shared" si="3"/>
        <v>1005.9999999999999</v>
      </c>
      <c r="H9" s="54">
        <f t="shared" si="3"/>
        <v>852.80000000000007</v>
      </c>
      <c r="I9" s="54">
        <f t="shared" si="3"/>
        <v>742.59999999999991</v>
      </c>
      <c r="J9" s="54">
        <f t="shared" si="3"/>
        <v>627.70000000000005</v>
      </c>
      <c r="K9" s="54">
        <f t="shared" si="3"/>
        <v>492.6</v>
      </c>
      <c r="L9" s="54">
        <f t="shared" si="3"/>
        <v>414.178</v>
      </c>
      <c r="M9" s="55">
        <f t="shared" si="3"/>
        <v>343.42</v>
      </c>
    </row>
    <row r="10" spans="1:25">
      <c r="A10" s="116" t="s">
        <v>6568</v>
      </c>
      <c r="B10" s="56">
        <f>IFERROR(B9/B$5,"-")</f>
        <v>0.70047617451913413</v>
      </c>
      <c r="C10" s="56">
        <f t="shared" ref="C10:M10" si="4">IFERROR(C9/C$5,"-")</f>
        <v>0.70244727035229937</v>
      </c>
      <c r="D10" s="56">
        <f t="shared" si="4"/>
        <v>0.71692488148184352</v>
      </c>
      <c r="E10" s="56">
        <f t="shared" si="4"/>
        <v>0.74396001110802557</v>
      </c>
      <c r="F10" s="56">
        <f t="shared" si="4"/>
        <v>0.69785587024635998</v>
      </c>
      <c r="G10" s="56">
        <f t="shared" si="4"/>
        <v>0.70840081684388423</v>
      </c>
      <c r="H10" s="56">
        <f t="shared" si="4"/>
        <v>0.71441735779509097</v>
      </c>
      <c r="I10" s="56">
        <f t="shared" si="4"/>
        <v>0.71383254830337395</v>
      </c>
      <c r="J10" s="56">
        <f t="shared" si="4"/>
        <v>0.71297137664697874</v>
      </c>
      <c r="K10" s="56">
        <f t="shared" si="4"/>
        <v>0.70959377700950732</v>
      </c>
      <c r="L10" s="56">
        <f t="shared" si="4"/>
        <v>0.71339029965017564</v>
      </c>
      <c r="M10" s="57">
        <f t="shared" si="4"/>
        <v>0.70203197187129485</v>
      </c>
    </row>
    <row r="11" spans="1:25">
      <c r="A11" s="115" t="s">
        <v>280</v>
      </c>
      <c r="B11" s="54">
        <f>_xlfn.XLOOKUP($A11,Inputs!$A:$A,Inputs!B:B,,0)</f>
        <v>893.83900000000006</v>
      </c>
      <c r="C11" s="54">
        <f>_xlfn.XLOOKUP($A11,Inputs!$A:$A,Inputs!C:C,,0)</f>
        <v>774.5</v>
      </c>
      <c r="D11" s="54">
        <f>_xlfn.XLOOKUP($A11,Inputs!$A:$A,Inputs!D:D,,0)</f>
        <v>579.20000000000005</v>
      </c>
      <c r="E11" s="54">
        <f>_xlfn.XLOOKUP($A11,Inputs!$A:$A,Inputs!E:E,,0)</f>
        <v>368.8</v>
      </c>
      <c r="F11" s="54">
        <f>_xlfn.XLOOKUP($A11,Inputs!$A:$A,Inputs!F:F,,0)</f>
        <v>491.8</v>
      </c>
      <c r="G11" s="54">
        <f>_xlfn.XLOOKUP($A11,Inputs!$A:$A,Inputs!G:G,,0)</f>
        <v>414.1</v>
      </c>
      <c r="H11" s="54">
        <f>_xlfn.XLOOKUP($A11,Inputs!$A:$A,Inputs!H:H,,0)</f>
        <v>340.9</v>
      </c>
      <c r="I11" s="54">
        <f>_xlfn.XLOOKUP($A11,Inputs!$A:$A,Inputs!I:I,,0)</f>
        <v>297.7</v>
      </c>
      <c r="J11" s="54">
        <f>_xlfn.XLOOKUP($A11,Inputs!$A:$A,Inputs!J:J,,0)</f>
        <v>252.7</v>
      </c>
      <c r="K11" s="54">
        <f>_xlfn.XLOOKUP($A11,Inputs!$A:$A,Inputs!K:K,,0)</f>
        <v>201.6</v>
      </c>
      <c r="L11" s="54">
        <f>_xlfn.XLOOKUP($A11,Inputs!$A:$A,Inputs!L:L,,0)</f>
        <v>166.399</v>
      </c>
      <c r="M11" s="55">
        <f>_xlfn.XLOOKUP($A11,Inputs!$A:$A,Inputs!M:M,,0)</f>
        <v>145.76</v>
      </c>
    </row>
    <row r="12" spans="1:25">
      <c r="A12" s="116" t="s">
        <v>127</v>
      </c>
      <c r="B12" s="56">
        <f t="shared" ref="B12:M12" si="5">IFERROR(B11/B$5,"-")</f>
        <v>0.29952382548086592</v>
      </c>
      <c r="C12" s="56">
        <f t="shared" si="5"/>
        <v>0.29755272964770063</v>
      </c>
      <c r="D12" s="56">
        <f t="shared" si="5"/>
        <v>0.28307511851815653</v>
      </c>
      <c r="E12" s="56">
        <f t="shared" si="5"/>
        <v>0.25603998889197443</v>
      </c>
      <c r="F12" s="56">
        <f t="shared" si="5"/>
        <v>0.30214412975364008</v>
      </c>
      <c r="G12" s="56">
        <f t="shared" si="5"/>
        <v>0.29159918315611583</v>
      </c>
      <c r="H12" s="56">
        <f t="shared" si="5"/>
        <v>0.28558264220490909</v>
      </c>
      <c r="I12" s="56">
        <f t="shared" si="5"/>
        <v>0.286167451696626</v>
      </c>
      <c r="J12" s="56">
        <f t="shared" si="5"/>
        <v>0.28702862335302137</v>
      </c>
      <c r="K12" s="56">
        <f t="shared" si="5"/>
        <v>0.29040622299049262</v>
      </c>
      <c r="L12" s="56">
        <f t="shared" si="5"/>
        <v>0.28660970034982441</v>
      </c>
      <c r="M12" s="57">
        <f t="shared" si="5"/>
        <v>0.29796802812870515</v>
      </c>
    </row>
    <row r="13" spans="1:25">
      <c r="A13" s="115" t="s">
        <v>6570</v>
      </c>
      <c r="B13" s="56">
        <f t="shared" ref="B13" si="6">IFERROR(B12/C12-1,"-")</f>
        <v>6.6243580944427283E-3</v>
      </c>
      <c r="C13" s="56">
        <f t="shared" ref="C13" si="7">IFERROR(C12/D12-1,"-")</f>
        <v>5.1144061001657803E-2</v>
      </c>
      <c r="D13" s="56">
        <f t="shared" ref="D13" si="8">IFERROR(D12/E12-1,"-")</f>
        <v>0.10558948132742052</v>
      </c>
      <c r="E13" s="56">
        <f t="shared" ref="E13" si="9">IFERROR(E12/F12-1,"-")</f>
        <v>-0.1525898944297136</v>
      </c>
      <c r="F13" s="56">
        <f t="shared" ref="F13" si="10">IFERROR(F12/G12-1,"-")</f>
        <v>3.6162469604308578E-2</v>
      </c>
      <c r="G13" s="56">
        <f t="shared" ref="G13" si="11">IFERROR(G12/H12-1,"-")</f>
        <v>2.106760027414345E-2</v>
      </c>
      <c r="H13" s="56">
        <f t="shared" ref="H13" si="12">IFERROR(H12/I12-1,"-")</f>
        <v>-2.0435919188213081E-3</v>
      </c>
      <c r="I13" s="56">
        <f t="shared" ref="I13" si="13">IFERROR(I12/J12-1,"-")</f>
        <v>-3.0002988772872552E-3</v>
      </c>
      <c r="J13" s="56">
        <f t="shared" ref="J13" si="14">IFERROR(J12/K12-1,"-")</f>
        <v>-1.1630603513554272E-2</v>
      </c>
      <c r="K13" s="56">
        <f t="shared" ref="K13" si="15">IFERROR(K12/L12-1,"-")</f>
        <v>1.3246315934297925E-2</v>
      </c>
      <c r="L13" s="56">
        <f t="shared" ref="L13" si="16">IFERROR(L12/M12-1,"-")</f>
        <v>-3.811928363661421E-2</v>
      </c>
      <c r="M13" s="57" t="str">
        <f>IFERROR(M12/#REF!-1,"-")</f>
        <v>-</v>
      </c>
    </row>
    <row r="14" spans="1:25">
      <c r="A14" s="117" t="s">
        <v>281</v>
      </c>
      <c r="B14" s="54">
        <f>_xlfn.XLOOKUP($A14,Inputs!$A:$A,Inputs!B:B,,0)</f>
        <v>-23.2</v>
      </c>
      <c r="C14" s="54">
        <f>_xlfn.XLOOKUP($A14,Inputs!$A:$A,Inputs!C:C,,0)</f>
        <v>-27.2</v>
      </c>
      <c r="D14" s="54">
        <f>_xlfn.XLOOKUP($A14,Inputs!$A:$A,Inputs!D:D,,0)</f>
        <v>-21.6</v>
      </c>
      <c r="E14" s="54">
        <f>_xlfn.XLOOKUP($A14,Inputs!$A:$A,Inputs!E:E,,0)</f>
        <v>-23.3</v>
      </c>
      <c r="F14" s="54">
        <f>_xlfn.XLOOKUP($A14,Inputs!$A:$A,Inputs!F:F,,0)</f>
        <v>-21.1</v>
      </c>
      <c r="G14" s="54">
        <f>_xlfn.XLOOKUP($A14,Inputs!$A:$A,Inputs!G:G,,0)</f>
        <v>-1.9</v>
      </c>
      <c r="H14" s="54">
        <f>_xlfn.XLOOKUP($A14,Inputs!$A:$A,Inputs!H:H,,0)</f>
        <v>-5.2</v>
      </c>
      <c r="I14" s="54">
        <f>_xlfn.XLOOKUP($A14,Inputs!$A:$A,Inputs!I:I,,0)</f>
        <v>-4.5999999999999996</v>
      </c>
      <c r="J14" s="54">
        <f>_xlfn.XLOOKUP($A14,Inputs!$A:$A,Inputs!J:J,,0)</f>
        <v>-1.7</v>
      </c>
      <c r="K14" s="54">
        <f>_xlfn.XLOOKUP($A14,Inputs!$A:$A,Inputs!K:K,,0)</f>
        <v>-6.1</v>
      </c>
      <c r="L14" s="54">
        <f>_xlfn.XLOOKUP($A14,Inputs!$A:$A,Inputs!L:L,,0)</f>
        <v>-21.153000000000002</v>
      </c>
      <c r="M14" s="55">
        <f>_xlfn.XLOOKUP($A14,Inputs!$A:$A,Inputs!M:M,,0)</f>
        <v>-17.125999999999998</v>
      </c>
    </row>
    <row r="15" spans="1:25">
      <c r="A15" s="115" t="s">
        <v>6571</v>
      </c>
      <c r="B15" s="54">
        <f>_xlfn.XLOOKUP($A15,Inputs!$A:$A,Inputs!B:B,,0)</f>
        <v>0</v>
      </c>
      <c r="C15" s="54">
        <f>_xlfn.XLOOKUP($A15,Inputs!$A:$A,Inputs!C:C,,0)</f>
        <v>-8.9999999999999993E-3</v>
      </c>
      <c r="D15" s="54">
        <f>_xlfn.XLOOKUP($A15,Inputs!$A:$A,Inputs!D:D,,0)</f>
        <v>-0.02</v>
      </c>
      <c r="E15" s="54">
        <f>_xlfn.XLOOKUP($A15,Inputs!$A:$A,Inputs!E:E,,0)</f>
        <v>-1.4999999999999999E-2</v>
      </c>
      <c r="F15" s="54">
        <f>_xlfn.XLOOKUP($A15,Inputs!$A:$A,Inputs!F:F,,0)</f>
        <v>-0.01</v>
      </c>
      <c r="G15" s="54">
        <f>_xlfn.XLOOKUP($A15,Inputs!$A:$A,Inputs!G:G,,0)</f>
        <v>-9.6000000000000002E-2</v>
      </c>
      <c r="H15" s="54">
        <f>_xlfn.XLOOKUP($A15,Inputs!$A:$A,Inputs!H:H,,0)</f>
        <v>-0.08</v>
      </c>
      <c r="I15" s="54">
        <f>_xlfn.XLOOKUP($A15,Inputs!$A:$A,Inputs!I:I,,0)</f>
        <v>-0.27900000000000003</v>
      </c>
      <c r="J15" s="54">
        <f>_xlfn.XLOOKUP($A15,Inputs!$A:$A,Inputs!J:J,,0)</f>
        <v>-4.7E-2</v>
      </c>
      <c r="K15" s="54">
        <f>_xlfn.XLOOKUP($A15,Inputs!$A:$A,Inputs!K:K,,0)</f>
        <v>0.2</v>
      </c>
      <c r="L15" s="54">
        <f>_xlfn.XLOOKUP($A15,Inputs!$A:$A,Inputs!L:L,,0)</f>
        <v>-18.353999999999999</v>
      </c>
      <c r="M15" s="55">
        <f>_xlfn.XLOOKUP($A15,Inputs!$A:$A,Inputs!M:M,,0)</f>
        <v>-53.567</v>
      </c>
    </row>
    <row r="16" spans="1:25">
      <c r="A16" s="117" t="s">
        <v>67</v>
      </c>
      <c r="B16" s="54">
        <f>B11-B15</f>
        <v>893.83900000000006</v>
      </c>
      <c r="C16" s="54">
        <f t="shared" ref="C16:M16" si="17">C11-C15</f>
        <v>774.50900000000001</v>
      </c>
      <c r="D16" s="54">
        <f t="shared" si="17"/>
        <v>579.22</v>
      </c>
      <c r="E16" s="54">
        <f t="shared" si="17"/>
        <v>368.815</v>
      </c>
      <c r="F16" s="54">
        <f t="shared" si="17"/>
        <v>491.81</v>
      </c>
      <c r="G16" s="54">
        <f t="shared" si="17"/>
        <v>414.19600000000003</v>
      </c>
      <c r="H16" s="54">
        <f t="shared" si="17"/>
        <v>340.97999999999996</v>
      </c>
      <c r="I16" s="54">
        <f t="shared" si="17"/>
        <v>297.97899999999998</v>
      </c>
      <c r="J16" s="54">
        <f t="shared" si="17"/>
        <v>252.74699999999999</v>
      </c>
      <c r="K16" s="54">
        <f t="shared" si="17"/>
        <v>201.4</v>
      </c>
      <c r="L16" s="54">
        <f t="shared" si="17"/>
        <v>184.75299999999999</v>
      </c>
      <c r="M16" s="55">
        <f t="shared" si="17"/>
        <v>199.327</v>
      </c>
      <c r="N16" s="52"/>
      <c r="O16" s="52"/>
      <c r="P16" s="52"/>
      <c r="Q16" s="52"/>
      <c r="R16" s="52"/>
      <c r="S16" s="52"/>
      <c r="T16" s="52"/>
      <c r="U16" s="52"/>
      <c r="V16" s="52"/>
      <c r="W16" s="52"/>
      <c r="X16" s="52"/>
      <c r="Y16" s="52"/>
    </row>
    <row r="17" spans="1:18">
      <c r="A17" s="115" t="s">
        <v>63</v>
      </c>
      <c r="B17" s="54">
        <f>_xlfn.XLOOKUP($A17,Inputs!$A:$A,Inputs!B:B,,0)</f>
        <v>291.7</v>
      </c>
      <c r="C17" s="54">
        <f>_xlfn.XLOOKUP($A17,Inputs!$A:$A,Inputs!C:C,,0)</f>
        <v>264.89999999999998</v>
      </c>
      <c r="D17" s="54">
        <f>_xlfn.XLOOKUP($A17,Inputs!$A:$A,Inputs!D:D,,0)</f>
        <v>246.5</v>
      </c>
      <c r="E17" s="54">
        <f>_xlfn.XLOOKUP($A17,Inputs!$A:$A,Inputs!E:E,,0)</f>
        <v>200.976</v>
      </c>
      <c r="F17" s="54">
        <f>_xlfn.XLOOKUP($A17,Inputs!$A:$A,Inputs!F:F,,0)</f>
        <v>171.1</v>
      </c>
      <c r="G17" s="54">
        <f>_xlfn.XLOOKUP($A17,Inputs!$A:$A,Inputs!G:G,,0)</f>
        <v>56.5</v>
      </c>
      <c r="H17" s="54">
        <f>_xlfn.XLOOKUP($A17,Inputs!$A:$A,Inputs!H:H,,0)</f>
        <v>47.273000000000003</v>
      </c>
      <c r="I17" s="54">
        <f>_xlfn.XLOOKUP($A17,Inputs!$A:$A,Inputs!I:I,,0)</f>
        <v>41.634999999999998</v>
      </c>
      <c r="J17" s="54">
        <f>_xlfn.XLOOKUP($A17,Inputs!$A:$A,Inputs!J:J,,0)</f>
        <v>35.959000000000003</v>
      </c>
      <c r="K17" s="54">
        <f>_xlfn.XLOOKUP($A17,Inputs!$A:$A,Inputs!K:K,,0)</f>
        <v>26.276</v>
      </c>
      <c r="L17" s="54">
        <f>_xlfn.XLOOKUP($A17,Inputs!$A:$A,Inputs!L:L,,0)</f>
        <v>19.184999999999999</v>
      </c>
      <c r="M17" s="55">
        <f>_xlfn.XLOOKUP($A17,Inputs!$A:$A,Inputs!M:M,,0)</f>
        <v>21</v>
      </c>
      <c r="N17" s="261"/>
    </row>
    <row r="18" spans="1:18">
      <c r="A18" s="117" t="s">
        <v>6572</v>
      </c>
      <c r="B18" s="54">
        <f>_xlfn.XLOOKUP($A18,Inputs!$A:$A,Inputs!B:B,,0)</f>
        <v>123.16500000000008</v>
      </c>
      <c r="C18" s="54">
        <f>_xlfn.XLOOKUP($A18,Inputs!$A:$A,Inputs!C:C,,0)</f>
        <v>138.37599999999998</v>
      </c>
      <c r="D18" s="54">
        <f>_xlfn.XLOOKUP($A18,Inputs!$A:$A,Inputs!D:D,,0)</f>
        <v>-231.26200000000017</v>
      </c>
      <c r="E18" s="54">
        <f>_xlfn.XLOOKUP($A18,Inputs!$A:$A,Inputs!E:E,,0)</f>
        <v>23.622000000000185</v>
      </c>
      <c r="F18" s="54">
        <f>_xlfn.XLOOKUP($A18,Inputs!$A:$A,Inputs!F:F,,0)</f>
        <v>-135.39999999999998</v>
      </c>
      <c r="G18" s="54">
        <f>_xlfn.XLOOKUP($A18,Inputs!$A:$A,Inputs!G:G,,0)</f>
        <v>-41.627000000000066</v>
      </c>
      <c r="H18" s="54">
        <f>_xlfn.XLOOKUP($A18,Inputs!$A:$A,Inputs!H:H,,0)</f>
        <v>30.938000000000045</v>
      </c>
      <c r="I18" s="54">
        <f>_xlfn.XLOOKUP($A18,Inputs!$A:$A,Inputs!I:I,,0)</f>
        <v>-5.6220000000000709</v>
      </c>
      <c r="J18" s="54">
        <f>_xlfn.XLOOKUP($A18,Inputs!$A:$A,Inputs!J:J,,0)</f>
        <v>13.291000000000025</v>
      </c>
      <c r="K18" s="54">
        <f>_xlfn.XLOOKUP($A18,Inputs!$A:$A,Inputs!K:K,,0)</f>
        <v>36.519999999999996</v>
      </c>
      <c r="L18" s="54">
        <f>_xlfn.XLOOKUP($A18,Inputs!$A:$A,Inputs!L:L,,0)</f>
        <v>-17.299999999999983</v>
      </c>
      <c r="M18" s="55">
        <f>_xlfn.XLOOKUP($A18,Inputs!$A:$A,Inputs!M:M,,0)</f>
        <v>-36.500000000000014</v>
      </c>
    </row>
    <row r="19" spans="1:18">
      <c r="A19" s="115" t="s">
        <v>59</v>
      </c>
      <c r="B19" s="54">
        <f>B11-B15+B17</f>
        <v>1185.539</v>
      </c>
      <c r="C19" s="54">
        <f t="shared" ref="C19:M19" si="18">C11-C15+C17</f>
        <v>1039.4090000000001</v>
      </c>
      <c r="D19" s="54">
        <f t="shared" si="18"/>
        <v>825.72</v>
      </c>
      <c r="E19" s="54">
        <f t="shared" si="18"/>
        <v>569.79099999999994</v>
      </c>
      <c r="F19" s="54">
        <f t="shared" si="18"/>
        <v>662.91</v>
      </c>
      <c r="G19" s="54">
        <f t="shared" si="18"/>
        <v>470.69600000000003</v>
      </c>
      <c r="H19" s="54">
        <f t="shared" si="18"/>
        <v>388.25299999999999</v>
      </c>
      <c r="I19" s="54">
        <f t="shared" si="18"/>
        <v>339.61399999999998</v>
      </c>
      <c r="J19" s="54">
        <f t="shared" si="18"/>
        <v>288.70600000000002</v>
      </c>
      <c r="K19" s="54">
        <f t="shared" si="18"/>
        <v>227.67600000000002</v>
      </c>
      <c r="L19" s="54">
        <f t="shared" si="18"/>
        <v>203.93799999999999</v>
      </c>
      <c r="M19" s="55">
        <f t="shared" si="18"/>
        <v>220.327</v>
      </c>
    </row>
    <row r="20" spans="1:18">
      <c r="A20" s="116" t="s">
        <v>6573</v>
      </c>
      <c r="B20" s="56">
        <f t="shared" ref="B20" si="19">IFERROR(B19/B$5,"-")</f>
        <v>0.39727196568594603</v>
      </c>
      <c r="C20" s="56">
        <f t="shared" ref="C20" si="20">IFERROR(C19/C$5,"-")</f>
        <v>0.39932728879326906</v>
      </c>
      <c r="D20" s="56">
        <f t="shared" ref="D20" si="21">IFERROR(D19/D$5,"-")</f>
        <v>0.40355798836811496</v>
      </c>
      <c r="E20" s="56">
        <f t="shared" ref="E20" si="22">IFERROR(E19/E$5,"-")</f>
        <v>0.39557831158011658</v>
      </c>
      <c r="F20" s="56">
        <f t="shared" ref="F20" si="23">IFERROR(F19/F$5,"-")</f>
        <v>0.40726792406463103</v>
      </c>
      <c r="G20" s="56">
        <f t="shared" ref="G20" si="24">IFERROR(G19/G$5,"-")</f>
        <v>0.33145271459756359</v>
      </c>
      <c r="H20" s="56">
        <f t="shared" ref="H20" si="25">IFERROR(H19/H$5,"-")</f>
        <v>0.32525173829270332</v>
      </c>
      <c r="I20" s="56">
        <f t="shared" ref="I20" si="26">IFERROR(I19/I$5,"-")</f>
        <v>0.32645775257137366</v>
      </c>
      <c r="J20" s="56">
        <f t="shared" ref="J20" si="27">IFERROR(J19/J$5,"-")</f>
        <v>0.32792594275329401</v>
      </c>
      <c r="K20" s="56">
        <f t="shared" ref="K20" si="28">IFERROR(K19/K$5,"-")</f>
        <v>0.32796888504753674</v>
      </c>
      <c r="L20" s="56">
        <f t="shared" ref="L20" si="29">IFERROR(L19/L$5,"-")</f>
        <v>0.35126779049118373</v>
      </c>
      <c r="M20" s="57">
        <f t="shared" ref="M20" si="30">IFERROR(M19/M$5,"-")</f>
        <v>0.45040067050983279</v>
      </c>
      <c r="P20" s="261"/>
      <c r="Q20" s="261"/>
      <c r="R20" s="261"/>
    </row>
    <row r="21" spans="1:18">
      <c r="A21" s="115" t="s">
        <v>282</v>
      </c>
      <c r="B21" s="54">
        <f>_xlfn.XLOOKUP($A21,Inputs!$A:$A,Inputs!B:B,,0)</f>
        <v>-258.733</v>
      </c>
      <c r="C21" s="54">
        <f>_xlfn.XLOOKUP($A21,Inputs!$A:$A,Inputs!C:C,,0)</f>
        <v>-140.59999999999991</v>
      </c>
      <c r="D21" s="54">
        <f>_xlfn.XLOOKUP($A21,Inputs!$A:$A,Inputs!D:D,,0)</f>
        <v>-164</v>
      </c>
      <c r="E21" s="54">
        <f>_xlfn.XLOOKUP($A21,Inputs!$A:$A,Inputs!E:E,,0)</f>
        <v>-45.100000000000023</v>
      </c>
      <c r="F21" s="54">
        <f>_xlfn.XLOOKUP($A21,Inputs!$A:$A,Inputs!F:F,,0)</f>
        <v>-112</v>
      </c>
      <c r="G21" s="54">
        <f>_xlfn.XLOOKUP($A21,Inputs!$A:$A,Inputs!G:G,,0)</f>
        <v>-79.699999999999989</v>
      </c>
      <c r="H21" s="54">
        <f>_xlfn.XLOOKUP($A21,Inputs!$A:$A,Inputs!H:H,,0)</f>
        <v>-85.899999999999977</v>
      </c>
      <c r="I21" s="54">
        <f>_xlfn.XLOOKUP($A21,Inputs!$A:$A,Inputs!I:I,,0)</f>
        <v>-96.800000000000011</v>
      </c>
      <c r="J21" s="54">
        <f>_xlfn.XLOOKUP($A21,Inputs!$A:$A,Inputs!J:J,,0)</f>
        <v>-83.1</v>
      </c>
      <c r="K21" s="54">
        <f>_xlfn.XLOOKUP($A21,Inputs!$A:$A,Inputs!K:K,,0)</f>
        <v>-65.400000000000006</v>
      </c>
      <c r="L21" s="54">
        <f>_xlfn.XLOOKUP($A21,Inputs!$A:$A,Inputs!L:L,,0)</f>
        <v>-50.799999999999983</v>
      </c>
      <c r="M21" s="55">
        <f>_xlfn.XLOOKUP($A21,Inputs!$A:$A,Inputs!M:M,,0)</f>
        <v>-43.94</v>
      </c>
    </row>
    <row r="22" spans="1:18">
      <c r="A22" s="116" t="s">
        <v>6574</v>
      </c>
      <c r="B22" s="56">
        <f t="shared" ref="B22" si="31">IFERROR(B21/B$5,"-")</f>
        <v>-8.6700958380805576E-2</v>
      </c>
      <c r="C22" s="56">
        <f t="shared" ref="C22" si="32">IFERROR(C21/C$5,"-")</f>
        <v>-5.4016673710092555E-2</v>
      </c>
      <c r="D22" s="56">
        <f t="shared" ref="D22" si="33">IFERROR(D21/D$5,"-")</f>
        <v>-8.0152485215776365E-2</v>
      </c>
      <c r="E22" s="56">
        <f t="shared" ref="E22" si="34">IFERROR(E21/E$5,"-")</f>
        <v>-3.131074701471815E-2</v>
      </c>
      <c r="F22" s="56">
        <f t="shared" ref="F22" si="35">IFERROR(F21/F$5,"-")</f>
        <v>-6.8808748540885908E-2</v>
      </c>
      <c r="G22" s="56">
        <f t="shared" ref="G22" si="36">IFERROR(G21/G$5,"-")</f>
        <v>-5.6122808252939929E-2</v>
      </c>
      <c r="H22" s="56">
        <f t="shared" ref="H22" si="37">IFERROR(H21/H$5,"-")</f>
        <v>-7.1961129261958592E-2</v>
      </c>
      <c r="I22" s="56">
        <f t="shared" ref="I22" si="38">IFERROR(I21/I$5,"-")</f>
        <v>-9.3050081707199861E-2</v>
      </c>
      <c r="J22" s="56">
        <f t="shared" ref="J22" si="39">IFERROR(J21/J$5,"-")</f>
        <v>-9.4388914129940937E-2</v>
      </c>
      <c r="K22" s="56">
        <f t="shared" ref="K22" si="40">IFERROR(K21/K$5,"-")</f>
        <v>-9.4209161624891957E-2</v>
      </c>
      <c r="L22" s="56">
        <f t="shared" ref="L22" si="41">IFERROR(L21/L$5,"-")</f>
        <v>-8.7499160318097319E-2</v>
      </c>
      <c r="M22" s="57">
        <f t="shared" ref="M22" si="42">IFERROR(M21/M$5,"-")</f>
        <v>-8.9823786745165377E-2</v>
      </c>
    </row>
    <row r="23" spans="1:18">
      <c r="A23" s="115" t="s">
        <v>71</v>
      </c>
      <c r="B23" s="54">
        <f>_xlfn.XLOOKUP($A23,Inputs!$A:$A,Inputs!B:B,,0)</f>
        <v>611.93100000000004</v>
      </c>
      <c r="C23" s="54">
        <f>_xlfn.XLOOKUP($A23,Inputs!$A:$A,Inputs!C:C,,0)</f>
        <v>606.70000000000005</v>
      </c>
      <c r="D23" s="54">
        <f>_xlfn.XLOOKUP($A23,Inputs!$A:$A,Inputs!D:D,,0)</f>
        <v>393.53300000000002</v>
      </c>
      <c r="E23" s="54">
        <f>_xlfn.XLOOKUP($A23,Inputs!$A:$A,Inputs!E:E,,0)</f>
        <v>300.39999999999998</v>
      </c>
      <c r="F23" s="54">
        <f>_xlfn.XLOOKUP($A23,Inputs!$A:$A,Inputs!F:F,,0)</f>
        <v>358.7</v>
      </c>
      <c r="G23" s="54">
        <f>_xlfn.XLOOKUP($A23,Inputs!$A:$A,Inputs!G:G,,0)</f>
        <v>332.4</v>
      </c>
      <c r="H23" s="54">
        <f>_xlfn.XLOOKUP($A23,Inputs!$A:$A,Inputs!H:H,,0)</f>
        <v>249.7</v>
      </c>
      <c r="I23" s="54">
        <f>_xlfn.XLOOKUP($A23,Inputs!$A:$A,Inputs!I:I,,0)</f>
        <v>196</v>
      </c>
      <c r="J23" s="54">
        <f>_xlfn.XLOOKUP($A23,Inputs!$A:$A,Inputs!J:J,,0)</f>
        <v>167.9</v>
      </c>
      <c r="K23" s="54">
        <f>_xlfn.XLOOKUP($A23,Inputs!$A:$A,Inputs!K:K,,0)</f>
        <v>130.30000000000001</v>
      </c>
      <c r="L23" s="54">
        <f>_xlfn.XLOOKUP($A23,Inputs!$A:$A,Inputs!L:L,,0)</f>
        <v>76.069999999999993</v>
      </c>
      <c r="M23" s="55">
        <f>_xlfn.XLOOKUP($A23,Inputs!$A:$A,Inputs!M:M,,0)</f>
        <v>31.12</v>
      </c>
    </row>
    <row r="24" spans="1:18">
      <c r="A24" s="116" t="s">
        <v>243</v>
      </c>
      <c r="B24" s="56">
        <f t="shared" ref="B24" si="43">IFERROR(B23/B$5,"-")</f>
        <v>0.20505696669124057</v>
      </c>
      <c r="C24" s="56">
        <f t="shared" ref="C24" si="44">IFERROR(C23/C$5,"-")</f>
        <v>0.23308617311460295</v>
      </c>
      <c r="D24" s="56">
        <f t="shared" ref="D24" si="45">IFERROR(D23/D$5,"-")</f>
        <v>0.19233321929524463</v>
      </c>
      <c r="E24" s="56">
        <f t="shared" ref="E24" si="46">IFERROR(E23/E$5,"-")</f>
        <v>0.20855317967231321</v>
      </c>
      <c r="F24" s="56">
        <f t="shared" ref="F24" si="47">IFERROR(F23/F$5,"-")</f>
        <v>0.22037230447871228</v>
      </c>
      <c r="G24" s="56">
        <f t="shared" ref="G24" si="48">IFERROR(G23/G$5,"-")</f>
        <v>0.2340680233786353</v>
      </c>
      <c r="H24" s="56">
        <f t="shared" ref="H24" si="49">IFERROR(H23/H$5,"-")</f>
        <v>0.20918153639943032</v>
      </c>
      <c r="I24" s="56">
        <f t="shared" ref="I24" si="50">IFERROR(I23/I$5,"-")</f>
        <v>0.18840719023358649</v>
      </c>
      <c r="J24" s="56">
        <f t="shared" ref="J24" si="51">IFERROR(J23/J$5,"-")</f>
        <v>0.19070876874148115</v>
      </c>
      <c r="K24" s="56">
        <f t="shared" ref="K24" si="52">IFERROR(K23/K$5,"-")</f>
        <v>0.18769806972054162</v>
      </c>
      <c r="L24" s="56">
        <f t="shared" ref="L24" si="53">IFERROR(L23/L$5,"-")</f>
        <v>0.13102482530310364</v>
      </c>
      <c r="M24" s="57">
        <f t="shared" ref="M24" si="54">IFERROR(M23/M$5,"-")</f>
        <v>6.3616664622429375E-2</v>
      </c>
    </row>
    <row r="25" spans="1:18">
      <c r="A25" s="115" t="s">
        <v>6566</v>
      </c>
      <c r="B25" s="56">
        <f t="shared" ref="B25" si="55">IFERROR(B24/C24-1,"-")</f>
        <v>-0.12025254886990266</v>
      </c>
      <c r="C25" s="56">
        <f t="shared" ref="C25" si="56">IFERROR(C24/D24-1,"-")</f>
        <v>0.2118872338781983</v>
      </c>
      <c r="D25" s="56">
        <f t="shared" ref="D25" si="57">IFERROR(D24/E24-1,"-")</f>
        <v>-7.777373810629018E-2</v>
      </c>
      <c r="E25" s="56">
        <f t="shared" ref="E25" si="58">IFERROR(E24/F24-1,"-")</f>
        <v>-5.3632532610470518E-2</v>
      </c>
      <c r="F25" s="56">
        <f t="shared" ref="F25" si="59">IFERROR(F24/G24-1,"-")</f>
        <v>-5.8511704000543618E-2</v>
      </c>
      <c r="G25" s="56">
        <f t="shared" ref="G25" si="60">IFERROR(G24/H24-1,"-")</f>
        <v>0.11897076294384057</v>
      </c>
      <c r="H25" s="56">
        <f t="shared" ref="H25" si="61">IFERROR(H24/I24-1,"-")</f>
        <v>0.11026302202207838</v>
      </c>
      <c r="I25" s="56">
        <f t="shared" ref="I25" si="62">IFERROR(I24/J24-1,"-")</f>
        <v>-1.2068551032462627E-2</v>
      </c>
      <c r="J25" s="56">
        <f t="shared" ref="J25" si="63">IFERROR(J24/K24-1,"-")</f>
        <v>1.6040117116931984E-2</v>
      </c>
      <c r="K25" s="56">
        <f t="shared" ref="K25" si="64">IFERROR(K24/L24-1,"-")</f>
        <v>0.4325382177486905</v>
      </c>
      <c r="L25" s="56">
        <f t="shared" ref="L25" si="65">IFERROR(L24/M24-1,"-")</f>
        <v>1.0595991015993649</v>
      </c>
      <c r="M25" s="57" t="str">
        <f>IFERROR(M24/#REF!-1,"-")</f>
        <v>-</v>
      </c>
    </row>
    <row r="26" spans="1:18">
      <c r="A26" s="116" t="s">
        <v>6575</v>
      </c>
      <c r="B26" s="58">
        <f>B39-C39</f>
        <v>116.54499999999996</v>
      </c>
      <c r="C26" s="58">
        <f t="shared" ref="C26:M26" si="66">C39-D39</f>
        <v>-50.446000000000026</v>
      </c>
      <c r="D26" s="58">
        <f t="shared" si="66"/>
        <v>9.2000000000000455</v>
      </c>
      <c r="E26" s="58">
        <f t="shared" si="66"/>
        <v>164.5</v>
      </c>
      <c r="F26" s="58">
        <f t="shared" si="66"/>
        <v>212.79999999999995</v>
      </c>
      <c r="G26" s="58">
        <f t="shared" si="66"/>
        <v>152.05600000000004</v>
      </c>
      <c r="H26" s="58">
        <f t="shared" si="66"/>
        <v>150.755</v>
      </c>
      <c r="I26" s="58">
        <f t="shared" si="66"/>
        <v>94.786000000000001</v>
      </c>
      <c r="J26" s="58">
        <f t="shared" si="66"/>
        <v>25.203000000000003</v>
      </c>
      <c r="K26" s="58">
        <f t="shared" si="66"/>
        <v>18.100000000000009</v>
      </c>
      <c r="L26" s="58">
        <f t="shared" si="66"/>
        <v>10.599999999999994</v>
      </c>
      <c r="M26" s="55">
        <f t="shared" si="66"/>
        <v>94.7</v>
      </c>
    </row>
    <row r="27" spans="1:18">
      <c r="A27" s="115" t="s">
        <v>137</v>
      </c>
      <c r="B27" s="861">
        <f>_xlfn.XLOOKUP($A27,Inputs!$A:$A,Inputs!B:B,,0)</f>
        <v>-303.39999999999998</v>
      </c>
      <c r="C27" s="861">
        <f>_xlfn.XLOOKUP($A27,Inputs!$A:$A,Inputs!C:C,,0)</f>
        <v>-160.96</v>
      </c>
      <c r="D27" s="861">
        <f>_xlfn.XLOOKUP($A27,Inputs!$A:$A,Inputs!D:D,,0)</f>
        <v>-120.679</v>
      </c>
      <c r="E27" s="54">
        <f>_xlfn.XLOOKUP($A27,Inputs!$A:$A,Inputs!E:E,,0)</f>
        <v>0</v>
      </c>
      <c r="F27" s="54">
        <f>_xlfn.XLOOKUP($A27,Inputs!$A:$A,Inputs!F:F,,0)</f>
        <v>-101.71</v>
      </c>
      <c r="G27" s="54">
        <f>_xlfn.XLOOKUP($A27,Inputs!$A:$A,Inputs!G:G,,0)</f>
        <v>-70.459999999999994</v>
      </c>
      <c r="H27" s="54">
        <f>_xlfn.XLOOKUP($A27,Inputs!$A:$A,Inputs!H:H,,0)</f>
        <v>-45.582000000000001</v>
      </c>
      <c r="I27" s="54">
        <f>_xlfn.XLOOKUP($A27,Inputs!$A:$A,Inputs!I:I,,0)</f>
        <v>-35.404000000000003</v>
      </c>
      <c r="J27" s="54">
        <f>_xlfn.XLOOKUP($A27,Inputs!$A:$A,Inputs!J:J,,0)</f>
        <v>-30.483999999999998</v>
      </c>
      <c r="K27" s="54">
        <f>_xlfn.XLOOKUP($A27,Inputs!$A:$A,Inputs!K:K,,0)</f>
        <v>-28.6</v>
      </c>
      <c r="L27" s="54">
        <f>_xlfn.XLOOKUP($A27,Inputs!$A:$A,Inputs!L:L,,0)</f>
        <v>-2.258</v>
      </c>
      <c r="M27" s="55">
        <f>_xlfn.XLOOKUP($A27,Inputs!$A:$A,Inputs!M:M,,0)</f>
        <v>-7.5</v>
      </c>
    </row>
    <row r="28" spans="1:18">
      <c r="A28" s="117" t="s">
        <v>6576</v>
      </c>
      <c r="B28" s="54">
        <f>_xlfn.XLOOKUP($A28,Inputs!$A:$A,Inputs!B:B,,0)</f>
        <v>-30.5</v>
      </c>
      <c r="C28" s="54">
        <f>_xlfn.XLOOKUP($A28,Inputs!$A:$A,Inputs!C:C,,0)</f>
        <v>-48.351999999999997</v>
      </c>
      <c r="D28" s="54">
        <f>_xlfn.XLOOKUP($A28,Inputs!$A:$A,Inputs!D:D,,0)</f>
        <v>0</v>
      </c>
      <c r="E28" s="54">
        <f>_xlfn.XLOOKUP($A28,Inputs!$A:$A,Inputs!E:E,,0)</f>
        <v>0</v>
      </c>
      <c r="F28" s="54">
        <f>_xlfn.XLOOKUP($A28,Inputs!$A:$A,Inputs!F:F,,0)</f>
        <v>-15.1</v>
      </c>
      <c r="G28" s="861">
        <f>_xlfn.XLOOKUP($A28,Inputs!$A:$A,Inputs!G:G,,0)</f>
        <v>-148.57300000000001</v>
      </c>
      <c r="H28" s="54">
        <f>_xlfn.XLOOKUP($A28,Inputs!$A:$A,Inputs!H:H,,0)</f>
        <v>-21.329000000000001</v>
      </c>
      <c r="I28" s="54">
        <f>_xlfn.XLOOKUP($A28,Inputs!$A:$A,Inputs!I:I,,0)</f>
        <v>-12.801</v>
      </c>
      <c r="J28" s="54">
        <f>_xlfn.XLOOKUP($A28,Inputs!$A:$A,Inputs!J:J,,0)</f>
        <v>0</v>
      </c>
      <c r="K28" s="54">
        <f>_xlfn.XLOOKUP($A28,Inputs!$A:$A,Inputs!K:K,,0)</f>
        <v>0</v>
      </c>
      <c r="L28" s="54">
        <f>_xlfn.XLOOKUP($A28,Inputs!$A:$A,Inputs!L:L,,0)</f>
        <v>0</v>
      </c>
      <c r="M28" s="55">
        <f>_xlfn.XLOOKUP($A28,Inputs!$A:$A,Inputs!M:M,,0)</f>
        <v>0</v>
      </c>
    </row>
    <row r="29" spans="1:18">
      <c r="A29" s="115" t="s">
        <v>129</v>
      </c>
      <c r="B29" s="58">
        <f>SUM(B26:B28)</f>
        <v>-217.35500000000002</v>
      </c>
      <c r="C29" s="58">
        <f t="shared" ref="C29:M29" si="67">SUM(C26:C28)</f>
        <v>-259.75800000000004</v>
      </c>
      <c r="D29" s="58">
        <f t="shared" si="67"/>
        <v>-111.47899999999996</v>
      </c>
      <c r="E29" s="58">
        <f t="shared" si="67"/>
        <v>164.5</v>
      </c>
      <c r="F29" s="58">
        <f t="shared" si="67"/>
        <v>95.989999999999966</v>
      </c>
      <c r="G29" s="58">
        <f t="shared" si="67"/>
        <v>-66.976999999999961</v>
      </c>
      <c r="H29" s="58">
        <f t="shared" si="67"/>
        <v>83.843999999999994</v>
      </c>
      <c r="I29" s="58">
        <f t="shared" si="67"/>
        <v>46.580999999999996</v>
      </c>
      <c r="J29" s="58">
        <f t="shared" si="67"/>
        <v>-5.2809999999999953</v>
      </c>
      <c r="K29" s="58">
        <f t="shared" si="67"/>
        <v>-10.499999999999993</v>
      </c>
      <c r="L29" s="58">
        <f t="shared" si="67"/>
        <v>8.3419999999999952</v>
      </c>
      <c r="M29" s="55">
        <f t="shared" si="67"/>
        <v>87.2</v>
      </c>
    </row>
    <row r="30" spans="1:18">
      <c r="A30" s="117" t="s">
        <v>6577</v>
      </c>
      <c r="B30" s="58">
        <f t="shared" ref="B30:M30" si="68">+B29-(B58-C29)</f>
        <v>-1325.7040000000002</v>
      </c>
      <c r="C30" s="58">
        <f t="shared" si="68"/>
        <v>-1284.0160000000001</v>
      </c>
      <c r="D30" s="58">
        <f t="shared" si="68"/>
        <v>-860.91899999999998</v>
      </c>
      <c r="E30" s="58">
        <f t="shared" si="68"/>
        <v>-452.77599999999995</v>
      </c>
      <c r="F30" s="58">
        <f t="shared" si="68"/>
        <v>-712.78699999999992</v>
      </c>
      <c r="G30" s="58">
        <f t="shared" si="68"/>
        <v>-79.562999999999974</v>
      </c>
      <c r="H30" s="58">
        <f t="shared" si="68"/>
        <v>37.348999999999997</v>
      </c>
      <c r="I30" s="58">
        <f t="shared" si="68"/>
        <v>-99.312000000000012</v>
      </c>
      <c r="J30" s="58">
        <f t="shared" si="68"/>
        <v>-213.97900000000001</v>
      </c>
      <c r="K30" s="58">
        <f t="shared" si="68"/>
        <v>-236.69800000000004</v>
      </c>
      <c r="L30" s="58">
        <f t="shared" si="68"/>
        <v>-180.75800000000004</v>
      </c>
      <c r="M30" s="55">
        <f t="shared" si="68"/>
        <v>-237.5</v>
      </c>
    </row>
    <row r="31" spans="1:18">
      <c r="A31" s="115" t="s">
        <v>6578</v>
      </c>
      <c r="B31" s="58">
        <f>+B30+B33</f>
        <v>-1325.7040000000002</v>
      </c>
      <c r="C31" s="58">
        <f t="shared" ref="C31:L31" si="69">+C30+C33</f>
        <v>-1284.0160000000001</v>
      </c>
      <c r="D31" s="58">
        <f t="shared" si="69"/>
        <v>-1357.6189999999999</v>
      </c>
      <c r="E31" s="58">
        <f t="shared" si="69"/>
        <v>-452.77599999999995</v>
      </c>
      <c r="F31" s="58">
        <f t="shared" si="69"/>
        <v>-712.78699999999992</v>
      </c>
      <c r="G31" s="58">
        <f t="shared" si="69"/>
        <v>-79.562999999999974</v>
      </c>
      <c r="H31" s="58">
        <f t="shared" si="69"/>
        <v>37.348999999999997</v>
      </c>
      <c r="I31" s="58">
        <f t="shared" si="69"/>
        <v>-99.312000000000012</v>
      </c>
      <c r="J31" s="58">
        <f t="shared" si="69"/>
        <v>-213.97900000000001</v>
      </c>
      <c r="K31" s="58">
        <f t="shared" si="69"/>
        <v>-236.69800000000004</v>
      </c>
      <c r="L31" s="58">
        <f t="shared" si="69"/>
        <v>-180.75800000000004</v>
      </c>
      <c r="M31" s="55">
        <f t="shared" ref="M31" si="70">+M30+M33</f>
        <v>-237.5</v>
      </c>
    </row>
    <row r="32" spans="1:18">
      <c r="A32" s="117" t="s">
        <v>134</v>
      </c>
      <c r="B32" s="54">
        <f>_xlfn.XLOOKUP($A32,Inputs!$A:$A,Inputs!B:B,,0)</f>
        <v>-174</v>
      </c>
      <c r="C32" s="54">
        <f>_xlfn.XLOOKUP($A32,Inputs!$A:$A,Inputs!C:C,,0)</f>
        <v>-167.09</v>
      </c>
      <c r="D32" s="54">
        <f>_xlfn.XLOOKUP($A32,Inputs!$A:$A,Inputs!D:D,,0)</f>
        <v>-124.681</v>
      </c>
      <c r="E32" s="54">
        <f>_xlfn.XLOOKUP($A32,Inputs!$A:$A,Inputs!E:E,,0)</f>
        <v>-90.37</v>
      </c>
      <c r="F32" s="54">
        <f>_xlfn.XLOOKUP($A32,Inputs!$A:$A,Inputs!F:F,,0)</f>
        <v>-120.8</v>
      </c>
      <c r="G32" s="54">
        <f>_xlfn.XLOOKUP($A32,Inputs!$A:$A,Inputs!G:G,,0)</f>
        <v>-91.501999999999995</v>
      </c>
      <c r="H32" s="54">
        <f>_xlfn.XLOOKUP($A32,Inputs!$A:$A,Inputs!H:H,,0)</f>
        <v>-72.498000000000005</v>
      </c>
      <c r="I32" s="54">
        <f>_xlfn.XLOOKUP($A32,Inputs!$A:$A,Inputs!I:I,,0)</f>
        <v>-62.29</v>
      </c>
      <c r="J32" s="54">
        <f>_xlfn.XLOOKUP($A32,Inputs!$A:$A,Inputs!J:J,,0)</f>
        <v>-66.186999999999998</v>
      </c>
      <c r="K32" s="54">
        <f>_xlfn.XLOOKUP($A32,Inputs!$A:$A,Inputs!K:K,,0)</f>
        <v>-49.557000000000002</v>
      </c>
      <c r="L32" s="54">
        <f>_xlfn.XLOOKUP($A32,Inputs!$A:$A,Inputs!L:L,,0)</f>
        <v>-32.299999999999997</v>
      </c>
      <c r="M32" s="55">
        <f>_xlfn.XLOOKUP($A32,Inputs!$A:$A,Inputs!M:M,,0)</f>
        <v>-28.5</v>
      </c>
    </row>
    <row r="33" spans="1:13">
      <c r="A33" s="115" t="s">
        <v>135</v>
      </c>
      <c r="B33" s="54">
        <f>_xlfn.XLOOKUP($A33,Inputs!$A:$A,Inputs!B:B,,0)</f>
        <v>0</v>
      </c>
      <c r="C33" s="54">
        <f>_xlfn.XLOOKUP($A33,Inputs!$A:$A,Inputs!C:C,,0)</f>
        <v>0</v>
      </c>
      <c r="D33" s="54">
        <f>_xlfn.XLOOKUP($A33,Inputs!$A:$A,Inputs!D:D,,0)</f>
        <v>-496.7</v>
      </c>
      <c r="E33" s="54">
        <f>_xlfn.XLOOKUP($A33,Inputs!$A:$A,Inputs!E:E,,0)</f>
        <v>0</v>
      </c>
      <c r="F33" s="54">
        <f>_xlfn.XLOOKUP($A33,Inputs!$A:$A,Inputs!F:F,,0)</f>
        <v>0</v>
      </c>
      <c r="G33" s="54">
        <f>_xlfn.XLOOKUP($A33,Inputs!$A:$A,Inputs!G:G,,0)</f>
        <v>0</v>
      </c>
      <c r="H33" s="54">
        <f>_xlfn.XLOOKUP($A33,Inputs!$A:$A,Inputs!H:H,,0)</f>
        <v>0</v>
      </c>
      <c r="I33" s="54">
        <f>_xlfn.XLOOKUP($A33,Inputs!$A:$A,Inputs!I:I,,0)</f>
        <v>0</v>
      </c>
      <c r="J33" s="54">
        <f>_xlfn.XLOOKUP($A33,Inputs!$A:$A,Inputs!J:J,,0)</f>
        <v>0</v>
      </c>
      <c r="K33" s="54">
        <f>_xlfn.XLOOKUP($A33,Inputs!$A:$A,Inputs!K:K,,0)</f>
        <v>0</v>
      </c>
      <c r="L33" s="54">
        <f>_xlfn.XLOOKUP($A33,Inputs!$A:$A,Inputs!L:L,,0)</f>
        <v>0</v>
      </c>
      <c r="M33" s="55">
        <f>_xlfn.XLOOKUP($A33,Inputs!$A:$A,Inputs!M:M,,0)</f>
        <v>0</v>
      </c>
    </row>
    <row r="34" spans="1:13">
      <c r="A34" s="116" t="s">
        <v>130</v>
      </c>
      <c r="B34" s="58">
        <f t="shared" ref="B34:M34" si="71">+B32+B33</f>
        <v>-174</v>
      </c>
      <c r="C34" s="58">
        <f t="shared" si="71"/>
        <v>-167.09</v>
      </c>
      <c r="D34" s="58">
        <f t="shared" si="71"/>
        <v>-621.38099999999997</v>
      </c>
      <c r="E34" s="58">
        <f t="shared" si="71"/>
        <v>-90.37</v>
      </c>
      <c r="F34" s="58">
        <f t="shared" si="71"/>
        <v>-120.8</v>
      </c>
      <c r="G34" s="58">
        <f t="shared" si="71"/>
        <v>-91.501999999999995</v>
      </c>
      <c r="H34" s="58">
        <f t="shared" si="71"/>
        <v>-72.498000000000005</v>
      </c>
      <c r="I34" s="58">
        <f t="shared" si="71"/>
        <v>-62.29</v>
      </c>
      <c r="J34" s="58">
        <f t="shared" si="71"/>
        <v>-66.186999999999998</v>
      </c>
      <c r="K34" s="58">
        <f t="shared" si="71"/>
        <v>-49.557000000000002</v>
      </c>
      <c r="L34" s="58">
        <f t="shared" si="71"/>
        <v>-32.299999999999997</v>
      </c>
      <c r="M34" s="59">
        <f t="shared" si="71"/>
        <v>-28.5</v>
      </c>
    </row>
    <row r="35" spans="1:13">
      <c r="A35" s="115" t="s">
        <v>128</v>
      </c>
      <c r="B35" s="58">
        <f t="shared" ref="B35:M35" si="72">+B27+B28</f>
        <v>-333.9</v>
      </c>
      <c r="C35" s="58">
        <f t="shared" si="72"/>
        <v>-209.31200000000001</v>
      </c>
      <c r="D35" s="58">
        <f t="shared" si="72"/>
        <v>-120.679</v>
      </c>
      <c r="E35" s="58">
        <f t="shared" si="72"/>
        <v>0</v>
      </c>
      <c r="F35" s="58">
        <f t="shared" si="72"/>
        <v>-116.80999999999999</v>
      </c>
      <c r="G35" s="58">
        <f t="shared" si="72"/>
        <v>-219.03300000000002</v>
      </c>
      <c r="H35" s="58">
        <f t="shared" si="72"/>
        <v>-66.911000000000001</v>
      </c>
      <c r="I35" s="58">
        <f t="shared" si="72"/>
        <v>-48.205000000000005</v>
      </c>
      <c r="J35" s="58">
        <f t="shared" si="72"/>
        <v>-30.483999999999998</v>
      </c>
      <c r="K35" s="58">
        <f t="shared" si="72"/>
        <v>-28.6</v>
      </c>
      <c r="L35" s="58">
        <f t="shared" si="72"/>
        <v>-2.258</v>
      </c>
      <c r="M35" s="59">
        <f t="shared" si="72"/>
        <v>-7.5</v>
      </c>
    </row>
    <row r="36" spans="1:13">
      <c r="A36" s="117" t="s">
        <v>6579</v>
      </c>
      <c r="B36" s="56">
        <f>IFERROR(B35/B23,"-")</f>
        <v>-0.54564975462919829</v>
      </c>
      <c r="C36" s="56">
        <f t="shared" ref="C36:M36" si="73">IFERROR(C35/C23,"-")</f>
        <v>-0.34500082413054228</v>
      </c>
      <c r="D36" s="56">
        <f t="shared" si="73"/>
        <v>-0.30665535037722375</v>
      </c>
      <c r="E36" s="56">
        <f t="shared" si="73"/>
        <v>0</v>
      </c>
      <c r="F36" s="56">
        <f t="shared" si="73"/>
        <v>-0.32564817396152773</v>
      </c>
      <c r="G36" s="56">
        <f t="shared" si="73"/>
        <v>-0.65894404332129974</v>
      </c>
      <c r="H36" s="56">
        <f t="shared" si="73"/>
        <v>-0.2679655586704045</v>
      </c>
      <c r="I36" s="56">
        <f t="shared" si="73"/>
        <v>-0.24594387755102043</v>
      </c>
      <c r="J36" s="56">
        <f t="shared" si="73"/>
        <v>-0.18156045265038712</v>
      </c>
      <c r="K36" s="56">
        <f t="shared" si="73"/>
        <v>-0.21949347659247889</v>
      </c>
      <c r="L36" s="56">
        <f t="shared" si="73"/>
        <v>-2.9683186538714344E-2</v>
      </c>
      <c r="M36" s="57">
        <f t="shared" si="73"/>
        <v>-0.2410025706940874</v>
      </c>
    </row>
    <row r="37" spans="1:13">
      <c r="A37" s="7"/>
      <c r="B37" s="47"/>
      <c r="C37" s="47"/>
      <c r="D37" s="47"/>
      <c r="E37" s="47"/>
      <c r="F37" s="47"/>
      <c r="G37" s="47"/>
      <c r="H37" s="47"/>
      <c r="I37" s="47"/>
      <c r="J37" s="47"/>
      <c r="K37" s="47"/>
      <c r="L37" s="47"/>
      <c r="M37" s="47"/>
    </row>
    <row r="38" spans="1:13" ht="20.25">
      <c r="A38" s="1370" t="s">
        <v>6580</v>
      </c>
      <c r="B38" s="1370"/>
      <c r="C38" s="1370"/>
      <c r="D38" s="1370"/>
      <c r="E38" s="1370"/>
      <c r="F38" s="1370"/>
      <c r="G38" s="1370"/>
      <c r="H38" s="1370"/>
      <c r="I38" s="1370"/>
      <c r="J38" s="1370"/>
      <c r="K38" s="1370"/>
      <c r="L38" s="1370"/>
      <c r="M38" s="1370"/>
    </row>
    <row r="39" spans="1:13">
      <c r="A39" s="118" t="s">
        <v>285</v>
      </c>
      <c r="B39" s="54">
        <f>_xlfn.XLOOKUP($A39,Inputs!$A:$A,Inputs!B:B,,0)</f>
        <v>998.79899999999998</v>
      </c>
      <c r="C39" s="54">
        <f>_xlfn.XLOOKUP($A39,Inputs!$A:$A,Inputs!C:C,,0)</f>
        <v>882.25400000000002</v>
      </c>
      <c r="D39" s="54">
        <f>_xlfn.XLOOKUP($A39,Inputs!$A:$A,Inputs!D:D,,0)</f>
        <v>932.7</v>
      </c>
      <c r="E39" s="54">
        <f>_xlfn.XLOOKUP($A39,Inputs!$A:$A,Inputs!E:E,,0)</f>
        <v>923.5</v>
      </c>
      <c r="F39" s="54">
        <f>_xlfn.XLOOKUP($A39,Inputs!$A:$A,Inputs!F:F,,0)</f>
        <v>759</v>
      </c>
      <c r="G39" s="54">
        <f>_xlfn.XLOOKUP($A39,Inputs!$A:$A,Inputs!G:G,,0)</f>
        <v>546.20000000000005</v>
      </c>
      <c r="H39" s="54">
        <f>_xlfn.XLOOKUP($A39,Inputs!$A:$A,Inputs!H:H,,0)</f>
        <v>394.14400000000001</v>
      </c>
      <c r="I39" s="54">
        <f>_xlfn.XLOOKUP($A39,Inputs!$A:$A,Inputs!I:I,,0)</f>
        <v>243.38900000000001</v>
      </c>
      <c r="J39" s="54">
        <f>_xlfn.XLOOKUP($A39,Inputs!$A:$A,Inputs!J:J,,0)</f>
        <v>148.60300000000001</v>
      </c>
      <c r="K39" s="54">
        <f>_xlfn.XLOOKUP($A39,Inputs!$A:$A,Inputs!K:K,,0)</f>
        <v>123.4</v>
      </c>
      <c r="L39" s="54">
        <f>_xlfn.XLOOKUP($A39,Inputs!$A:$A,Inputs!L:L,,0)</f>
        <v>105.3</v>
      </c>
      <c r="M39" s="55">
        <f>_xlfn.XLOOKUP($A39,Inputs!$A:$A,Inputs!M:M,,0)</f>
        <v>94.7</v>
      </c>
    </row>
    <row r="40" spans="1:13">
      <c r="A40" s="116" t="s">
        <v>6581</v>
      </c>
      <c r="B40" s="54">
        <f>_xlfn.XLOOKUP($A40,Inputs!$A:$A,Inputs!B:B,,0)</f>
        <v>325.60000000000002</v>
      </c>
      <c r="C40" s="54">
        <f>_xlfn.XLOOKUP($A40,Inputs!$A:$A,Inputs!C:C,,0)</f>
        <v>296.55</v>
      </c>
      <c r="D40" s="54">
        <f>_xlfn.XLOOKUP($A40,Inputs!$A:$A,Inputs!D:D,,0)</f>
        <v>234.27</v>
      </c>
      <c r="E40" s="54">
        <f>_xlfn.XLOOKUP($A40,Inputs!$A:$A,Inputs!E:E,,0)</f>
        <v>174.14</v>
      </c>
      <c r="F40" s="54">
        <f>_xlfn.XLOOKUP($A40,Inputs!$A:$A,Inputs!F:F,,0)</f>
        <v>167.9</v>
      </c>
      <c r="G40" s="54">
        <f>_xlfn.XLOOKUP($A40,Inputs!$A:$A,Inputs!G:G,,0)</f>
        <v>155.04</v>
      </c>
      <c r="H40" s="54">
        <f>_xlfn.XLOOKUP($A40,Inputs!$A:$A,Inputs!H:H,,0)</f>
        <v>120.708</v>
      </c>
      <c r="I40" s="54">
        <f>_xlfn.XLOOKUP($A40,Inputs!$A:$A,Inputs!I:I,,0)</f>
        <v>104.864</v>
      </c>
      <c r="J40" s="54">
        <f>_xlfn.XLOOKUP($A40,Inputs!$A:$A,Inputs!J:J,,0)</f>
        <v>89.781999999999996</v>
      </c>
      <c r="K40" s="54">
        <f>_xlfn.XLOOKUP($A40,Inputs!$A:$A,Inputs!K:K,,0)</f>
        <v>86.59</v>
      </c>
      <c r="L40" s="54">
        <f>_xlfn.XLOOKUP($A40,Inputs!$A:$A,Inputs!L:L,,0)</f>
        <v>76.5</v>
      </c>
      <c r="M40" s="55">
        <f>_xlfn.XLOOKUP($A40,Inputs!$A:$A,Inputs!M:M,,0)</f>
        <v>108.2</v>
      </c>
    </row>
    <row r="41" spans="1:13">
      <c r="A41" s="118" t="s">
        <v>287</v>
      </c>
      <c r="B41" s="54">
        <f>_xlfn.XLOOKUP($A41,Inputs!$A:$A,Inputs!B:B,,0)</f>
        <v>453.178</v>
      </c>
      <c r="C41" s="54">
        <f>_xlfn.XLOOKUP($A41,Inputs!$A:$A,Inputs!C:C,,0)</f>
        <v>377.55</v>
      </c>
      <c r="D41" s="54">
        <f>_xlfn.XLOOKUP($A41,Inputs!$A:$A,Inputs!D:D,,0)</f>
        <v>263.5</v>
      </c>
      <c r="E41" s="54">
        <f>_xlfn.XLOOKUP($A41,Inputs!$A:$A,Inputs!E:E,,0)</f>
        <v>202.77</v>
      </c>
      <c r="F41" s="54">
        <f>_xlfn.XLOOKUP($A41,Inputs!$A:$A,Inputs!F:F,,0)</f>
        <v>208.9</v>
      </c>
      <c r="G41" s="54">
        <f>_xlfn.XLOOKUP($A41,Inputs!$A:$A,Inputs!G:G,,0)</f>
        <v>173</v>
      </c>
      <c r="H41" s="54">
        <f>_xlfn.XLOOKUP($A41,Inputs!$A:$A,Inputs!H:H,,0)</f>
        <v>136.15899999999999</v>
      </c>
      <c r="I41" s="54">
        <f>_xlfn.XLOOKUP($A41,Inputs!$A:$A,Inputs!I:I,,0)</f>
        <v>135.84899999999999</v>
      </c>
      <c r="J41" s="54">
        <f>_xlfn.XLOOKUP($A41,Inputs!$A:$A,Inputs!J:J,,0)</f>
        <v>134.06299999999999</v>
      </c>
      <c r="K41" s="54">
        <f>_xlfn.XLOOKUP($A41,Inputs!$A:$A,Inputs!K:K,,0)</f>
        <v>122.8</v>
      </c>
      <c r="L41" s="54">
        <f>_xlfn.XLOOKUP($A41,Inputs!$A:$A,Inputs!L:L,,0)</f>
        <v>77.2</v>
      </c>
      <c r="M41" s="55">
        <f>_xlfn.XLOOKUP($A41,Inputs!$A:$A,Inputs!M:M,,0)</f>
        <v>96.7</v>
      </c>
    </row>
    <row r="42" spans="1:13">
      <c r="A42" s="116" t="s">
        <v>6582</v>
      </c>
      <c r="B42" s="54">
        <f>_xlfn.XLOOKUP($A42,Inputs!$A:$A,Inputs!B:B,,0)</f>
        <v>1082.48</v>
      </c>
      <c r="C42" s="54">
        <f>_xlfn.XLOOKUP($A42,Inputs!$A:$A,Inputs!C:C,,0)</f>
        <v>1074.5</v>
      </c>
      <c r="D42" s="54">
        <f>_xlfn.XLOOKUP($A42,Inputs!$A:$A,Inputs!D:D,,0)</f>
        <v>913.3</v>
      </c>
      <c r="E42" s="54">
        <f>_xlfn.XLOOKUP($A42,Inputs!$A:$A,Inputs!E:E,,0)</f>
        <v>802.98699999999997</v>
      </c>
      <c r="F42" s="54">
        <f>_xlfn.XLOOKUP($A42,Inputs!$A:$A,Inputs!F:F,,0)</f>
        <v>806.5</v>
      </c>
      <c r="G42" s="54">
        <f>_xlfn.XLOOKUP($A42,Inputs!$A:$A,Inputs!G:G,,0)</f>
        <v>176.9</v>
      </c>
      <c r="H42" s="54">
        <f>_xlfn.XLOOKUP($A42,Inputs!$A:$A,Inputs!H:H,,0)</f>
        <v>138.12700000000001</v>
      </c>
      <c r="I42" s="54">
        <f>_xlfn.XLOOKUP($A42,Inputs!$A:$A,Inputs!I:I,,0)</f>
        <v>123.925</v>
      </c>
      <c r="J42" s="54">
        <f>_xlfn.XLOOKUP($A42,Inputs!$A:$A,Inputs!J:J,,0)</f>
        <v>102.23399999999999</v>
      </c>
      <c r="K42" s="54">
        <f>_xlfn.XLOOKUP($A42,Inputs!$A:$A,Inputs!K:K,,0)</f>
        <v>77.25</v>
      </c>
      <c r="L42" s="54">
        <f>_xlfn.XLOOKUP($A42,Inputs!$A:$A,Inputs!L:L,,0)</f>
        <v>58.2</v>
      </c>
      <c r="M42" s="55">
        <f>_xlfn.XLOOKUP($A42,Inputs!$A:$A,Inputs!M:M,,0)</f>
        <v>51.8</v>
      </c>
    </row>
    <row r="43" spans="1:13">
      <c r="A43" s="118" t="s">
        <v>6583</v>
      </c>
      <c r="B43" s="54">
        <f>_xlfn.XLOOKUP($A43,Inputs!$A:$A,Inputs!B:B,,0)</f>
        <v>1394.4420000000002</v>
      </c>
      <c r="C43" s="54">
        <f>_xlfn.XLOOKUP($A43,Inputs!$A:$A,Inputs!C:C,,0)</f>
        <v>1233.7210000000002</v>
      </c>
      <c r="D43" s="54">
        <f>_xlfn.XLOOKUP($A43,Inputs!$A:$A,Inputs!D:D,,0)</f>
        <v>1267.1079999999995</v>
      </c>
      <c r="E43" s="54">
        <f>_xlfn.XLOOKUP($A43,Inputs!$A:$A,Inputs!E:E,,0)</f>
        <v>62.417000000000371</v>
      </c>
      <c r="F43" s="54">
        <f>_xlfn.XLOOKUP($A43,Inputs!$A:$A,Inputs!F:F,,0)</f>
        <v>29.500000000000227</v>
      </c>
      <c r="G43" s="54">
        <f>_xlfn.XLOOKUP($A43,Inputs!$A:$A,Inputs!G:G,,0)</f>
        <v>574.45999999999992</v>
      </c>
      <c r="H43" s="54">
        <f>_xlfn.XLOOKUP($A43,Inputs!$A:$A,Inputs!H:H,,0)</f>
        <v>590.90900000000011</v>
      </c>
      <c r="I43" s="54">
        <f>_xlfn.XLOOKUP($A43,Inputs!$A:$A,Inputs!I:I,,0)</f>
        <v>543.77199999999993</v>
      </c>
      <c r="J43" s="54">
        <f>_xlfn.XLOOKUP($A43,Inputs!$A:$A,Inputs!J:J,,0)</f>
        <v>537.38199999999983</v>
      </c>
      <c r="K43" s="54">
        <f>_xlfn.XLOOKUP($A43,Inputs!$A:$A,Inputs!K:K,,0)</f>
        <v>517.05999999999995</v>
      </c>
      <c r="L43" s="54">
        <f>_xlfn.XLOOKUP($A43,Inputs!$A:$A,Inputs!L:L,,0)</f>
        <v>508.40000000000003</v>
      </c>
      <c r="M43" s="55">
        <f>_xlfn.XLOOKUP($A43,Inputs!$A:$A,Inputs!M:M,,0)</f>
        <v>485.89999999999992</v>
      </c>
    </row>
    <row r="44" spans="1:13">
      <c r="A44" s="119" t="s">
        <v>47</v>
      </c>
      <c r="B44" s="60">
        <f>_xlfn.XLOOKUP($A44,Inputs!$A:$A,Inputs!B:B,,0)</f>
        <v>4992</v>
      </c>
      <c r="C44" s="60">
        <f>_xlfn.XLOOKUP($A44,Inputs!$A:$A,Inputs!C:C,,0)</f>
        <v>4639</v>
      </c>
      <c r="D44" s="60">
        <f>_xlfn.XLOOKUP($A44,Inputs!$A:$A,Inputs!D:D,,0)</f>
        <v>4267.8999999999996</v>
      </c>
      <c r="E44" s="60">
        <f>_xlfn.XLOOKUP($A44,Inputs!$A:$A,Inputs!E:E,,0)</f>
        <v>2756.6120000000001</v>
      </c>
      <c r="F44" s="60">
        <f>_xlfn.XLOOKUP($A44,Inputs!$A:$A,Inputs!F:F,,0)</f>
        <v>2565.4</v>
      </c>
      <c r="G44" s="60">
        <f>_xlfn.XLOOKUP($A44,Inputs!$A:$A,Inputs!G:G,,0)</f>
        <v>1625.6</v>
      </c>
      <c r="H44" s="60">
        <f>_xlfn.XLOOKUP($A44,Inputs!$A:$A,Inputs!H:H,,0)</f>
        <v>1380.047</v>
      </c>
      <c r="I44" s="60">
        <f>_xlfn.XLOOKUP($A44,Inputs!$A:$A,Inputs!I:I,,0)</f>
        <v>1151.799</v>
      </c>
      <c r="J44" s="60">
        <f>_xlfn.XLOOKUP($A44,Inputs!$A:$A,Inputs!J:J,,0)</f>
        <v>1012.064</v>
      </c>
      <c r="K44" s="60">
        <f>_xlfn.XLOOKUP($A44,Inputs!$A:$A,Inputs!K:K,,0)</f>
        <v>927.1</v>
      </c>
      <c r="L44" s="60">
        <f>_xlfn.XLOOKUP($A44,Inputs!$A:$A,Inputs!L:L,,0)</f>
        <v>825.6</v>
      </c>
      <c r="M44" s="60">
        <f>_xlfn.XLOOKUP($A44,Inputs!$A:$A,Inputs!M:M,,0)</f>
        <v>837.3</v>
      </c>
    </row>
    <row r="45" spans="1:13">
      <c r="B45"/>
      <c r="C45"/>
      <c r="D45"/>
      <c r="E45"/>
      <c r="F45"/>
      <c r="G45"/>
      <c r="H45"/>
      <c r="I45"/>
      <c r="J45"/>
      <c r="K45"/>
      <c r="L45"/>
      <c r="M45"/>
    </row>
    <row r="46" spans="1:13">
      <c r="B46"/>
      <c r="C46"/>
      <c r="D46"/>
      <c r="E46"/>
      <c r="F46"/>
      <c r="G46"/>
      <c r="H46"/>
      <c r="I46"/>
      <c r="J46"/>
      <c r="K46"/>
      <c r="L46"/>
      <c r="M46"/>
    </row>
    <row r="47" spans="1:13" ht="20.25">
      <c r="A47" s="1370" t="s">
        <v>6584</v>
      </c>
      <c r="B47" s="1370"/>
      <c r="C47" s="1370"/>
      <c r="D47" s="1370"/>
      <c r="E47" s="1370"/>
      <c r="F47" s="1370"/>
      <c r="G47" s="1370"/>
      <c r="H47" s="1370"/>
      <c r="I47" s="1370"/>
      <c r="J47" s="1370"/>
      <c r="K47" s="1370"/>
      <c r="L47" s="1370"/>
      <c r="M47" s="1370"/>
    </row>
    <row r="48" spans="1:13">
      <c r="A48" s="120" t="s">
        <v>291</v>
      </c>
      <c r="B48" s="60">
        <f>_xlfn.XLOOKUP($A48,Inputs!$A:$A,Inputs!B:B,,0)</f>
        <v>1010</v>
      </c>
      <c r="C48" s="60">
        <f>_xlfn.XLOOKUP($A48,Inputs!$A:$A,Inputs!C:C,,0)</f>
        <v>963.7</v>
      </c>
      <c r="D48" s="60">
        <f>_xlfn.XLOOKUP($A48,Inputs!$A:$A,Inputs!D:D,,0)</f>
        <v>894.6</v>
      </c>
      <c r="E48" s="60">
        <f>_xlfn.XLOOKUP($A48,Inputs!$A:$A,Inputs!E:E,,0)</f>
        <v>539.95799999999997</v>
      </c>
      <c r="F48" s="60">
        <f>_xlfn.XLOOKUP($A48,Inputs!$A:$A,Inputs!F:F,,0)</f>
        <v>561</v>
      </c>
      <c r="G48" s="60">
        <f>_xlfn.XLOOKUP($A48,Inputs!$A:$A,Inputs!G:G,,0)</f>
        <v>376.5</v>
      </c>
      <c r="H48" s="60">
        <f>_xlfn.XLOOKUP($A48,Inputs!$A:$A,Inputs!H:H,,0)</f>
        <v>297.125</v>
      </c>
      <c r="I48" s="60">
        <f>_xlfn.XLOOKUP($A48,Inputs!$A:$A,Inputs!I:I,,0)</f>
        <v>272.25900000000001</v>
      </c>
      <c r="J48" s="60">
        <f>_xlfn.XLOOKUP($A48,Inputs!$A:$A,Inputs!J:J,,0)</f>
        <v>252.97399999999999</v>
      </c>
      <c r="K48" s="60">
        <f>_xlfn.XLOOKUP($A48,Inputs!$A:$A,Inputs!K:K,,0)</f>
        <v>266.18</v>
      </c>
      <c r="L48" s="60">
        <f>_xlfn.XLOOKUP($A48,Inputs!$A:$A,Inputs!L:L,,0)</f>
        <v>270.8</v>
      </c>
      <c r="M48" s="60">
        <f>_xlfn.XLOOKUP($A48,Inputs!$A:$A,Inputs!M:M,,0)</f>
        <v>271.10000000000002</v>
      </c>
    </row>
    <row r="49" spans="1:13">
      <c r="A49" s="121" t="s">
        <v>6585</v>
      </c>
      <c r="B49" s="54">
        <f>_xlfn.XLOOKUP($A49,Inputs!$A:$A,Inputs!B:B,,0)</f>
        <v>16.744</v>
      </c>
      <c r="C49" s="54">
        <f>_xlfn.XLOOKUP($A49,Inputs!$A:$A,Inputs!C:C,,0)</f>
        <v>30.875999999999998</v>
      </c>
      <c r="D49" s="54">
        <f>_xlfn.XLOOKUP($A49,Inputs!$A:$A,Inputs!D:D,,0)</f>
        <v>163.59</v>
      </c>
      <c r="E49" s="54">
        <f>_xlfn.XLOOKUP($A49,Inputs!$A:$A,Inputs!E:E,,0)</f>
        <v>47.631999999999998</v>
      </c>
      <c r="F49" s="54">
        <f>_xlfn.XLOOKUP($A49,Inputs!$A:$A,Inputs!F:F,,0)</f>
        <v>24.3</v>
      </c>
      <c r="G49" s="54">
        <f>_xlfn.XLOOKUP($A49,Inputs!$A:$A,Inputs!G:G,,0)</f>
        <v>15.65</v>
      </c>
      <c r="H49" s="54">
        <f>_xlfn.XLOOKUP($A49,Inputs!$A:$A,Inputs!H:H,,0)</f>
        <v>25.202000000000002</v>
      </c>
      <c r="I49" s="54">
        <f>_xlfn.XLOOKUP($A49,Inputs!$A:$A,Inputs!I:I,,0)</f>
        <v>64.777000000000001</v>
      </c>
      <c r="J49" s="54">
        <f>_xlfn.XLOOKUP($A49,Inputs!$A:$A,Inputs!J:J,,0)</f>
        <v>71.182000000000002</v>
      </c>
      <c r="K49" s="54">
        <f>_xlfn.XLOOKUP($A49,Inputs!$A:$A,Inputs!K:K,,0)</f>
        <v>80.3</v>
      </c>
      <c r="L49" s="54">
        <f>_xlfn.XLOOKUP($A49,Inputs!$A:$A,Inputs!L:L,,0)</f>
        <v>116.2</v>
      </c>
      <c r="M49" s="54">
        <f>_xlfn.XLOOKUP($A49,Inputs!$A:$A,Inputs!M:M,,0)</f>
        <v>96.6</v>
      </c>
    </row>
    <row r="50" spans="1:13">
      <c r="A50" s="115" t="s">
        <v>6586</v>
      </c>
      <c r="B50" s="54">
        <f>_xlfn.XLOOKUP($A50,Inputs!$A:$A,Inputs!B:B,,0)</f>
        <v>167.65899999999999</v>
      </c>
      <c r="C50" s="54">
        <f>_xlfn.XLOOKUP($A50,Inputs!$A:$A,Inputs!C:C,,0)</f>
        <v>163.19399999999999</v>
      </c>
      <c r="D50" s="54">
        <f>_xlfn.XLOOKUP($A50,Inputs!$A:$A,Inputs!D:D,,0)</f>
        <v>125.6</v>
      </c>
      <c r="E50" s="54">
        <f>_xlfn.XLOOKUP($A50,Inputs!$A:$A,Inputs!E:E,,0)</f>
        <v>102.79</v>
      </c>
      <c r="F50" s="54">
        <f>_xlfn.XLOOKUP($A50,Inputs!$A:$A,Inputs!F:F,,0)</f>
        <v>105.5</v>
      </c>
      <c r="G50" s="54">
        <f>_xlfn.XLOOKUP($A50,Inputs!$A:$A,Inputs!G:G,,0)</f>
        <v>0</v>
      </c>
      <c r="H50" s="54">
        <f>_xlfn.XLOOKUP($A50,Inputs!$A:$A,Inputs!H:H,,0)</f>
        <v>0</v>
      </c>
      <c r="I50" s="54">
        <f>_xlfn.XLOOKUP($A50,Inputs!$A:$A,Inputs!I:I,,0)</f>
        <v>0</v>
      </c>
      <c r="J50" s="54">
        <f>_xlfn.XLOOKUP($A50,Inputs!$A:$A,Inputs!J:J,,0)</f>
        <v>0</v>
      </c>
      <c r="K50" s="54">
        <f>_xlfn.XLOOKUP($A50,Inputs!$A:$A,Inputs!K:K,,0)</f>
        <v>0</v>
      </c>
      <c r="L50" s="54">
        <f>_xlfn.XLOOKUP($A50,Inputs!$A:$A,Inputs!L:L,,0)</f>
        <v>0</v>
      </c>
      <c r="M50" s="54">
        <f>_xlfn.XLOOKUP($A50,Inputs!$A:$A,Inputs!M:M,,0)</f>
        <v>0</v>
      </c>
    </row>
    <row r="51" spans="1:13">
      <c r="A51" s="116" t="s">
        <v>6587</v>
      </c>
      <c r="B51" s="54">
        <f>_xlfn.XLOOKUP($A51,Inputs!$A:$A,Inputs!B:B,,0)</f>
        <v>287.01099999999997</v>
      </c>
      <c r="C51" s="54">
        <f>_xlfn.XLOOKUP($A51,Inputs!$A:$A,Inputs!C:C,,0)</f>
        <v>287.20000000000005</v>
      </c>
      <c r="D51" s="54">
        <f>_xlfn.XLOOKUP($A51,Inputs!$A:$A,Inputs!D:D,,0)</f>
        <v>256.51</v>
      </c>
      <c r="E51" s="54">
        <f>_xlfn.XLOOKUP($A51,Inputs!$A:$A,Inputs!E:E,,0)</f>
        <v>177.63599999999997</v>
      </c>
      <c r="F51" s="54">
        <f>_xlfn.XLOOKUP($A51,Inputs!$A:$A,Inputs!F:F,,0)</f>
        <v>182.60000000000002</v>
      </c>
      <c r="G51" s="54">
        <f>_xlfn.XLOOKUP($A51,Inputs!$A:$A,Inputs!G:G,,0)</f>
        <v>135.87</v>
      </c>
      <c r="H51" s="54">
        <f>_xlfn.XLOOKUP($A51,Inputs!$A:$A,Inputs!H:H,,0)</f>
        <v>104.71100000000001</v>
      </c>
      <c r="I51" s="54">
        <f>_xlfn.XLOOKUP($A51,Inputs!$A:$A,Inputs!I:I,,0)</f>
        <v>74.896000000000015</v>
      </c>
      <c r="J51" s="54">
        <f>_xlfn.XLOOKUP($A51,Inputs!$A:$A,Inputs!J:J,,0)</f>
        <v>68.822999999999979</v>
      </c>
      <c r="K51" s="54">
        <f>_xlfn.XLOOKUP($A51,Inputs!$A:$A,Inputs!K:K,,0)</f>
        <v>73.580000000000013</v>
      </c>
      <c r="L51" s="54">
        <f>_xlfn.XLOOKUP($A51,Inputs!$A:$A,Inputs!L:L,,0)</f>
        <v>47.5</v>
      </c>
      <c r="M51" s="54">
        <f>_xlfn.XLOOKUP($A51,Inputs!$A:$A,Inputs!M:M,,0)</f>
        <v>49.400000000000034</v>
      </c>
    </row>
    <row r="52" spans="1:13">
      <c r="A52" s="120" t="s">
        <v>6588</v>
      </c>
      <c r="B52" s="60">
        <f>_xlfn.XLOOKUP($A52,Inputs!$A:$A,Inputs!B:B,,0)</f>
        <v>767.59999999999991</v>
      </c>
      <c r="C52" s="60">
        <f>_xlfn.XLOOKUP($A52,Inputs!$A:$A,Inputs!C:C,,0)</f>
        <v>773.32599999999979</v>
      </c>
      <c r="D52" s="60">
        <f>_xlfn.XLOOKUP($A52,Inputs!$A:$A,Inputs!D:D,,0)</f>
        <v>874.29499999999996</v>
      </c>
      <c r="E52" s="60">
        <f>_xlfn.XLOOKUP($A52,Inputs!$A:$A,Inputs!E:E,,0)</f>
        <v>589.51699999999994</v>
      </c>
      <c r="F52" s="60">
        <f>_xlfn.XLOOKUP($A52,Inputs!$A:$A,Inputs!F:F,,0)</f>
        <v>698.05</v>
      </c>
      <c r="G52" s="60">
        <f>_xlfn.XLOOKUP($A52,Inputs!$A:$A,Inputs!G:G,,0)</f>
        <v>180.22399999999993</v>
      </c>
      <c r="H52" s="60">
        <f>_xlfn.XLOOKUP($A52,Inputs!$A:$A,Inputs!H:H,,0)</f>
        <v>159.39100000000008</v>
      </c>
      <c r="I52" s="60">
        <f>_xlfn.XLOOKUP($A52,Inputs!$A:$A,Inputs!I:I,,0)</f>
        <v>175.96899999999994</v>
      </c>
      <c r="J52" s="60">
        <f>_xlfn.XLOOKUP($A52,Inputs!$A:$A,Inputs!J:J,,0)</f>
        <v>212.28299999999996</v>
      </c>
      <c r="K52" s="60">
        <f>_xlfn.XLOOKUP($A52,Inputs!$A:$A,Inputs!K:K,,0)</f>
        <v>240.39</v>
      </c>
      <c r="L52" s="60">
        <f>_xlfn.XLOOKUP($A52,Inputs!$A:$A,Inputs!L:L,,0)</f>
        <v>244.2</v>
      </c>
      <c r="M52" s="60">
        <f>_xlfn.XLOOKUP($A52,Inputs!$A:$A,Inputs!M:M,,0)</f>
        <v>325.09999999999991</v>
      </c>
    </row>
    <row r="53" spans="1:13">
      <c r="A53" s="121" t="s">
        <v>6589</v>
      </c>
      <c r="B53" s="54">
        <f>_xlfn.XLOOKUP($A53,Inputs!$A:$A,Inputs!B:B,,0)</f>
        <v>26.515999999999998</v>
      </c>
      <c r="C53" s="54">
        <f>_xlfn.XLOOKUP($A53,Inputs!$A:$A,Inputs!C:C,,0)</f>
        <v>44.423999999999999</v>
      </c>
      <c r="D53" s="54">
        <f>_xlfn.XLOOKUP($A53,Inputs!$A:$A,Inputs!D:D,,0)</f>
        <v>40.049999999999997</v>
      </c>
      <c r="E53" s="54">
        <f>_xlfn.XLOOKUP($A53,Inputs!$A:$A,Inputs!E:E,,0)</f>
        <v>25.338000000000001</v>
      </c>
      <c r="F53" s="54">
        <f>_xlfn.XLOOKUP($A53,Inputs!$A:$A,Inputs!F:F,,0)</f>
        <v>78.2</v>
      </c>
      <c r="G53" s="54">
        <f>_xlfn.XLOOKUP($A53,Inputs!$A:$A,Inputs!G:G,,0)</f>
        <v>80.78</v>
      </c>
      <c r="H53" s="54">
        <f>_xlfn.XLOOKUP($A53,Inputs!$A:$A,Inputs!H:H,,0)</f>
        <v>67.873999999999995</v>
      </c>
      <c r="I53" s="54">
        <f>_xlfn.XLOOKUP($A53,Inputs!$A:$A,Inputs!I:I,,0)</f>
        <v>75.834999999999994</v>
      </c>
      <c r="J53" s="54">
        <f>_xlfn.XLOOKUP($A53,Inputs!$A:$A,Inputs!J:J,,0)</f>
        <v>127.01600000000001</v>
      </c>
      <c r="K53" s="54">
        <f>_xlfn.XLOOKUP($A53,Inputs!$A:$A,Inputs!K:K,,0)</f>
        <v>154.24</v>
      </c>
      <c r="L53" s="54">
        <f>_xlfn.XLOOKUP($A53,Inputs!$A:$A,Inputs!L:L,,0)</f>
        <v>160.1</v>
      </c>
      <c r="M53" s="54">
        <f>_xlfn.XLOOKUP($A53,Inputs!$A:$A,Inputs!M:M,,0)</f>
        <v>228.1</v>
      </c>
    </row>
    <row r="54" spans="1:13">
      <c r="A54" s="115" t="s">
        <v>6590</v>
      </c>
      <c r="B54" s="54">
        <f>_xlfn.XLOOKUP($A54,Inputs!$A:$A,Inputs!B:B,,0)</f>
        <v>637.67200000000003</v>
      </c>
      <c r="C54" s="54">
        <f>_xlfn.XLOOKUP($A54,Inputs!$A:$A,Inputs!C:C,,0)</f>
        <v>674.28499999999997</v>
      </c>
      <c r="D54" s="54">
        <f>_xlfn.XLOOKUP($A54,Inputs!$A:$A,Inputs!D:D,,0)</f>
        <v>584.70000000000005</v>
      </c>
      <c r="E54" s="54">
        <f>_xlfn.XLOOKUP($A54,Inputs!$A:$A,Inputs!E:E,,0)</f>
        <v>537.50599999999997</v>
      </c>
      <c r="F54" s="54">
        <f>_xlfn.XLOOKUP($A54,Inputs!$A:$A,Inputs!F:F,,0)</f>
        <v>533.79999999999995</v>
      </c>
      <c r="G54" s="54">
        <f>_xlfn.XLOOKUP($A54,Inputs!$A:$A,Inputs!G:G,,0)</f>
        <v>0</v>
      </c>
      <c r="H54" s="54">
        <f>_xlfn.XLOOKUP($A54,Inputs!$A:$A,Inputs!H:H,,0)</f>
        <v>0</v>
      </c>
      <c r="I54" s="54">
        <f>_xlfn.XLOOKUP($A54,Inputs!$A:$A,Inputs!I:I,,0)</f>
        <v>0</v>
      </c>
      <c r="J54" s="54">
        <f>_xlfn.XLOOKUP($A54,Inputs!$A:$A,Inputs!J:J,,0)</f>
        <v>0</v>
      </c>
      <c r="K54" s="54">
        <f>_xlfn.XLOOKUP($A54,Inputs!$A:$A,Inputs!K:K,,0)</f>
        <v>0</v>
      </c>
      <c r="L54" s="54">
        <f>_xlfn.XLOOKUP($A54,Inputs!$A:$A,Inputs!L:L,,0)</f>
        <v>0</v>
      </c>
      <c r="M54" s="54">
        <f>_xlfn.XLOOKUP($A54,Inputs!$A:$A,Inputs!M:M,,0)</f>
        <v>0</v>
      </c>
    </row>
    <row r="55" spans="1:13">
      <c r="A55" s="116" t="s">
        <v>6591</v>
      </c>
      <c r="B55" s="54">
        <f>_xlfn.XLOOKUP($A55,Inputs!$A:$A,Inputs!B:B,,0)</f>
        <v>103.41199999999992</v>
      </c>
      <c r="C55" s="54">
        <f>_xlfn.XLOOKUP($A55,Inputs!$A:$A,Inputs!C:C,,0)</f>
        <v>54.616999999999848</v>
      </c>
      <c r="D55" s="54">
        <f>_xlfn.XLOOKUP($A55,Inputs!$A:$A,Inputs!D:D,,0)</f>
        <v>249.54499999999996</v>
      </c>
      <c r="E55" s="54">
        <f>_xlfn.XLOOKUP($A55,Inputs!$A:$A,Inputs!E:E,,0)</f>
        <v>26.673000000000002</v>
      </c>
      <c r="F55" s="54">
        <f>_xlfn.XLOOKUP($A55,Inputs!$A:$A,Inputs!F:F,,0)</f>
        <v>86.049999999999955</v>
      </c>
      <c r="G55" s="54">
        <f>_xlfn.XLOOKUP($A55,Inputs!$A:$A,Inputs!G:G,,0)</f>
        <v>99.443999999999932</v>
      </c>
      <c r="H55" s="54">
        <f>_xlfn.XLOOKUP($A55,Inputs!$A:$A,Inputs!H:H,,0)</f>
        <v>91.517000000000081</v>
      </c>
      <c r="I55" s="54">
        <f>_xlfn.XLOOKUP($A55,Inputs!$A:$A,Inputs!I:I,,0)</f>
        <v>100.13399999999994</v>
      </c>
      <c r="J55" s="54">
        <f>_xlfn.XLOOKUP($A55,Inputs!$A:$A,Inputs!J:J,,0)</f>
        <v>85.266999999999953</v>
      </c>
      <c r="K55" s="54">
        <f>_xlfn.XLOOKUP($A55,Inputs!$A:$A,Inputs!K:K,,0)</f>
        <v>86.149999999999977</v>
      </c>
      <c r="L55" s="54">
        <f>_xlfn.XLOOKUP($A55,Inputs!$A:$A,Inputs!L:L,,0)</f>
        <v>84.1</v>
      </c>
      <c r="M55" s="54">
        <f>_xlfn.XLOOKUP($A55,Inputs!$A:$A,Inputs!M:M,,0)</f>
        <v>96.999999999999915</v>
      </c>
    </row>
    <row r="56" spans="1:13">
      <c r="A56" s="120" t="s">
        <v>53</v>
      </c>
      <c r="B56" s="60">
        <f>_xlfn.XLOOKUP($A56,Inputs!$A:$A,Inputs!B:B,,0)</f>
        <v>1777.6</v>
      </c>
      <c r="C56" s="60">
        <f>_xlfn.XLOOKUP($A56,Inputs!$A:$A,Inputs!C:C,,0)</f>
        <v>1737.0259999999998</v>
      </c>
      <c r="D56" s="60">
        <f>_xlfn.XLOOKUP($A56,Inputs!$A:$A,Inputs!D:D,,0)</f>
        <v>1768.895</v>
      </c>
      <c r="E56" s="60">
        <f>_xlfn.XLOOKUP($A56,Inputs!$A:$A,Inputs!E:E,,0)</f>
        <v>1129.4749999999999</v>
      </c>
      <c r="F56" s="60">
        <f>_xlfn.XLOOKUP($A56,Inputs!$A:$A,Inputs!F:F,,0)</f>
        <v>1259.05</v>
      </c>
      <c r="G56" s="60">
        <f>_xlfn.XLOOKUP($A56,Inputs!$A:$A,Inputs!G:G,,0)</f>
        <v>556.72399999999993</v>
      </c>
      <c r="H56" s="60">
        <f>_xlfn.XLOOKUP($A56,Inputs!$A:$A,Inputs!H:H,,0)</f>
        <v>456.51600000000008</v>
      </c>
      <c r="I56" s="60">
        <f>_xlfn.XLOOKUP($A56,Inputs!$A:$A,Inputs!I:I,,0)</f>
        <v>448.22799999999995</v>
      </c>
      <c r="J56" s="60">
        <f>_xlfn.XLOOKUP($A56,Inputs!$A:$A,Inputs!J:J,,0)</f>
        <v>465.25699999999995</v>
      </c>
      <c r="K56" s="60">
        <f>_xlfn.XLOOKUP($A56,Inputs!$A:$A,Inputs!K:K,,0)</f>
        <v>506.57</v>
      </c>
      <c r="L56" s="60">
        <f>_xlfn.XLOOKUP($A56,Inputs!$A:$A,Inputs!L:L,,0)</f>
        <v>515</v>
      </c>
      <c r="M56" s="60">
        <f>_xlfn.XLOOKUP($A56,Inputs!$A:$A,Inputs!M:M,,0)</f>
        <v>596.19999999999993</v>
      </c>
    </row>
    <row r="57" spans="1:13">
      <c r="B57"/>
      <c r="C57"/>
      <c r="D57"/>
      <c r="E57"/>
      <c r="F57"/>
      <c r="G57"/>
      <c r="H57"/>
      <c r="I57"/>
      <c r="J57"/>
      <c r="K57"/>
      <c r="L57"/>
      <c r="M57"/>
    </row>
    <row r="58" spans="1:13">
      <c r="A58" s="120" t="s">
        <v>292</v>
      </c>
      <c r="B58" s="60">
        <f>B49+B53+B50+B54</f>
        <v>848.59100000000001</v>
      </c>
      <c r="C58" s="60">
        <f t="shared" ref="C58:M58" si="74">C49+C53+C50+C54</f>
        <v>912.779</v>
      </c>
      <c r="D58" s="60">
        <f t="shared" si="74"/>
        <v>913.94</v>
      </c>
      <c r="E58" s="60">
        <f t="shared" si="74"/>
        <v>713.26599999999996</v>
      </c>
      <c r="F58" s="60">
        <f t="shared" si="74"/>
        <v>741.8</v>
      </c>
      <c r="G58" s="60">
        <f t="shared" si="74"/>
        <v>96.43</v>
      </c>
      <c r="H58" s="60">
        <f t="shared" si="74"/>
        <v>93.075999999999993</v>
      </c>
      <c r="I58" s="60">
        <f t="shared" si="74"/>
        <v>140.61199999999999</v>
      </c>
      <c r="J58" s="60">
        <f t="shared" si="74"/>
        <v>198.19800000000001</v>
      </c>
      <c r="K58" s="60">
        <f t="shared" si="74"/>
        <v>234.54000000000002</v>
      </c>
      <c r="L58" s="60">
        <f t="shared" si="74"/>
        <v>276.3</v>
      </c>
      <c r="M58" s="60">
        <f t="shared" si="74"/>
        <v>324.7</v>
      </c>
    </row>
    <row r="59" spans="1:13">
      <c r="A59" s="121" t="s">
        <v>75</v>
      </c>
      <c r="B59" s="56">
        <f>IFERROR(B58/B44,"-")</f>
        <v>0.16999018429487181</v>
      </c>
      <c r="C59" s="56">
        <f t="shared" ref="C59:M59" si="75">IFERROR(C58/C44,"-")</f>
        <v>0.19676201767622331</v>
      </c>
      <c r="D59" s="56">
        <f t="shared" si="75"/>
        <v>0.214142786850676</v>
      </c>
      <c r="E59" s="56">
        <f t="shared" si="75"/>
        <v>0.25874733186970089</v>
      </c>
      <c r="F59" s="56">
        <f t="shared" si="75"/>
        <v>0.28915568722226548</v>
      </c>
      <c r="G59" s="56">
        <f t="shared" si="75"/>
        <v>5.9319635826771661E-2</v>
      </c>
      <c r="H59" s="56">
        <f t="shared" si="75"/>
        <v>6.7444079803079163E-2</v>
      </c>
      <c r="I59" s="56">
        <f t="shared" si="75"/>
        <v>0.12208032825171752</v>
      </c>
      <c r="J59" s="56">
        <f t="shared" si="75"/>
        <v>0.19583544123691785</v>
      </c>
      <c r="K59" s="56">
        <f t="shared" si="75"/>
        <v>0.25298241829360374</v>
      </c>
      <c r="L59" s="56">
        <f t="shared" si="75"/>
        <v>0.33466569767441862</v>
      </c>
      <c r="M59" s="56">
        <f t="shared" si="75"/>
        <v>0.38779410008360204</v>
      </c>
    </row>
    <row r="60" spans="1:13">
      <c r="A60" s="120" t="s">
        <v>6592</v>
      </c>
      <c r="B60" s="60">
        <f>B58-B39</f>
        <v>-150.20799999999997</v>
      </c>
      <c r="C60" s="60">
        <f t="shared" ref="C60:M60" si="76">C58-C39</f>
        <v>30.524999999999977</v>
      </c>
      <c r="D60" s="60">
        <f t="shared" si="76"/>
        <v>-18.759999999999991</v>
      </c>
      <c r="E60" s="60">
        <f t="shared" si="76"/>
        <v>-210.23400000000004</v>
      </c>
      <c r="F60" s="60">
        <f t="shared" si="76"/>
        <v>-17.200000000000045</v>
      </c>
      <c r="G60" s="60">
        <f t="shared" si="76"/>
        <v>-449.77000000000004</v>
      </c>
      <c r="H60" s="60">
        <f t="shared" si="76"/>
        <v>-301.06799999999998</v>
      </c>
      <c r="I60" s="60">
        <f t="shared" si="76"/>
        <v>-102.77700000000002</v>
      </c>
      <c r="J60" s="60">
        <f t="shared" si="76"/>
        <v>49.594999999999999</v>
      </c>
      <c r="K60" s="60">
        <f t="shared" si="76"/>
        <v>111.14000000000001</v>
      </c>
      <c r="L60" s="60">
        <f t="shared" si="76"/>
        <v>171</v>
      </c>
      <c r="M60" s="60">
        <f t="shared" si="76"/>
        <v>230</v>
      </c>
    </row>
    <row r="61" spans="1:13">
      <c r="B61"/>
      <c r="C61"/>
      <c r="D61"/>
      <c r="E61"/>
      <c r="F61"/>
      <c r="G61"/>
      <c r="H61"/>
      <c r="I61"/>
      <c r="J61"/>
      <c r="K61"/>
      <c r="L61"/>
      <c r="M61"/>
    </row>
    <row r="62" spans="1:13" s="48" customFormat="1">
      <c r="A62" s="120" t="s">
        <v>6593</v>
      </c>
      <c r="B62" s="60">
        <f>_xlfn.XLOOKUP($A62,Inputs!$A:$A,Inputs!B:B,,0)</f>
        <v>9.4E-2</v>
      </c>
      <c r="C62" s="60">
        <f>_xlfn.XLOOKUP($A62,Inputs!$A:$A,Inputs!C:C,,0)</f>
        <v>0.11600000000000001</v>
      </c>
      <c r="D62" s="60">
        <f>_xlfn.XLOOKUP($A62,Inputs!$A:$A,Inputs!D:D,,0)</f>
        <v>0.108</v>
      </c>
      <c r="E62" s="60">
        <f>_xlfn.XLOOKUP($A62,Inputs!$A:$A,Inputs!E:E,,0)</f>
        <v>8.8999999999999996E-2</v>
      </c>
      <c r="F62" s="60">
        <f>_xlfn.XLOOKUP($A62,Inputs!$A:$A,Inputs!F:F,,0)</f>
        <v>0.08</v>
      </c>
      <c r="G62" s="60">
        <f>_xlfn.XLOOKUP($A62,Inputs!$A:$A,Inputs!G:G,,0)</f>
        <v>6.9000000000000006E-2</v>
      </c>
      <c r="H62" s="60">
        <f>_xlfn.XLOOKUP($A62,Inputs!$A:$A,Inputs!H:H,,0)</f>
        <v>0.108</v>
      </c>
      <c r="I62" s="60">
        <f>_xlfn.XLOOKUP($A62,Inputs!$A:$A,Inputs!I:I,,0)</f>
        <v>0.11899999999999999</v>
      </c>
      <c r="J62" s="60">
        <f>_xlfn.XLOOKUP($A62,Inputs!$A:$A,Inputs!J:J,,0)</f>
        <v>0.64900000000000002</v>
      </c>
      <c r="K62" s="60">
        <f>_xlfn.XLOOKUP($A62,Inputs!$A:$A,Inputs!K:K,,0)</f>
        <v>1.07</v>
      </c>
      <c r="L62" s="60">
        <f>_xlfn.XLOOKUP($A62,Inputs!$A:$A,Inputs!L:L,,0)</f>
        <v>3.1</v>
      </c>
      <c r="M62" s="60">
        <f>_xlfn.XLOOKUP($A62,Inputs!$A:$A,Inputs!M:M,,0)</f>
        <v>2.6</v>
      </c>
    </row>
    <row r="63" spans="1:13">
      <c r="B63"/>
      <c r="C63"/>
      <c r="D63"/>
      <c r="E63"/>
      <c r="F63"/>
      <c r="G63"/>
      <c r="H63"/>
      <c r="I63"/>
      <c r="J63"/>
      <c r="K63"/>
      <c r="L63"/>
      <c r="M63"/>
    </row>
    <row r="64" spans="1:13">
      <c r="A64" s="120" t="s">
        <v>6594</v>
      </c>
      <c r="B64" s="60">
        <f>_xlfn.XLOOKUP($A64,Inputs!$A:$A,Inputs!B:B,,0)</f>
        <v>3214.306</v>
      </c>
      <c r="C64" s="60">
        <f>_xlfn.XLOOKUP($A64,Inputs!$A:$A,Inputs!C:C,,0)</f>
        <v>2901.8580000000002</v>
      </c>
      <c r="D64" s="60">
        <f>_xlfn.XLOOKUP($A64,Inputs!$A:$A,Inputs!D:D,,0)</f>
        <v>2498.8969999999995</v>
      </c>
      <c r="E64" s="60">
        <f>_xlfn.XLOOKUP($A64,Inputs!$A:$A,Inputs!E:E,,0)</f>
        <v>1627.0480000000002</v>
      </c>
      <c r="F64" s="60">
        <f>_xlfn.XLOOKUP($A64,Inputs!$A:$A,Inputs!F:F,,0)</f>
        <v>1306.2700000000002</v>
      </c>
      <c r="G64" s="60">
        <f>_xlfn.XLOOKUP($A64,Inputs!$A:$A,Inputs!G:G,,0)</f>
        <v>1068.807</v>
      </c>
      <c r="H64" s="60">
        <f>_xlfn.XLOOKUP($A64,Inputs!$A:$A,Inputs!H:H,,0)</f>
        <v>923.423</v>
      </c>
      <c r="I64" s="60">
        <f>_xlfn.XLOOKUP($A64,Inputs!$A:$A,Inputs!I:I,,0)</f>
        <v>703.452</v>
      </c>
      <c r="J64" s="60">
        <f>_xlfn.XLOOKUP($A64,Inputs!$A:$A,Inputs!J:J,,0)</f>
        <v>546.15800000000002</v>
      </c>
      <c r="K64" s="60">
        <f>_xlfn.XLOOKUP($A64,Inputs!$A:$A,Inputs!K:K,,0)</f>
        <v>419.46000000000004</v>
      </c>
      <c r="L64" s="60">
        <f>_xlfn.XLOOKUP($A64,Inputs!$A:$A,Inputs!L:L,,0)</f>
        <v>307.5</v>
      </c>
      <c r="M64" s="60">
        <f>_xlfn.XLOOKUP($A64,Inputs!$A:$A,Inputs!M:M,,0)</f>
        <v>238.50000000000003</v>
      </c>
    </row>
    <row r="65" spans="1:235">
      <c r="K65" s="44"/>
      <c r="L65" s="44"/>
      <c r="M65" s="44"/>
    </row>
    <row r="66" spans="1:235" ht="20.25">
      <c r="A66" s="1370" t="s">
        <v>131</v>
      </c>
      <c r="B66" s="1370"/>
      <c r="C66" s="1370"/>
      <c r="D66" s="1370"/>
      <c r="E66" s="1370"/>
      <c r="F66" s="1370"/>
      <c r="G66" s="1370"/>
      <c r="H66" s="1370"/>
      <c r="I66" s="1370"/>
      <c r="J66" s="1370"/>
      <c r="K66" s="1370"/>
      <c r="L66" s="1370"/>
      <c r="M66" s="1370"/>
    </row>
    <row r="67" spans="1:235">
      <c r="A67" s="120" t="s">
        <v>132</v>
      </c>
      <c r="B67" s="60">
        <f>_xlfn.XLOOKUP($A67,Inputs!$A:$A,Inputs!B:B,,0)</f>
        <v>804.4</v>
      </c>
      <c r="C67" s="60">
        <f>_xlfn.XLOOKUP($A67,Inputs!$A:$A,Inputs!C:C,,0)</f>
        <v>662.6</v>
      </c>
      <c r="D67" s="60">
        <f>_xlfn.XLOOKUP($A67,Inputs!$A:$A,Inputs!D:D,,0)</f>
        <v>865.3</v>
      </c>
      <c r="E67" s="60">
        <f>_xlfn.XLOOKUP($A67,Inputs!$A:$A,Inputs!E:E,,0)</f>
        <v>406.45</v>
      </c>
      <c r="F67" s="60">
        <f>_xlfn.XLOOKUP($A67,Inputs!$A:$A,Inputs!F:F,,0)</f>
        <v>588.5</v>
      </c>
      <c r="G67" s="60">
        <f>_xlfn.XLOOKUP($A67,Inputs!$A:$A,Inputs!G:G,,0)</f>
        <v>465.8</v>
      </c>
      <c r="H67" s="60">
        <f>_xlfn.XLOOKUP($A67,Inputs!$A:$A,Inputs!H:H,,0)</f>
        <v>314.11200000000002</v>
      </c>
      <c r="I67" s="60">
        <f>_xlfn.XLOOKUP($A67,Inputs!$A:$A,Inputs!I:I,,0)</f>
        <v>277.45100000000002</v>
      </c>
      <c r="J67" s="60">
        <f>_xlfn.XLOOKUP($A67,Inputs!$A:$A,Inputs!J:J,,0)</f>
        <v>181.887</v>
      </c>
      <c r="K67" s="60">
        <f>_xlfn.XLOOKUP($A67,Inputs!$A:$A,Inputs!K:K,,0)</f>
        <v>141.69</v>
      </c>
      <c r="L67" s="60">
        <f>_xlfn.XLOOKUP($A67,Inputs!$A:$A,Inputs!L:L,,0)</f>
        <v>90.4</v>
      </c>
      <c r="M67" s="60">
        <f>_xlfn.XLOOKUP($A67,Inputs!$A:$A,Inputs!M:M,,0)</f>
        <v>88.5</v>
      </c>
    </row>
    <row r="68" spans="1:235">
      <c r="A68" s="120" t="s">
        <v>133</v>
      </c>
      <c r="B68" s="60">
        <f>_xlfn.XLOOKUP($A68,Inputs!$A:$A,Inputs!B:B,,0)</f>
        <v>-174</v>
      </c>
      <c r="C68" s="60">
        <f>_xlfn.XLOOKUP($A68,Inputs!$A:$A,Inputs!C:C,,0)</f>
        <v>-167</v>
      </c>
      <c r="D68" s="60">
        <f>_xlfn.XLOOKUP($A68,Inputs!$A:$A,Inputs!D:D,,0)</f>
        <v>-621.4</v>
      </c>
      <c r="E68" s="60">
        <f>_xlfn.XLOOKUP($A68,Inputs!$A:$A,Inputs!E:E,,0)</f>
        <v>-90.37</v>
      </c>
      <c r="F68" s="60">
        <f>_xlfn.XLOOKUP($A68,Inputs!$A:$A,Inputs!F:F,,0)</f>
        <v>-120.8</v>
      </c>
      <c r="G68" s="60">
        <f>_xlfn.XLOOKUP($A68,Inputs!$A:$A,Inputs!G:G,,0)</f>
        <v>-91.5</v>
      </c>
      <c r="H68" s="60">
        <f>_xlfn.XLOOKUP($A68,Inputs!$A:$A,Inputs!H:H,,0)</f>
        <v>-72.498000000000005</v>
      </c>
      <c r="I68" s="60">
        <f>_xlfn.XLOOKUP($A68,Inputs!$A:$A,Inputs!I:I,,0)</f>
        <v>-62.29</v>
      </c>
      <c r="J68" s="60">
        <f>_xlfn.XLOOKUP($A68,Inputs!$A:$A,Inputs!J:J,,0)</f>
        <v>-66.186999999999998</v>
      </c>
      <c r="K68" s="60">
        <f>_xlfn.XLOOKUP($A68,Inputs!$A:$A,Inputs!K:K,,0)</f>
        <v>-49.557000000000002</v>
      </c>
      <c r="L68" s="60">
        <f>_xlfn.XLOOKUP($A68,Inputs!$A:$A,Inputs!L:L,,0)</f>
        <v>-25.2</v>
      </c>
      <c r="M68" s="60">
        <f>_xlfn.XLOOKUP($A68,Inputs!$A:$A,Inputs!M:M,,0)</f>
        <v>-28.5</v>
      </c>
    </row>
    <row r="69" spans="1:235">
      <c r="A69" s="116" t="s">
        <v>134</v>
      </c>
      <c r="B69" s="54">
        <f>_xlfn.XLOOKUP($A69,Inputs!$A:$A,Inputs!B:B,,0)</f>
        <v>-174</v>
      </c>
      <c r="C69" s="54">
        <f>_xlfn.XLOOKUP($A69,Inputs!$A:$A,Inputs!C:C,,0)</f>
        <v>-167.09</v>
      </c>
      <c r="D69" s="54">
        <f>_xlfn.XLOOKUP($A69,Inputs!$A:$A,Inputs!D:D,,0)</f>
        <v>-124.681</v>
      </c>
      <c r="E69" s="54">
        <f>_xlfn.XLOOKUP($A69,Inputs!$A:$A,Inputs!E:E,,0)</f>
        <v>-90.37</v>
      </c>
      <c r="F69" s="54">
        <f>_xlfn.XLOOKUP($A69,Inputs!$A:$A,Inputs!F:F,,0)</f>
        <v>-120.8</v>
      </c>
      <c r="G69" s="54">
        <f>_xlfn.XLOOKUP($A69,Inputs!$A:$A,Inputs!G:G,,0)</f>
        <v>-91.501999999999995</v>
      </c>
      <c r="H69" s="54">
        <f>_xlfn.XLOOKUP($A69,Inputs!$A:$A,Inputs!H:H,,0)</f>
        <v>-72.498000000000005</v>
      </c>
      <c r="I69" s="54">
        <f>_xlfn.XLOOKUP($A69,Inputs!$A:$A,Inputs!I:I,,0)</f>
        <v>-62.29</v>
      </c>
      <c r="J69" s="54">
        <f>_xlfn.XLOOKUP($A69,Inputs!$A:$A,Inputs!J:J,,0)</f>
        <v>-66.186999999999998</v>
      </c>
      <c r="K69" s="54">
        <f>_xlfn.XLOOKUP($A69,Inputs!$A:$A,Inputs!K:K,,0)</f>
        <v>-49.557000000000002</v>
      </c>
      <c r="L69" s="54">
        <f>_xlfn.XLOOKUP($A69,Inputs!$A:$A,Inputs!L:L,,0)</f>
        <v>-32.299999999999997</v>
      </c>
      <c r="M69" s="54">
        <f>_xlfn.XLOOKUP($A69,Inputs!$A:$A,Inputs!M:M,,0)</f>
        <v>-28.5</v>
      </c>
    </row>
    <row r="70" spans="1:235">
      <c r="A70" s="116" t="s">
        <v>135</v>
      </c>
      <c r="B70" s="54">
        <f>_xlfn.XLOOKUP($A70,Inputs!$A:$A,Inputs!B:B,,0)</f>
        <v>0</v>
      </c>
      <c r="C70" s="54">
        <f>_xlfn.XLOOKUP($A70,Inputs!$A:$A,Inputs!C:C,,0)</f>
        <v>0</v>
      </c>
      <c r="D70" s="54">
        <f>_xlfn.XLOOKUP($A70,Inputs!$A:$A,Inputs!D:D,,0)</f>
        <v>-496.7</v>
      </c>
      <c r="E70" s="54">
        <f>_xlfn.XLOOKUP($A70,Inputs!$A:$A,Inputs!E:E,,0)</f>
        <v>0</v>
      </c>
      <c r="F70" s="54">
        <f>_xlfn.XLOOKUP($A70,Inputs!$A:$A,Inputs!F:F,,0)</f>
        <v>0</v>
      </c>
      <c r="G70" s="54">
        <f>_xlfn.XLOOKUP($A70,Inputs!$A:$A,Inputs!G:G,,0)</f>
        <v>0</v>
      </c>
      <c r="H70" s="54">
        <f>_xlfn.XLOOKUP($A70,Inputs!$A:$A,Inputs!H:H,,0)</f>
        <v>0</v>
      </c>
      <c r="I70" s="54">
        <f>_xlfn.XLOOKUP($A70,Inputs!$A:$A,Inputs!I:I,,0)</f>
        <v>0</v>
      </c>
      <c r="J70" s="54">
        <f>_xlfn.XLOOKUP($A70,Inputs!$A:$A,Inputs!J:J,,0)</f>
        <v>0</v>
      </c>
      <c r="K70" s="54">
        <f>_xlfn.XLOOKUP($A70,Inputs!$A:$A,Inputs!K:K,,0)</f>
        <v>0</v>
      </c>
      <c r="L70" s="54">
        <f>_xlfn.XLOOKUP($A70,Inputs!$A:$A,Inputs!L:L,,0)</f>
        <v>0</v>
      </c>
      <c r="M70" s="54">
        <f>_xlfn.XLOOKUP($A70,Inputs!$A:$A,Inputs!M:M,,0)</f>
        <v>0</v>
      </c>
      <c r="IA70" s="44"/>
    </row>
    <row r="71" spans="1:235">
      <c r="A71" s="120" t="s">
        <v>136</v>
      </c>
      <c r="B71" s="60">
        <f>_xlfn.XLOOKUP($A71,Inputs!$A:$A,Inputs!B:B,,0)</f>
        <v>-596.625</v>
      </c>
      <c r="C71" s="60">
        <f>_xlfn.XLOOKUP($A71,Inputs!$A:$A,Inputs!C:C,,0)</f>
        <v>-391.25</v>
      </c>
      <c r="D71" s="60">
        <f>_xlfn.XLOOKUP($A71,Inputs!$A:$A,Inputs!D:D,,0)</f>
        <v>-345.18</v>
      </c>
      <c r="E71" s="60">
        <f>_xlfn.XLOOKUP($A71,Inputs!$A:$A,Inputs!E:E,,0)</f>
        <v>-151.54</v>
      </c>
      <c r="F71" s="60">
        <f>_xlfn.XLOOKUP($A71,Inputs!$A:$A,Inputs!F:F,,0)</f>
        <v>-243.8</v>
      </c>
      <c r="G71" s="60">
        <f>_xlfn.XLOOKUP($A71,Inputs!$A:$A,Inputs!G:G,,0)</f>
        <v>-219.6</v>
      </c>
      <c r="H71" s="60">
        <f>_xlfn.XLOOKUP($A71,Inputs!$A:$A,Inputs!H:H,,0)</f>
        <v>-83</v>
      </c>
      <c r="I71" s="60">
        <f>_xlfn.XLOOKUP($A71,Inputs!$A:$A,Inputs!I:I,,0)</f>
        <v>-117.78</v>
      </c>
      <c r="J71" s="60">
        <f>_xlfn.XLOOKUP($A71,Inputs!$A:$A,Inputs!J:J,,0)</f>
        <v>-88.228999999999999</v>
      </c>
      <c r="K71" s="60">
        <f>_xlfn.XLOOKUP($A71,Inputs!$A:$A,Inputs!K:K,,0)</f>
        <v>-69.013999999999996</v>
      </c>
      <c r="L71" s="60">
        <f>_xlfn.XLOOKUP($A71,Inputs!$A:$A,Inputs!L:L,,0)</f>
        <v>-49</v>
      </c>
      <c r="M71" s="60">
        <f>_xlfn.XLOOKUP($A71,Inputs!$A:$A,Inputs!M:M,,0)</f>
        <v>-16.899999999999999</v>
      </c>
      <c r="IA71" s="44"/>
    </row>
    <row r="72" spans="1:235">
      <c r="A72" s="116" t="s">
        <v>137</v>
      </c>
      <c r="B72" s="54">
        <f>_xlfn.XLOOKUP($A72,Inputs!$A:$A,Inputs!B:B,,0)</f>
        <v>-303.39999999999998</v>
      </c>
      <c r="C72" s="54">
        <f>_xlfn.XLOOKUP($A72,Inputs!$A:$A,Inputs!C:C,,0)</f>
        <v>-160.96</v>
      </c>
      <c r="D72" s="54">
        <f>_xlfn.XLOOKUP($A72,Inputs!$A:$A,Inputs!D:D,,0)</f>
        <v>-120.679</v>
      </c>
      <c r="E72" s="54">
        <f>_xlfn.XLOOKUP($A72,Inputs!$A:$A,Inputs!E:E,,0)</f>
        <v>0</v>
      </c>
      <c r="F72" s="54">
        <f>_xlfn.XLOOKUP($A72,Inputs!$A:$A,Inputs!F:F,,0)</f>
        <v>-101.71</v>
      </c>
      <c r="G72" s="54">
        <f>_xlfn.XLOOKUP($A72,Inputs!$A:$A,Inputs!G:G,,0)</f>
        <v>-70.459999999999994</v>
      </c>
      <c r="H72" s="54">
        <f>_xlfn.XLOOKUP($A72,Inputs!$A:$A,Inputs!H:H,,0)</f>
        <v>-45.582000000000001</v>
      </c>
      <c r="I72" s="54">
        <f>_xlfn.XLOOKUP($A72,Inputs!$A:$A,Inputs!I:I,,0)</f>
        <v>-35.404000000000003</v>
      </c>
      <c r="J72" s="54">
        <f>_xlfn.XLOOKUP($A72,Inputs!$A:$A,Inputs!J:J,,0)</f>
        <v>-30.483999999999998</v>
      </c>
      <c r="K72" s="54">
        <f>_xlfn.XLOOKUP($A72,Inputs!$A:$A,Inputs!K:K,,0)</f>
        <v>-28.6</v>
      </c>
      <c r="L72" s="54">
        <f>_xlfn.XLOOKUP($A72,Inputs!$A:$A,Inputs!L:L,,0)</f>
        <v>-2.258</v>
      </c>
      <c r="M72" s="54">
        <f>_xlfn.XLOOKUP($A72,Inputs!$A:$A,Inputs!M:M,,0)</f>
        <v>-7.5</v>
      </c>
      <c r="IA72" s="44"/>
    </row>
    <row r="73" spans="1:235">
      <c r="A73" s="116" t="s">
        <v>6576</v>
      </c>
      <c r="B73" s="54">
        <f>_xlfn.XLOOKUP($A73,Inputs!$A:$A,Inputs!B:B,,0)</f>
        <v>-30.5</v>
      </c>
      <c r="C73" s="54">
        <f>_xlfn.XLOOKUP($A73,Inputs!$A:$A,Inputs!C:C,,0)</f>
        <v>-48.351999999999997</v>
      </c>
      <c r="D73" s="54">
        <f>_xlfn.XLOOKUP($A73,Inputs!$A:$A,Inputs!D:D,,0)</f>
        <v>0</v>
      </c>
      <c r="E73" s="54">
        <f>_xlfn.XLOOKUP($A73,Inputs!$A:$A,Inputs!E:E,,0)</f>
        <v>0</v>
      </c>
      <c r="F73" s="54">
        <f>_xlfn.XLOOKUP($A73,Inputs!$A:$A,Inputs!F:F,,0)</f>
        <v>-15.1</v>
      </c>
      <c r="G73" s="54">
        <f>_xlfn.XLOOKUP($A73,Inputs!$A:$A,Inputs!G:G,,0)</f>
        <v>-148.57300000000001</v>
      </c>
      <c r="H73" s="54">
        <f>_xlfn.XLOOKUP($A73,Inputs!$A:$A,Inputs!H:H,,0)</f>
        <v>-21.329000000000001</v>
      </c>
      <c r="I73" s="54">
        <f>_xlfn.XLOOKUP($A73,Inputs!$A:$A,Inputs!I:I,,0)</f>
        <v>-12.801</v>
      </c>
      <c r="J73" s="54">
        <f>_xlfn.XLOOKUP($A73,Inputs!$A:$A,Inputs!J:J,,0)</f>
        <v>0</v>
      </c>
      <c r="K73" s="54">
        <f>_xlfn.XLOOKUP($A73,Inputs!$A:$A,Inputs!K:K,,0)</f>
        <v>0</v>
      </c>
      <c r="L73" s="54">
        <f>_xlfn.XLOOKUP($A73,Inputs!$A:$A,Inputs!L:L,,0)</f>
        <v>0</v>
      </c>
      <c r="M73" s="54">
        <f>_xlfn.XLOOKUP($A73,Inputs!$A:$A,Inputs!M:M,,0)</f>
        <v>0</v>
      </c>
    </row>
    <row r="74" spans="1:235">
      <c r="A74" s="120" t="s">
        <v>140</v>
      </c>
      <c r="B74" s="60">
        <f>_xlfn.XLOOKUP($A74,Inputs!$A:$A,Inputs!B:B,,0)</f>
        <v>0</v>
      </c>
      <c r="C74" s="60">
        <f>_xlfn.XLOOKUP($A74,Inputs!$A:$A,Inputs!C:C,,0)</f>
        <v>-24.686</v>
      </c>
      <c r="D74" s="60">
        <f>_xlfn.XLOOKUP($A74,Inputs!$A:$A,Inputs!D:D,,0)</f>
        <v>-19</v>
      </c>
      <c r="E74" s="60">
        <f>_xlfn.XLOOKUP($A74,Inputs!$A:$A,Inputs!E:E,,0)</f>
        <v>-0.126</v>
      </c>
      <c r="F74" s="60">
        <f>_xlfn.XLOOKUP($A74,Inputs!$A:$A,Inputs!F:F,,0)</f>
        <v>-11</v>
      </c>
      <c r="G74" s="60">
        <f>_xlfn.XLOOKUP($A74,Inputs!$A:$A,Inputs!G:G,,0)</f>
        <v>-2.605</v>
      </c>
      <c r="H74" s="60">
        <f>_xlfn.XLOOKUP($A74,Inputs!$A:$A,Inputs!H:H,,0)</f>
        <v>-7.8550000000000004</v>
      </c>
      <c r="I74" s="60">
        <f>_xlfn.XLOOKUP($A74,Inputs!$A:$A,Inputs!I:I,,0)</f>
        <v>-7.6999999999999999E-2</v>
      </c>
      <c r="J74" s="60">
        <f>_xlfn.XLOOKUP($A74,Inputs!$A:$A,Inputs!J:J,,0)</f>
        <v>-3.79</v>
      </c>
      <c r="K74" s="60">
        <f>_xlfn.XLOOKUP($A74,Inputs!$A:$A,Inputs!K:K,,0)</f>
        <v>0</v>
      </c>
      <c r="L74" s="60">
        <f>_xlfn.XLOOKUP($A74,Inputs!$A:$A,Inputs!L:L,,0)</f>
        <v>0</v>
      </c>
      <c r="M74" s="60">
        <f>_xlfn.XLOOKUP($A74,Inputs!$A:$A,Inputs!M:M,,0)</f>
        <v>0</v>
      </c>
    </row>
    <row r="75" spans="1:235">
      <c r="A75" s="120" t="s">
        <v>6595</v>
      </c>
      <c r="B75" s="60">
        <f>_xlfn.XLOOKUP($A75,Inputs!$A:$A,Inputs!B:B,,0)</f>
        <v>33.774999999999977</v>
      </c>
      <c r="C75" s="60">
        <f>_xlfn.XLOOKUP($A75,Inputs!$A:$A,Inputs!C:C,,0)</f>
        <v>79.664000000000016</v>
      </c>
      <c r="D75" s="60">
        <f>_xlfn.XLOOKUP($A75,Inputs!$A:$A,Inputs!D:D,,0)</f>
        <v>-120.28000000000003</v>
      </c>
      <c r="E75" s="60">
        <f>_xlfn.XLOOKUP($A75,Inputs!$A:$A,Inputs!E:E,,0)</f>
        <v>164.41399999999999</v>
      </c>
      <c r="F75" s="60">
        <f>_xlfn.XLOOKUP($A75,Inputs!$A:$A,Inputs!F:F,,0)</f>
        <v>212.89999999999998</v>
      </c>
      <c r="G75" s="60">
        <f>_xlfn.XLOOKUP($A75,Inputs!$A:$A,Inputs!G:G,,0)</f>
        <v>152.09500000000003</v>
      </c>
      <c r="H75" s="60">
        <f>_xlfn.XLOOKUP($A75,Inputs!$A:$A,Inputs!H:H,,0)</f>
        <v>150.75900000000004</v>
      </c>
      <c r="I75" s="60">
        <f>_xlfn.XLOOKUP($A75,Inputs!$A:$A,Inputs!I:I,,0)</f>
        <v>97.30400000000003</v>
      </c>
      <c r="J75" s="60">
        <f>_xlfn.XLOOKUP($A75,Inputs!$A:$A,Inputs!J:J,,0)</f>
        <v>23.681000000000004</v>
      </c>
      <c r="K75" s="60">
        <f>_xlfn.XLOOKUP($A75,Inputs!$A:$A,Inputs!K:K,,0)</f>
        <v>23.119</v>
      </c>
      <c r="L75" s="60">
        <f>_xlfn.XLOOKUP($A75,Inputs!$A:$A,Inputs!L:L,,0)</f>
        <v>16.200000000000003</v>
      </c>
      <c r="M75" s="60">
        <f>_xlfn.XLOOKUP($A75,Inputs!$A:$A,Inputs!M:M,,0)</f>
        <v>43.1</v>
      </c>
    </row>
    <row r="76" spans="1:235">
      <c r="K76" s="44"/>
      <c r="L76" s="44"/>
      <c r="M76" s="44"/>
    </row>
    <row r="77" spans="1:235" ht="20.25">
      <c r="A77" s="1370" t="s">
        <v>6596</v>
      </c>
      <c r="B77" s="1370"/>
      <c r="C77" s="1370"/>
      <c r="D77" s="1370"/>
      <c r="E77" s="1370"/>
      <c r="F77" s="1370"/>
      <c r="G77" s="1370"/>
      <c r="H77" s="1370"/>
      <c r="I77" s="1370"/>
      <c r="J77" s="1370"/>
      <c r="K77" s="1370"/>
      <c r="L77" s="1370"/>
      <c r="M77" s="1370"/>
    </row>
    <row r="78" spans="1:235">
      <c r="A78" s="115" t="s">
        <v>6597</v>
      </c>
      <c r="B78" s="54" t="e">
        <f>_xlfn.XLOOKUP($A78,Inputs!$A:$A,Inputs!B:B,,0)</f>
        <v>#N/A</v>
      </c>
      <c r="C78" s="54" t="e">
        <f>_xlfn.XLOOKUP($A78,Inputs!$A:$A,Inputs!C:C,,0)</f>
        <v>#N/A</v>
      </c>
      <c r="D78" s="54" t="e">
        <f>_xlfn.XLOOKUP($A78,Inputs!$A:$A,Inputs!D:D,,0)</f>
        <v>#N/A</v>
      </c>
      <c r="E78" s="54" t="e">
        <f>_xlfn.XLOOKUP($A78,Inputs!$A:$A,Inputs!E:E,,0)</f>
        <v>#N/A</v>
      </c>
      <c r="F78" s="54" t="e">
        <f>_xlfn.XLOOKUP($A78,Inputs!$A:$A,Inputs!F:F,,0)</f>
        <v>#N/A</v>
      </c>
      <c r="G78" s="54" t="e">
        <f>_xlfn.XLOOKUP($A78,Inputs!$A:$A,Inputs!G:G,,0)</f>
        <v>#N/A</v>
      </c>
      <c r="H78" s="54" t="e">
        <f>_xlfn.XLOOKUP($A78,Inputs!$A:$A,Inputs!H:H,,0)</f>
        <v>#N/A</v>
      </c>
      <c r="I78" s="54" t="e">
        <f>_xlfn.XLOOKUP($A78,Inputs!$A:$A,Inputs!I:I,,0)</f>
        <v>#N/A</v>
      </c>
      <c r="J78" s="54" t="e">
        <f>_xlfn.XLOOKUP($A78,Inputs!$A:$A,Inputs!J:J,,0)</f>
        <v>#N/A</v>
      </c>
      <c r="K78" s="54" t="e">
        <f>_xlfn.XLOOKUP($A78,Inputs!$A:$A,Inputs!K:K,,0)</f>
        <v>#N/A</v>
      </c>
      <c r="L78" s="54" t="e">
        <f>_xlfn.XLOOKUP($A78,Inputs!$A:$A,Inputs!L:L,,0)</f>
        <v>#N/A</v>
      </c>
      <c r="M78" s="54" t="e">
        <f>_xlfn.XLOOKUP($A78,Inputs!$A:$A,Inputs!M:M,,0)</f>
        <v>#N/A</v>
      </c>
    </row>
    <row r="79" spans="1:235">
      <c r="A79" s="121" t="s">
        <v>6598</v>
      </c>
      <c r="B79" s="54" t="e">
        <f>_xlfn.XLOOKUP($A79,Inputs!$A:$A,Inputs!B:B,,0)</f>
        <v>#N/A</v>
      </c>
      <c r="C79" s="54" t="e">
        <f>_xlfn.XLOOKUP($A79,Inputs!$A:$A,Inputs!C:C,,0)</f>
        <v>#N/A</v>
      </c>
      <c r="D79" s="54" t="e">
        <f>_xlfn.XLOOKUP($A79,Inputs!$A:$A,Inputs!D:D,,0)</f>
        <v>#N/A</v>
      </c>
      <c r="E79" s="54" t="e">
        <f>_xlfn.XLOOKUP($A79,Inputs!$A:$A,Inputs!E:E,,0)</f>
        <v>#N/A</v>
      </c>
      <c r="F79" s="54" t="e">
        <f>_xlfn.XLOOKUP($A79,Inputs!$A:$A,Inputs!F:F,,0)</f>
        <v>#N/A</v>
      </c>
      <c r="G79" s="54" t="e">
        <f>_xlfn.XLOOKUP($A79,Inputs!$A:$A,Inputs!G:G,,0)</f>
        <v>#N/A</v>
      </c>
      <c r="H79" s="54" t="e">
        <f>_xlfn.XLOOKUP($A79,Inputs!$A:$A,Inputs!H:H,,0)</f>
        <v>#N/A</v>
      </c>
      <c r="I79" s="54" t="e">
        <f>_xlfn.XLOOKUP($A79,Inputs!$A:$A,Inputs!I:I,,0)</f>
        <v>#N/A</v>
      </c>
      <c r="J79" s="54" t="e">
        <f>_xlfn.XLOOKUP($A79,Inputs!$A:$A,Inputs!J:J,,0)</f>
        <v>#N/A</v>
      </c>
      <c r="K79" s="54" t="e">
        <f>_xlfn.XLOOKUP($A79,Inputs!$A:$A,Inputs!K:K,,0)</f>
        <v>#N/A</v>
      </c>
      <c r="L79" s="54" t="e">
        <f>_xlfn.XLOOKUP($A79,Inputs!$A:$A,Inputs!L:L,,0)</f>
        <v>#N/A</v>
      </c>
      <c r="M79" s="54" t="e">
        <f>_xlfn.XLOOKUP($A79,Inputs!$A:$A,Inputs!M:M,,0)</f>
        <v>#N/A</v>
      </c>
    </row>
    <row r="80" spans="1:235">
      <c r="A80" s="115" t="s">
        <v>51</v>
      </c>
      <c r="B80" s="54">
        <f>_xlfn.XLOOKUP($A80,Inputs!$A:$A,Inputs!B:B,,0)</f>
        <v>0</v>
      </c>
      <c r="C80" s="54" t="str">
        <f>_xlfn.XLOOKUP($A80,Inputs!$A:$A,Inputs!C:C,,0)</f>
        <v>Yahoo finance</v>
      </c>
      <c r="D80" s="54">
        <f>_xlfn.XLOOKUP($A80,Inputs!$A:$A,Inputs!D:D,,0)</f>
        <v>0</v>
      </c>
      <c r="E80" s="54">
        <f>_xlfn.XLOOKUP($A80,Inputs!$A:$A,Inputs!E:E,,0)</f>
        <v>0</v>
      </c>
      <c r="F80" s="54">
        <f>_xlfn.XLOOKUP($A80,Inputs!$A:$A,Inputs!F:F,,0)</f>
        <v>0</v>
      </c>
      <c r="G80" s="54">
        <f>_xlfn.XLOOKUP($A80,Inputs!$A:$A,Inputs!G:G,,0)</f>
        <v>0</v>
      </c>
      <c r="H80" s="54">
        <f>_xlfn.XLOOKUP($A80,Inputs!$A:$A,Inputs!H:H,,0)</f>
        <v>0</v>
      </c>
      <c r="I80" s="54">
        <f>_xlfn.XLOOKUP($A80,Inputs!$A:$A,Inputs!I:I,,0)</f>
        <v>0</v>
      </c>
      <c r="J80" s="54">
        <f>_xlfn.XLOOKUP($A80,Inputs!$A:$A,Inputs!J:J,,0)</f>
        <v>0</v>
      </c>
      <c r="K80" s="54">
        <f>_xlfn.XLOOKUP($A80,Inputs!$A:$A,Inputs!K:K,,0)</f>
        <v>0</v>
      </c>
      <c r="L80" s="54">
        <f>_xlfn.XLOOKUP($A80,Inputs!$A:$A,Inputs!L:L,,0)</f>
        <v>0</v>
      </c>
      <c r="M80" s="54">
        <f>_xlfn.XLOOKUP($A80,Inputs!$A:$A,Inputs!M:M,,0)</f>
        <v>0</v>
      </c>
    </row>
    <row r="81" spans="1:13">
      <c r="A81" s="121" t="s">
        <v>55</v>
      </c>
      <c r="B81" s="54">
        <f>_xlfn.XLOOKUP($A81,Inputs!$A:$A,Inputs!B:B,,0)</f>
        <v>0.185</v>
      </c>
      <c r="C81" s="54" t="str">
        <f>_xlfn.XLOOKUP($A81,Inputs!$A:$A,Inputs!C:C,,0)</f>
        <v>Yahoo finance</v>
      </c>
      <c r="D81" s="54">
        <f>_xlfn.XLOOKUP($A81,Inputs!$A:$A,Inputs!D:D,,0)</f>
        <v>0</v>
      </c>
      <c r="E81" s="54">
        <f>_xlfn.XLOOKUP($A81,Inputs!$A:$A,Inputs!E:E,,0)</f>
        <v>0</v>
      </c>
      <c r="F81" s="54">
        <f>_xlfn.XLOOKUP($A81,Inputs!$A:$A,Inputs!F:F,,0)</f>
        <v>0</v>
      </c>
      <c r="G81" s="54">
        <f>_xlfn.XLOOKUP($A81,Inputs!$A:$A,Inputs!G:G,,0)</f>
        <v>0</v>
      </c>
      <c r="H81" s="54">
        <f>_xlfn.XLOOKUP($A81,Inputs!$A:$A,Inputs!H:H,,0)</f>
        <v>0</v>
      </c>
      <c r="I81" s="54">
        <f>_xlfn.XLOOKUP($A81,Inputs!$A:$A,Inputs!I:I,,0)</f>
        <v>0</v>
      </c>
      <c r="J81" s="54">
        <f>_xlfn.XLOOKUP($A81,Inputs!$A:$A,Inputs!J:J,,0)</f>
        <v>0</v>
      </c>
      <c r="K81" s="54">
        <f>_xlfn.XLOOKUP($A81,Inputs!$A:$A,Inputs!K:K,,0)</f>
        <v>0</v>
      </c>
      <c r="L81" s="54">
        <f>_xlfn.XLOOKUP($A81,Inputs!$A:$A,Inputs!L:L,,0)</f>
        <v>0</v>
      </c>
      <c r="M81" s="54">
        <f>_xlfn.XLOOKUP($A81,Inputs!$A:$A,Inputs!M:M,,0)</f>
        <v>0</v>
      </c>
    </row>
    <row r="82" spans="1:13">
      <c r="A82" s="115" t="s">
        <v>6599</v>
      </c>
      <c r="B82" s="54">
        <f>_xlfn.XLOOKUP($A82,Inputs!$A:$A,Inputs!B:B,,0)</f>
        <v>89</v>
      </c>
      <c r="C82" s="54" t="str">
        <f>_xlfn.XLOOKUP($A82,Inputs!$A:$A,Inputs!C:C,,0)</f>
        <v>10-K</v>
      </c>
      <c r="D82" s="54">
        <f>_xlfn.XLOOKUP($A82,Inputs!$A:$A,Inputs!D:D,,0)</f>
        <v>0</v>
      </c>
      <c r="E82" s="54">
        <f>_xlfn.XLOOKUP($A82,Inputs!$A:$A,Inputs!E:E,,0)</f>
        <v>0</v>
      </c>
      <c r="F82" s="54">
        <f>_xlfn.XLOOKUP($A82,Inputs!$A:$A,Inputs!F:F,,0)</f>
        <v>0</v>
      </c>
      <c r="G82" s="54">
        <f>_xlfn.XLOOKUP($A82,Inputs!$A:$A,Inputs!G:G,,0)</f>
        <v>0</v>
      </c>
      <c r="H82" s="54">
        <f>_xlfn.XLOOKUP($A82,Inputs!$A:$A,Inputs!H:H,,0)</f>
        <v>0</v>
      </c>
      <c r="I82" s="54">
        <f>_xlfn.XLOOKUP($A82,Inputs!$A:$A,Inputs!I:I,,0)</f>
        <v>0</v>
      </c>
      <c r="J82" s="54">
        <f>_xlfn.XLOOKUP($A82,Inputs!$A:$A,Inputs!J:J,,0)</f>
        <v>0</v>
      </c>
      <c r="K82" s="54">
        <f>_xlfn.XLOOKUP($A82,Inputs!$A:$A,Inputs!K:K,,0)</f>
        <v>0</v>
      </c>
      <c r="L82" s="54">
        <f>_xlfn.XLOOKUP($A82,Inputs!$A:$A,Inputs!L:L,,0)</f>
        <v>0</v>
      </c>
      <c r="M82" s="54">
        <f>_xlfn.XLOOKUP($A82,Inputs!$A:$A,Inputs!M:M,,0)</f>
        <v>0</v>
      </c>
    </row>
    <row r="83" spans="1:13">
      <c r="A83" s="115" t="s">
        <v>6600</v>
      </c>
      <c r="B83" s="54" t="e">
        <f>_xlfn.XLOOKUP($A83,Inputs!$A:$A,Inputs!B:B,,0)</f>
        <v>#N/A</v>
      </c>
      <c r="C83" s="54" t="e">
        <f>_xlfn.XLOOKUP($A83,Inputs!$A:$A,Inputs!C:C,,0)</f>
        <v>#N/A</v>
      </c>
      <c r="D83" s="54" t="e">
        <f>_xlfn.XLOOKUP($A83,Inputs!$A:$A,Inputs!D:D,,0)</f>
        <v>#N/A</v>
      </c>
      <c r="E83" s="54" t="e">
        <f>_xlfn.XLOOKUP($A83,Inputs!$A:$A,Inputs!E:E,,0)</f>
        <v>#N/A</v>
      </c>
      <c r="F83" s="54" t="e">
        <f>_xlfn.XLOOKUP($A83,Inputs!$A:$A,Inputs!F:F,,0)</f>
        <v>#N/A</v>
      </c>
      <c r="G83" s="54" t="e">
        <f>_xlfn.XLOOKUP($A83,Inputs!$A:$A,Inputs!G:G,,0)</f>
        <v>#N/A</v>
      </c>
      <c r="H83" s="54" t="e">
        <f>_xlfn.XLOOKUP($A83,Inputs!$A:$A,Inputs!H:H,,0)</f>
        <v>#N/A</v>
      </c>
      <c r="I83" s="54" t="e">
        <f>_xlfn.XLOOKUP($A83,Inputs!$A:$A,Inputs!I:I,,0)</f>
        <v>#N/A</v>
      </c>
      <c r="J83" s="54" t="e">
        <f>_xlfn.XLOOKUP($A83,Inputs!$A:$A,Inputs!J:J,,0)</f>
        <v>#N/A</v>
      </c>
      <c r="K83" s="54" t="e">
        <f>_xlfn.XLOOKUP($A83,Inputs!$A:$A,Inputs!K:K,,0)</f>
        <v>#N/A</v>
      </c>
      <c r="L83" s="54" t="e">
        <f>_xlfn.XLOOKUP($A83,Inputs!$A:$A,Inputs!L:L,,0)</f>
        <v>#N/A</v>
      </c>
      <c r="M83" s="54" t="e">
        <f>_xlfn.XLOOKUP($A83,Inputs!$A:$A,Inputs!M:M,,0)</f>
        <v>#N/A</v>
      </c>
    </row>
    <row r="84" spans="1:13">
      <c r="A84" s="121" t="s">
        <v>6601</v>
      </c>
      <c r="B84" s="54">
        <f>_xlfn.XLOOKUP($A84,Inputs!$A:$A,Inputs!B:B,,0)</f>
        <v>782840</v>
      </c>
      <c r="C84" s="54" t="str">
        <f>_xlfn.XLOOKUP($A84,Inputs!$A:$A,Inputs!C:C,,0)</f>
        <v>Yahoo Finance</v>
      </c>
      <c r="D84" s="54">
        <f>_xlfn.XLOOKUP($A84,Inputs!$A:$A,Inputs!D:D,,0)</f>
        <v>0</v>
      </c>
      <c r="E84" s="54">
        <f>_xlfn.XLOOKUP($A84,Inputs!$A:$A,Inputs!E:E,,0)</f>
        <v>0</v>
      </c>
      <c r="F84" s="54">
        <f>_xlfn.XLOOKUP($A84,Inputs!$A:$A,Inputs!F:F,,0)</f>
        <v>0</v>
      </c>
      <c r="G84" s="54">
        <f>_xlfn.XLOOKUP($A84,Inputs!$A:$A,Inputs!G:G,,0)</f>
        <v>0</v>
      </c>
      <c r="H84" s="54">
        <f>_xlfn.XLOOKUP($A84,Inputs!$A:$A,Inputs!H:H,,0)</f>
        <v>0</v>
      </c>
      <c r="I84" s="54">
        <f>_xlfn.XLOOKUP($A84,Inputs!$A:$A,Inputs!I:I,,0)</f>
        <v>0</v>
      </c>
      <c r="J84" s="54">
        <f>_xlfn.XLOOKUP($A84,Inputs!$A:$A,Inputs!J:J,,0)</f>
        <v>0</v>
      </c>
      <c r="K84" s="54">
        <f>_xlfn.XLOOKUP($A84,Inputs!$A:$A,Inputs!K:K,,0)</f>
        <v>0</v>
      </c>
      <c r="L84" s="54">
        <f>_xlfn.XLOOKUP($A84,Inputs!$A:$A,Inputs!L:L,,0)</f>
        <v>0</v>
      </c>
      <c r="M84" s="54">
        <f>_xlfn.XLOOKUP($A84,Inputs!$A:$A,Inputs!M:M,,0)</f>
        <v>0</v>
      </c>
    </row>
    <row r="85" spans="1:13">
      <c r="B85" s="46"/>
      <c r="C85" s="46"/>
      <c r="D85" s="46"/>
      <c r="E85" s="46"/>
      <c r="F85" s="46"/>
      <c r="G85" s="46"/>
      <c r="H85" s="46"/>
      <c r="I85" s="46"/>
      <c r="J85" s="46"/>
      <c r="K85" s="46"/>
      <c r="L85" s="46"/>
      <c r="M85" s="46"/>
    </row>
    <row r="86" spans="1:13">
      <c r="B86" s="45">
        <v>2020</v>
      </c>
      <c r="C86" s="45">
        <v>2021</v>
      </c>
      <c r="D86" s="45">
        <v>2022</v>
      </c>
      <c r="G86" s="45"/>
      <c r="H86" s="46"/>
      <c r="I86" s="46"/>
      <c r="J86" s="46"/>
      <c r="K86" s="46"/>
      <c r="L86" s="46"/>
      <c r="M86" s="46"/>
    </row>
    <row r="87" spans="1:13">
      <c r="A87" s="115" t="s">
        <v>6602</v>
      </c>
      <c r="B87" s="58">
        <v>0</v>
      </c>
      <c r="C87" s="58">
        <v>0</v>
      </c>
      <c r="D87" s="59">
        <v>0</v>
      </c>
      <c r="G87" s="46"/>
      <c r="H87" s="46"/>
      <c r="I87" s="46"/>
      <c r="J87" s="46"/>
      <c r="K87" s="46"/>
      <c r="L87" s="46"/>
      <c r="M87" s="46"/>
    </row>
    <row r="88" spans="1:13">
      <c r="A88" s="121" t="s">
        <v>77</v>
      </c>
      <c r="B88" s="58">
        <v>0</v>
      </c>
      <c r="C88" s="58">
        <v>0</v>
      </c>
      <c r="D88" s="59">
        <v>0</v>
      </c>
    </row>
    <row r="90" spans="1:13">
      <c r="A90" s="14" t="s">
        <v>6603</v>
      </c>
      <c r="B90" s="45" t="s">
        <v>6604</v>
      </c>
      <c r="C90" s="45" t="s">
        <v>6605</v>
      </c>
      <c r="D90" s="45" t="s">
        <v>6606</v>
      </c>
      <c r="E90" s="45" t="s">
        <v>6607</v>
      </c>
      <c r="G90" s="45"/>
    </row>
    <row r="91" spans="1:13">
      <c r="B91" s="61" t="e">
        <f>VLOOKUP($A91,Inputs!$A$5:$M$98,MATCH(B$4,Inputs!$B$5:$M$5,0)+1,FALSE)</f>
        <v>#N/A</v>
      </c>
      <c r="C91" s="61" t="e">
        <f>VLOOKUP($A91,Inputs!$A$5:$M$98,MATCH(C$4,Inputs!$B$5:$M$5,0)+1,FALSE)</f>
        <v>#N/A</v>
      </c>
      <c r="D91" s="61" t="e">
        <f>VLOOKUP($A91,Inputs!$A$5:$M$98,MATCH(D$4,Inputs!$B$5:$M$5,0)+1,FALSE)</f>
        <v>#N/A</v>
      </c>
      <c r="E91" s="61" t="e">
        <f>VLOOKUP($A91,Inputs!$A$5:$M$98,MATCH(E$4,Inputs!$B$5:$M$5,0)+1,FALSE)</f>
        <v>#N/A</v>
      </c>
    </row>
    <row r="92" spans="1:13">
      <c r="B92" s="62"/>
      <c r="C92" s="62"/>
      <c r="D92" s="2"/>
      <c r="E92" s="62"/>
      <c r="F92" s="2"/>
    </row>
    <row r="93" spans="1:13">
      <c r="B93" s="62"/>
      <c r="C93" s="62"/>
      <c r="D93" s="2"/>
      <c r="E93" s="62"/>
      <c r="F93" s="2"/>
    </row>
    <row r="94" spans="1:13">
      <c r="B94" s="62"/>
      <c r="C94" s="62"/>
      <c r="D94" s="2"/>
      <c r="E94" s="62"/>
      <c r="F94" s="2"/>
    </row>
    <row r="95" spans="1:13">
      <c r="B95" s="62"/>
      <c r="C95" s="62"/>
      <c r="D95" s="2"/>
      <c r="E95" s="62"/>
      <c r="F95" s="2"/>
    </row>
    <row r="96" spans="1:13">
      <c r="B96" s="62"/>
      <c r="C96" s="62"/>
      <c r="D96" s="2"/>
      <c r="E96" s="62"/>
      <c r="F96" s="2"/>
    </row>
    <row r="97" spans="2:6">
      <c r="B97" s="62"/>
      <c r="C97" s="62"/>
      <c r="D97" s="2"/>
      <c r="E97" s="62"/>
      <c r="F97" s="2"/>
    </row>
    <row r="98" spans="2:6">
      <c r="B98" s="62"/>
      <c r="C98" s="62"/>
      <c r="D98" s="2"/>
      <c r="E98" s="62"/>
      <c r="F98" s="2"/>
    </row>
    <row r="99" spans="2:6">
      <c r="B99" s="62"/>
      <c r="C99" s="62"/>
      <c r="D99" s="2"/>
      <c r="E99" s="62"/>
      <c r="F99" s="2"/>
    </row>
  </sheetData>
  <mergeCells count="7">
    <mergeCell ref="A77:M77"/>
    <mergeCell ref="A1:M1"/>
    <mergeCell ref="A2:M2"/>
    <mergeCell ref="A3:M3"/>
    <mergeCell ref="A38:M38"/>
    <mergeCell ref="A47:M47"/>
    <mergeCell ref="A66:M66"/>
  </mergeCells>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workbookViewId="0">
      <selection activeCell="B9" sqref="B9"/>
    </sheetView>
  </sheetViews>
  <sheetFormatPr defaultColWidth="10.42578125" defaultRowHeight="14.25" customHeight="1"/>
  <cols>
    <col min="1" max="1" width="40.140625" style="22" bestFit="1" customWidth="1"/>
    <col min="2" max="5" width="13.42578125" style="22" customWidth="1"/>
    <col min="6" max="6" width="13.140625" style="22" customWidth="1"/>
    <col min="7" max="9" width="13.85546875" style="22" customWidth="1"/>
    <col min="10" max="10" width="14.140625" style="22" customWidth="1"/>
    <col min="11" max="11" width="15.140625" style="24" customWidth="1"/>
    <col min="12" max="12" width="17" style="24" customWidth="1"/>
    <col min="13" max="13" width="14.140625" style="22" customWidth="1"/>
    <col min="14" max="14" width="21.42578125" style="22" bestFit="1" customWidth="1"/>
    <col min="15" max="15" width="32.140625" style="22" customWidth="1"/>
    <col min="16" max="16" width="11.42578125" style="22" customWidth="1"/>
    <col min="17" max="23" width="0" style="22" hidden="1" customWidth="1"/>
    <col min="24" max="24" width="15.42578125" style="22" bestFit="1" customWidth="1"/>
    <col min="25" max="25" width="17.42578125" style="22" bestFit="1" customWidth="1"/>
    <col min="26" max="33" width="0" style="22" hidden="1" customWidth="1"/>
    <col min="34" max="16384" width="10.42578125" style="22"/>
  </cols>
  <sheetData>
    <row r="1" spans="1:33" ht="15">
      <c r="B1" s="50"/>
      <c r="C1" s="50"/>
      <c r="D1" s="50"/>
      <c r="E1" s="50"/>
      <c r="F1" s="50"/>
      <c r="G1" s="50"/>
      <c r="H1" s="50"/>
      <c r="I1" s="50"/>
      <c r="J1" s="50"/>
      <c r="K1" s="50"/>
      <c r="L1" s="50"/>
      <c r="M1" s="50"/>
      <c r="N1"/>
      <c r="O1"/>
    </row>
    <row r="2" spans="1:33">
      <c r="G2" s="1375" t="s">
        <v>6608</v>
      </c>
      <c r="H2" s="1375"/>
      <c r="I2" s="1375"/>
      <c r="J2" s="1375"/>
      <c r="K2" s="25"/>
      <c r="L2" s="25"/>
      <c r="M2" s="25"/>
      <c r="N2" s="25"/>
      <c r="O2" s="25"/>
    </row>
    <row r="3" spans="1:33">
      <c r="G3" s="22" t="s">
        <v>6609</v>
      </c>
      <c r="H3" s="22" t="e" vm="1">
        <v>#VALUE!</v>
      </c>
      <c r="M3"/>
      <c r="N3"/>
      <c r="O3"/>
    </row>
    <row r="4" spans="1:33">
      <c r="D4" s="1375" t="s">
        <v>6610</v>
      </c>
      <c r="E4" s="1375"/>
      <c r="F4" s="1375"/>
      <c r="G4" s="1375"/>
      <c r="H4" s="1375"/>
      <c r="I4" s="1375"/>
      <c r="J4" s="1375"/>
      <c r="K4" s="1375"/>
      <c r="L4" s="1375"/>
      <c r="M4" s="1375"/>
      <c r="N4"/>
      <c r="O4"/>
    </row>
    <row r="5" spans="1:33" ht="15">
      <c r="A5" s="50" t="s">
        <v>6611</v>
      </c>
      <c r="B5" s="308">
        <v>2023</v>
      </c>
      <c r="C5" s="308">
        <f>B5-1</f>
        <v>2022</v>
      </c>
      <c r="D5" s="308">
        <f t="shared" ref="D5:M5" si="0">C5-1</f>
        <v>2021</v>
      </c>
      <c r="E5" s="308">
        <f t="shared" si="0"/>
        <v>2020</v>
      </c>
      <c r="F5" s="308">
        <f t="shared" si="0"/>
        <v>2019</v>
      </c>
      <c r="G5" s="308">
        <f t="shared" si="0"/>
        <v>2018</v>
      </c>
      <c r="H5" s="308">
        <f t="shared" si="0"/>
        <v>2017</v>
      </c>
      <c r="I5" s="308">
        <f t="shared" si="0"/>
        <v>2016</v>
      </c>
      <c r="J5" s="308">
        <f t="shared" si="0"/>
        <v>2015</v>
      </c>
      <c r="K5" s="308">
        <f t="shared" si="0"/>
        <v>2014</v>
      </c>
      <c r="L5" s="308">
        <f t="shared" si="0"/>
        <v>2013</v>
      </c>
      <c r="M5" s="308">
        <f t="shared" si="0"/>
        <v>2012</v>
      </c>
      <c r="N5"/>
      <c r="O5"/>
      <c r="Q5" s="10" t="s">
        <v>6612</v>
      </c>
      <c r="R5" s="1376" t="s">
        <v>6613</v>
      </c>
      <c r="S5" s="1376"/>
      <c r="T5" s="22" t="s">
        <v>6614</v>
      </c>
      <c r="Z5" s="50">
        <v>2016</v>
      </c>
      <c r="AA5" s="50">
        <v>2015</v>
      </c>
      <c r="AB5" s="50">
        <v>2014</v>
      </c>
      <c r="AC5" s="50">
        <v>2013</v>
      </c>
      <c r="AD5" s="50">
        <v>2012</v>
      </c>
      <c r="AE5" s="50">
        <v>2011</v>
      </c>
      <c r="AF5" s="50">
        <v>2010</v>
      </c>
      <c r="AG5" s="50">
        <v>2009</v>
      </c>
    </row>
    <row r="6" spans="1:33">
      <c r="A6" s="26" t="s">
        <v>126</v>
      </c>
      <c r="B6" s="258">
        <v>2984.2</v>
      </c>
      <c r="C6" s="258">
        <v>2602.9</v>
      </c>
      <c r="D6" s="258">
        <v>2046.1</v>
      </c>
      <c r="E6" s="258">
        <v>1440.4</v>
      </c>
      <c r="F6" s="258">
        <v>1627.7</v>
      </c>
      <c r="G6" s="258">
        <v>1420.1</v>
      </c>
      <c r="H6" s="309">
        <v>1193.7</v>
      </c>
      <c r="I6" s="258">
        <v>1040.3</v>
      </c>
      <c r="J6" s="258">
        <v>880.4</v>
      </c>
      <c r="K6" s="258">
        <v>694.2</v>
      </c>
      <c r="L6" s="258">
        <v>580.577</v>
      </c>
      <c r="M6" s="258">
        <v>489.18</v>
      </c>
      <c r="N6" s="28" t="s">
        <v>6615</v>
      </c>
      <c r="O6" t="s">
        <v>6616</v>
      </c>
      <c r="P6"/>
      <c r="Q6" s="22" t="s">
        <v>6617</v>
      </c>
      <c r="R6" s="22" t="s">
        <v>6617</v>
      </c>
      <c r="X6" s="29"/>
      <c r="Y6" s="29"/>
      <c r="Z6" s="27">
        <v>38537</v>
      </c>
      <c r="AA6" s="27">
        <v>47011</v>
      </c>
      <c r="AB6" s="27">
        <v>55184</v>
      </c>
      <c r="AC6" s="27">
        <v>55656</v>
      </c>
      <c r="AD6" s="27">
        <v>65875</v>
      </c>
      <c r="AE6" s="27">
        <v>60138</v>
      </c>
      <c r="AF6" s="27">
        <v>42588</v>
      </c>
      <c r="AG6" s="27">
        <v>32396</v>
      </c>
    </row>
    <row r="7" spans="1:33">
      <c r="A7" s="26" t="s">
        <v>6567</v>
      </c>
      <c r="B7" s="258">
        <v>2300</v>
      </c>
      <c r="C7" s="258">
        <v>1987.8</v>
      </c>
      <c r="D7" s="258">
        <v>1566.9</v>
      </c>
      <c r="E7" s="258">
        <v>1089.5999999999999</v>
      </c>
      <c r="F7" s="258">
        <v>1265.3</v>
      </c>
      <c r="G7" s="258">
        <v>1099.8</v>
      </c>
      <c r="H7" s="310">
        <v>917.5</v>
      </c>
      <c r="I7" s="311">
        <v>788</v>
      </c>
      <c r="J7" s="258">
        <v>654.9</v>
      </c>
      <c r="K7" s="258">
        <v>501.7</v>
      </c>
      <c r="L7" s="258">
        <v>414.05700000000002</v>
      </c>
      <c r="M7" s="258">
        <f>M6-148.26</f>
        <v>340.92</v>
      </c>
      <c r="N7" s="28" t="s">
        <v>6615</v>
      </c>
      <c r="O7" t="str">
        <f>+A7</f>
        <v>Gross Profit</v>
      </c>
      <c r="P7"/>
      <c r="Q7" s="22" t="s">
        <v>6617</v>
      </c>
      <c r="R7" s="22" t="s">
        <v>6618</v>
      </c>
      <c r="Z7" s="31">
        <f>Z6-28044</f>
        <v>10493</v>
      </c>
      <c r="AA7" s="31">
        <f>AA6-33546</f>
        <v>13465</v>
      </c>
      <c r="AB7" s="31">
        <f>AB6-40718</f>
        <v>14466</v>
      </c>
      <c r="AC7" s="31">
        <f>AC6-40727</f>
        <v>14929</v>
      </c>
      <c r="AD7" s="32">
        <f>+AD6-47055</f>
        <v>18820</v>
      </c>
      <c r="AE7" s="32">
        <f>+AE6-43578</f>
        <v>16560</v>
      </c>
      <c r="AF7" s="32">
        <f>+AF6-30367</f>
        <v>12221</v>
      </c>
      <c r="AG7" s="32">
        <f>+AG6-23886</f>
        <v>8510</v>
      </c>
    </row>
    <row r="8" spans="1:33">
      <c r="A8" s="26" t="s">
        <v>280</v>
      </c>
      <c r="B8" s="258">
        <v>893.83900000000006</v>
      </c>
      <c r="C8" s="258">
        <v>774.5</v>
      </c>
      <c r="D8" s="258">
        <v>579.20000000000005</v>
      </c>
      <c r="E8" s="258">
        <v>368.8</v>
      </c>
      <c r="F8" s="258">
        <v>491.8</v>
      </c>
      <c r="G8" s="258">
        <v>414.1</v>
      </c>
      <c r="H8" s="310">
        <v>340.9</v>
      </c>
      <c r="I8" s="311">
        <v>297.7</v>
      </c>
      <c r="J8" s="311">
        <v>252.7</v>
      </c>
      <c r="K8" s="311">
        <v>201.6</v>
      </c>
      <c r="L8" s="311">
        <v>166.399</v>
      </c>
      <c r="M8" s="311">
        <v>145.76</v>
      </c>
      <c r="N8" s="28" t="s">
        <v>6615</v>
      </c>
      <c r="O8" t="s">
        <v>280</v>
      </c>
      <c r="P8"/>
      <c r="Q8" s="22" t="s">
        <v>6617</v>
      </c>
      <c r="R8" s="33" t="s">
        <v>6619</v>
      </c>
      <c r="Z8" s="31">
        <f>Z7-4383</f>
        <v>6110</v>
      </c>
      <c r="AA8" s="31">
        <f>AA7-4951</f>
        <v>8514</v>
      </c>
      <c r="AB8" s="31">
        <f>AB7-6529</f>
        <v>7937</v>
      </c>
      <c r="AC8" s="31">
        <f>AC7-5547</f>
        <v>9382</v>
      </c>
      <c r="AD8" s="32">
        <f>AD7-5919-2466-797-580-485</f>
        <v>8573</v>
      </c>
      <c r="AE8" s="32">
        <f>+AE7-5203-2297-826-1081</f>
        <v>7153</v>
      </c>
      <c r="AF8" s="32">
        <f>+AF7-4248-1905-914-1191</f>
        <v>3963</v>
      </c>
      <c r="AG8" s="32">
        <f>+AG7-3645-1421-1045-1822</f>
        <v>577</v>
      </c>
    </row>
    <row r="9" spans="1:33">
      <c r="A9" s="26" t="s">
        <v>6571</v>
      </c>
      <c r="B9" s="258">
        <v>0</v>
      </c>
      <c r="C9" s="258">
        <v>-8.9999999999999993E-3</v>
      </c>
      <c r="D9" s="258">
        <v>-0.02</v>
      </c>
      <c r="E9" s="258">
        <v>-1.4999999999999999E-2</v>
      </c>
      <c r="F9" s="258">
        <v>-0.01</v>
      </c>
      <c r="G9" s="258">
        <v>-9.6000000000000002E-2</v>
      </c>
      <c r="H9" s="258">
        <v>-0.08</v>
      </c>
      <c r="I9" s="258">
        <v>-0.27900000000000003</v>
      </c>
      <c r="J9" s="258">
        <v>-4.7E-2</v>
      </c>
      <c r="K9" s="258">
        <v>0.2</v>
      </c>
      <c r="L9" s="258">
        <f>-16.04-2.314</f>
        <v>-18.353999999999999</v>
      </c>
      <c r="M9" s="258">
        <f>-53.567</f>
        <v>-53.567</v>
      </c>
      <c r="N9" s="28" t="s">
        <v>6615</v>
      </c>
      <c r="O9" t="s">
        <v>6620</v>
      </c>
      <c r="P9"/>
      <c r="Q9" s="22" t="s">
        <v>6617</v>
      </c>
      <c r="R9" s="22" t="s">
        <v>6621</v>
      </c>
      <c r="S9" s="22" t="s">
        <v>6622</v>
      </c>
      <c r="T9" s="22" t="s">
        <v>6623</v>
      </c>
      <c r="U9" s="22" t="s">
        <v>6624</v>
      </c>
      <c r="V9" s="22" t="s">
        <v>6625</v>
      </c>
      <c r="Z9" s="31">
        <f>1853+596+595+1904+6+8</f>
        <v>4962</v>
      </c>
      <c r="AA9" s="31">
        <f>2119+587+2023+11</f>
        <v>4740</v>
      </c>
      <c r="AB9" s="31">
        <f>2380+624+1619-8+16</f>
        <v>4631</v>
      </c>
      <c r="AC9" s="31">
        <f>2046+727+981+6+14</f>
        <v>3774</v>
      </c>
      <c r="AD9" s="32">
        <f>-14+41</f>
        <v>27</v>
      </c>
      <c r="AE9" s="31">
        <v>53</v>
      </c>
      <c r="AF9" s="31">
        <f>58+24</f>
        <v>82</v>
      </c>
      <c r="AG9" s="31">
        <f>12-68</f>
        <v>-56</v>
      </c>
    </row>
    <row r="10" spans="1:33">
      <c r="A10" s="26" t="s">
        <v>281</v>
      </c>
      <c r="B10" s="258">
        <v>-23.2</v>
      </c>
      <c r="C10" s="258">
        <v>-27.2</v>
      </c>
      <c r="D10" s="258">
        <v>-21.6</v>
      </c>
      <c r="E10" s="258">
        <v>-23.3</v>
      </c>
      <c r="F10" s="258">
        <v>-21.1</v>
      </c>
      <c r="G10" s="258">
        <v>-1.9</v>
      </c>
      <c r="H10" s="310">
        <v>-5.2</v>
      </c>
      <c r="I10" s="311">
        <v>-4.5999999999999996</v>
      </c>
      <c r="J10" s="258">
        <v>-1.7</v>
      </c>
      <c r="K10" s="258">
        <v>-6.1</v>
      </c>
      <c r="L10" s="258">
        <f>-21.78+0.627</f>
        <v>-21.153000000000002</v>
      </c>
      <c r="M10" s="258">
        <f>-17.65+0.524</f>
        <v>-17.125999999999998</v>
      </c>
      <c r="N10" s="28" t="s">
        <v>6615</v>
      </c>
      <c r="O10" t="s">
        <v>6626</v>
      </c>
      <c r="P10"/>
      <c r="Q10" s="22" t="s">
        <v>6617</v>
      </c>
      <c r="R10" s="22" t="s">
        <v>6627</v>
      </c>
      <c r="Z10" s="31">
        <f>505+518</f>
        <v>1023</v>
      </c>
      <c r="AA10" s="31">
        <f>507-161</f>
        <v>346</v>
      </c>
      <c r="AB10" s="31">
        <f>484-322</f>
        <v>162</v>
      </c>
      <c r="AC10" s="31">
        <f>465+35</f>
        <v>500</v>
      </c>
      <c r="AD10" s="32">
        <f>467-130</f>
        <v>337</v>
      </c>
      <c r="AE10" s="31">
        <f>396+32</f>
        <v>428</v>
      </c>
      <c r="AF10" s="31">
        <f>343-130</f>
        <v>213</v>
      </c>
      <c r="AG10" s="31">
        <f>389-381</f>
        <v>8</v>
      </c>
    </row>
    <row r="11" spans="1:33">
      <c r="A11" s="26" t="s">
        <v>282</v>
      </c>
      <c r="B11" s="258">
        <v>-258.733</v>
      </c>
      <c r="C11" s="258">
        <f>-('Income Statement'!C48-'Income Statement'!C50)</f>
        <v>-140.59999999999991</v>
      </c>
      <c r="D11" s="258">
        <f>-('Income Statement'!D48-'Income Statement'!D50)</f>
        <v>-164</v>
      </c>
      <c r="E11" s="258">
        <f>-('Income Statement'!E48-'Income Statement'!E50)</f>
        <v>-45.100000000000023</v>
      </c>
      <c r="F11" s="258">
        <f>-('Income Statement'!F48-'Income Statement'!F50)</f>
        <v>-112</v>
      </c>
      <c r="G11" s="258">
        <f>-('Income Statement'!G48-'Income Statement'!G50)</f>
        <v>-79.699999999999989</v>
      </c>
      <c r="H11" s="258">
        <f>-('Income Statement'!H48-'Income Statement'!H50)</f>
        <v>-85.899999999999977</v>
      </c>
      <c r="I11" s="258">
        <f>-('Income Statement'!I48-'Income Statement'!I50)</f>
        <v>-96.800000000000011</v>
      </c>
      <c r="J11" s="258">
        <f>-('Income Statement'!J48-'Income Statement'!J50)</f>
        <v>-83.1</v>
      </c>
      <c r="K11" s="258">
        <f>-('Income Statement'!K48-'Income Statement'!K50)</f>
        <v>-65.400000000000006</v>
      </c>
      <c r="L11" s="258">
        <f>-('Income Statement'!L48-'Income Statement'!L50)</f>
        <v>-50.799999999999983</v>
      </c>
      <c r="M11" s="258">
        <v>-43.94</v>
      </c>
      <c r="N11" s="28" t="s">
        <v>6615</v>
      </c>
      <c r="O11" t="s">
        <v>282</v>
      </c>
      <c r="P11"/>
      <c r="Q11" s="22" t="s">
        <v>6617</v>
      </c>
      <c r="R11" s="22" t="s">
        <v>6628</v>
      </c>
      <c r="Z11" s="27">
        <v>192</v>
      </c>
      <c r="AA11" s="27">
        <v>916</v>
      </c>
      <c r="AB11" s="27">
        <v>692</v>
      </c>
      <c r="AC11" s="27">
        <v>1319</v>
      </c>
      <c r="AD11" s="30">
        <f>2528</f>
        <v>2528</v>
      </c>
      <c r="AE11" s="27">
        <f>1720</f>
        <v>1720</v>
      </c>
      <c r="AF11" s="27">
        <f>968</f>
        <v>968</v>
      </c>
      <c r="AG11" s="27">
        <f>-270</f>
        <v>-270</v>
      </c>
    </row>
    <row r="12" spans="1:33">
      <c r="A12" s="26" t="s">
        <v>71</v>
      </c>
      <c r="B12" s="258">
        <v>611.93100000000004</v>
      </c>
      <c r="C12" s="258">
        <v>606.70000000000005</v>
      </c>
      <c r="D12" s="258">
        <v>393.53300000000002</v>
      </c>
      <c r="E12" s="258">
        <v>300.39999999999998</v>
      </c>
      <c r="F12" s="258">
        <v>358.7</v>
      </c>
      <c r="G12" s="258">
        <v>332.4</v>
      </c>
      <c r="H12" s="309">
        <v>249.7</v>
      </c>
      <c r="I12" s="258">
        <v>196</v>
      </c>
      <c r="J12" s="258">
        <v>167.9</v>
      </c>
      <c r="K12" s="258">
        <v>130.30000000000001</v>
      </c>
      <c r="L12" s="258">
        <v>76.069999999999993</v>
      </c>
      <c r="M12" s="258">
        <v>31.12</v>
      </c>
      <c r="N12" s="28" t="s">
        <v>6615</v>
      </c>
      <c r="O12" t="s">
        <v>71</v>
      </c>
      <c r="P12"/>
      <c r="Q12" s="22" t="s">
        <v>6629</v>
      </c>
      <c r="R12" s="22" t="s">
        <v>6630</v>
      </c>
      <c r="Z12" s="27">
        <v>-67</v>
      </c>
      <c r="AA12" s="27">
        <v>2512</v>
      </c>
      <c r="AB12" s="27">
        <v>2452</v>
      </c>
      <c r="AC12" s="27">
        <v>3789</v>
      </c>
      <c r="AD12" s="27">
        <v>5681</v>
      </c>
      <c r="AE12" s="27">
        <f>4928+24</f>
        <v>4952</v>
      </c>
      <c r="AF12" s="27">
        <v>2700</v>
      </c>
      <c r="AG12" s="27">
        <v>895</v>
      </c>
    </row>
    <row r="13" spans="1:33">
      <c r="B13" s="312">
        <f>SUM(B8:B11)</f>
        <v>611.90599999999995</v>
      </c>
      <c r="C13" s="312">
        <f t="shared" ref="C13:M13" si="1">SUM(C8:C11)</f>
        <v>606.69100000000003</v>
      </c>
      <c r="D13" s="312">
        <f t="shared" si="1"/>
        <v>393.58000000000004</v>
      </c>
      <c r="E13" s="312">
        <f t="shared" si="1"/>
        <v>300.38499999999999</v>
      </c>
      <c r="F13" s="312">
        <f t="shared" si="1"/>
        <v>358.69</v>
      </c>
      <c r="G13" s="312">
        <f t="shared" si="1"/>
        <v>332.40400000000005</v>
      </c>
      <c r="H13" s="312">
        <f t="shared" si="1"/>
        <v>249.72000000000003</v>
      </c>
      <c r="I13" s="312">
        <f t="shared" si="1"/>
        <v>196.02099999999996</v>
      </c>
      <c r="J13" s="312">
        <f t="shared" si="1"/>
        <v>167.85300000000001</v>
      </c>
      <c r="K13" s="312">
        <f t="shared" si="1"/>
        <v>130.29999999999998</v>
      </c>
      <c r="L13" s="312">
        <f t="shared" si="1"/>
        <v>76.092000000000027</v>
      </c>
      <c r="M13" s="312">
        <f t="shared" si="1"/>
        <v>31.126999999999981</v>
      </c>
      <c r="N13"/>
      <c r="O13"/>
      <c r="P13"/>
      <c r="Z13" s="24">
        <f t="shared" ref="Z13:AG13" si="2">Z8-Z10-Z9-Z11</f>
        <v>-67</v>
      </c>
      <c r="AA13" s="24">
        <f t="shared" si="2"/>
        <v>2512</v>
      </c>
      <c r="AB13" s="24">
        <f t="shared" si="2"/>
        <v>2452</v>
      </c>
      <c r="AC13" s="24">
        <f t="shared" si="2"/>
        <v>3789</v>
      </c>
      <c r="AD13" s="24">
        <f t="shared" si="2"/>
        <v>5681</v>
      </c>
      <c r="AE13" s="24">
        <f t="shared" si="2"/>
        <v>4952</v>
      </c>
      <c r="AF13" s="24">
        <f t="shared" si="2"/>
        <v>2700</v>
      </c>
      <c r="AG13" s="24">
        <f t="shared" si="2"/>
        <v>895</v>
      </c>
    </row>
    <row r="14" spans="1:33" ht="15">
      <c r="A14" s="50" t="s">
        <v>6631</v>
      </c>
      <c r="B14" s="313">
        <f>B12-B13</f>
        <v>2.5000000000090949E-2</v>
      </c>
      <c r="C14" s="313">
        <f t="shared" ref="C14:M14" si="3">C12-C13</f>
        <v>9.0000000000145519E-3</v>
      </c>
      <c r="D14" s="313">
        <f t="shared" si="3"/>
        <v>-4.7000000000025466E-2</v>
      </c>
      <c r="E14" s="313">
        <f t="shared" si="3"/>
        <v>1.4999999999986358E-2</v>
      </c>
      <c r="F14" s="313">
        <f t="shared" si="3"/>
        <v>9.9999999999909051E-3</v>
      </c>
      <c r="G14" s="313">
        <f t="shared" si="3"/>
        <v>-4.0000000000759428E-3</v>
      </c>
      <c r="H14" s="313">
        <f t="shared" si="3"/>
        <v>-2.0000000000038654E-2</v>
      </c>
      <c r="I14" s="313">
        <f t="shared" si="3"/>
        <v>-2.0999999999958163E-2</v>
      </c>
      <c r="J14" s="313">
        <f t="shared" si="3"/>
        <v>4.6999999999997044E-2</v>
      </c>
      <c r="K14" s="313">
        <f t="shared" si="3"/>
        <v>0</v>
      </c>
      <c r="L14" s="313">
        <f t="shared" si="3"/>
        <v>-2.2000000000033992E-2</v>
      </c>
      <c r="M14" s="313">
        <f t="shared" si="3"/>
        <v>-6.9999999999801332E-3</v>
      </c>
      <c r="N14"/>
      <c r="O14"/>
      <c r="P14"/>
      <c r="Z14" s="35">
        <f t="shared" ref="Z14:AG14" si="4">Z12-Z13</f>
        <v>0</v>
      </c>
      <c r="AA14" s="35">
        <f t="shared" si="4"/>
        <v>0</v>
      </c>
      <c r="AB14" s="35">
        <f t="shared" si="4"/>
        <v>0</v>
      </c>
      <c r="AC14" s="35">
        <f t="shared" si="4"/>
        <v>0</v>
      </c>
      <c r="AD14" s="35">
        <f t="shared" si="4"/>
        <v>0</v>
      </c>
      <c r="AE14" s="35">
        <f t="shared" si="4"/>
        <v>0</v>
      </c>
      <c r="AF14" s="35">
        <f t="shared" si="4"/>
        <v>0</v>
      </c>
      <c r="AG14" s="35">
        <f t="shared" si="4"/>
        <v>0</v>
      </c>
    </row>
    <row r="15" spans="1:33">
      <c r="A15"/>
      <c r="B15" s="315"/>
      <c r="C15" s="315"/>
      <c r="D15" s="315"/>
      <c r="E15" s="315"/>
      <c r="F15" s="315"/>
      <c r="G15" s="315"/>
      <c r="H15" s="315"/>
      <c r="I15" s="315"/>
      <c r="J15" s="315"/>
      <c r="K15" s="315"/>
      <c r="L15" s="315"/>
      <c r="M15" s="315"/>
      <c r="N15"/>
      <c r="O15"/>
      <c r="P15"/>
      <c r="Z15" s="27"/>
      <c r="AA15" s="27"/>
      <c r="AB15" s="27"/>
      <c r="AC15" s="27"/>
      <c r="AD15" s="27"/>
      <c r="AE15" s="27"/>
      <c r="AF15" s="27"/>
      <c r="AG15" s="27"/>
    </row>
    <row r="16" spans="1:33">
      <c r="A16" s="792" t="s">
        <v>6632</v>
      </c>
      <c r="B16" s="258">
        <v>270106.47600000002</v>
      </c>
      <c r="C16" s="258">
        <v>268974.283</v>
      </c>
      <c r="D16" s="258">
        <v>265570.69099999999</v>
      </c>
      <c r="E16" s="258">
        <v>252674.625</v>
      </c>
      <c r="F16" s="258">
        <v>251723.96100000001</v>
      </c>
      <c r="G16" s="258">
        <v>251473.49900000001</v>
      </c>
      <c r="H16" s="309">
        <v>252060.09400000001</v>
      </c>
      <c r="I16" s="258">
        <v>249268.02900000001</v>
      </c>
      <c r="J16" s="258">
        <v>250086.12899999999</v>
      </c>
      <c r="K16" s="258">
        <v>250000</v>
      </c>
      <c r="L16" s="258">
        <v>250000</v>
      </c>
      <c r="M16" s="258">
        <v>250000</v>
      </c>
      <c r="N16" s="28"/>
      <c r="O16" t="s">
        <v>6633</v>
      </c>
      <c r="P16"/>
      <c r="Z16" s="27"/>
      <c r="AA16" s="27"/>
      <c r="AB16" s="27"/>
      <c r="AC16" s="27"/>
      <c r="AD16" s="27"/>
      <c r="AE16" s="27"/>
      <c r="AF16" s="27"/>
      <c r="AG16" s="27"/>
    </row>
    <row r="17" spans="1:152">
      <c r="A17" s="792" t="s">
        <v>6634</v>
      </c>
      <c r="B17" s="258">
        <v>270106.47600000002</v>
      </c>
      <c r="C17" s="258">
        <v>268974.283</v>
      </c>
      <c r="D17" s="258">
        <v>265570.69099999999</v>
      </c>
      <c r="E17" s="258">
        <v>252674.625</v>
      </c>
      <c r="F17" s="258">
        <v>251723.96100000001</v>
      </c>
      <c r="G17" s="258">
        <v>251473.49900000001</v>
      </c>
      <c r="H17" s="309">
        <v>252060.09400000001</v>
      </c>
      <c r="I17" s="258">
        <v>249268.02900000001</v>
      </c>
      <c r="J17" s="258">
        <v>250086.12899999999</v>
      </c>
      <c r="K17" s="258">
        <v>250000</v>
      </c>
      <c r="L17" s="258">
        <v>250000</v>
      </c>
      <c r="M17" s="258">
        <v>250000</v>
      </c>
      <c r="N17" s="28"/>
      <c r="O17"/>
      <c r="P17"/>
      <c r="Z17" s="27"/>
      <c r="AA17" s="27"/>
      <c r="AB17" s="27"/>
      <c r="AC17" s="27"/>
      <c r="AD17" s="27"/>
      <c r="AE17" s="27"/>
      <c r="AF17" s="27"/>
      <c r="AG17" s="27"/>
    </row>
    <row r="18" spans="1:152" customFormat="1" ht="12.75">
      <c r="B18" s="315"/>
      <c r="C18" s="315"/>
      <c r="D18" s="315"/>
      <c r="E18" s="315"/>
      <c r="F18" s="315"/>
      <c r="G18" s="315"/>
      <c r="H18" s="315"/>
      <c r="I18" s="315"/>
      <c r="J18" s="315"/>
      <c r="K18" s="315"/>
      <c r="L18" s="315"/>
      <c r="M18" s="315"/>
    </row>
    <row r="19" spans="1:152">
      <c r="A19" s="26" t="s">
        <v>6635</v>
      </c>
      <c r="B19" s="258">
        <v>-28.773</v>
      </c>
      <c r="C19" s="258">
        <v>-12.384</v>
      </c>
      <c r="D19" s="258">
        <v>19.05</v>
      </c>
      <c r="E19" s="258">
        <v>-15.3</v>
      </c>
      <c r="F19" s="258">
        <v>3.1960000000000002</v>
      </c>
      <c r="G19" s="258">
        <v>4.8600000000000003</v>
      </c>
      <c r="H19" s="309">
        <v>-16.242000000000001</v>
      </c>
      <c r="I19" s="258">
        <v>1.6930000000000001</v>
      </c>
      <c r="J19" s="258">
        <v>4.2190000000000003</v>
      </c>
      <c r="K19" s="258">
        <v>4.298</v>
      </c>
      <c r="L19" s="258">
        <v>-5.8780000000000001</v>
      </c>
      <c r="M19" s="258">
        <v>-3.2919999999999998</v>
      </c>
      <c r="N19" s="28"/>
      <c r="O19"/>
      <c r="P19"/>
      <c r="Z19" s="27"/>
      <c r="AA19" s="27"/>
      <c r="AB19" s="27"/>
      <c r="AC19" s="27"/>
      <c r="AD19" s="27"/>
      <c r="AE19" s="27"/>
      <c r="AF19" s="27"/>
      <c r="AG19" s="27"/>
    </row>
    <row r="20" spans="1:152" ht="15">
      <c r="A20" s="10" t="s">
        <v>6636</v>
      </c>
      <c r="B20" s="258">
        <v>578.255</v>
      </c>
      <c r="C20" s="258">
        <v>604.89599999999996</v>
      </c>
      <c r="D20" s="258">
        <v>400.40699999999998</v>
      </c>
      <c r="E20" s="258">
        <v>287.286</v>
      </c>
      <c r="F20" s="258">
        <v>363.42099999999999</v>
      </c>
      <c r="G20" s="258">
        <v>333.77699999999999</v>
      </c>
      <c r="H20" s="309">
        <v>234.054</v>
      </c>
      <c r="I20" s="258">
        <v>197.86</v>
      </c>
      <c r="J20" s="258">
        <v>173.06399999999999</v>
      </c>
      <c r="K20" s="258">
        <v>133.583</v>
      </c>
      <c r="L20" s="258">
        <v>74.873000000000005</v>
      </c>
      <c r="M20" s="258">
        <v>25.334</v>
      </c>
      <c r="N20" s="28"/>
      <c r="O20"/>
      <c r="P20"/>
      <c r="Z20" s="27"/>
      <c r="AA20" s="27"/>
      <c r="AB20" s="27"/>
      <c r="AC20" s="27"/>
      <c r="AD20" s="27"/>
      <c r="AE20" s="27"/>
      <c r="AF20" s="27"/>
      <c r="AG20" s="27"/>
    </row>
    <row r="21" spans="1:152" customFormat="1" ht="12.75">
      <c r="B21" s="315"/>
      <c r="C21" s="315"/>
      <c r="D21" s="315"/>
      <c r="E21" s="315"/>
      <c r="F21" s="315"/>
      <c r="G21" s="315"/>
      <c r="H21" s="315"/>
      <c r="I21" s="315"/>
      <c r="J21" s="315"/>
      <c r="K21" s="315"/>
      <c r="L21" s="315"/>
      <c r="M21" s="315"/>
    </row>
    <row r="22" spans="1:152">
      <c r="A22" s="22" t="s">
        <v>6572</v>
      </c>
      <c r="B22" s="312">
        <f t="shared" ref="B22:J22" si="5">B23-C23</f>
        <v>123.16500000000008</v>
      </c>
      <c r="C22" s="312">
        <f t="shared" si="5"/>
        <v>138.37599999999998</v>
      </c>
      <c r="D22" s="312">
        <f>D23-E23</f>
        <v>-231.26200000000017</v>
      </c>
      <c r="E22" s="312">
        <f t="shared" si="5"/>
        <v>23.622000000000185</v>
      </c>
      <c r="F22" s="312">
        <f t="shared" si="5"/>
        <v>-135.39999999999998</v>
      </c>
      <c r="G22" s="312">
        <f t="shared" si="5"/>
        <v>-41.627000000000066</v>
      </c>
      <c r="H22" s="312">
        <f t="shared" si="5"/>
        <v>30.938000000000045</v>
      </c>
      <c r="I22" s="312">
        <f>I23-J23</f>
        <v>-5.6220000000000709</v>
      </c>
      <c r="J22" s="312">
        <f t="shared" si="5"/>
        <v>13.291000000000025</v>
      </c>
      <c r="K22" s="312">
        <f>K23-L23</f>
        <v>36.519999999999996</v>
      </c>
      <c r="L22" s="312">
        <f>L23-M23</f>
        <v>-17.299999999999983</v>
      </c>
      <c r="M22" s="312">
        <f>M23-N23</f>
        <v>-36.500000000000014</v>
      </c>
      <c r="N22" s="34" t="s">
        <v>6637</v>
      </c>
      <c r="O22" t="s">
        <v>6638</v>
      </c>
      <c r="P22" t="s">
        <v>6639</v>
      </c>
      <c r="Q22" s="22" t="s">
        <v>6629</v>
      </c>
      <c r="Z22" s="27"/>
      <c r="AA22" s="27"/>
      <c r="AB22" s="27"/>
      <c r="AC22" s="27"/>
      <c r="AD22" s="30"/>
      <c r="AE22" s="27"/>
      <c r="AF22" s="27"/>
      <c r="AG22" s="27"/>
    </row>
    <row r="23" spans="1:152">
      <c r="A23" s="26" t="s">
        <v>6640</v>
      </c>
      <c r="B23" s="258">
        <f t="shared" ref="B23" si="6">B27-B42-B28</f>
        <v>-101.79899999999998</v>
      </c>
      <c r="C23" s="258">
        <f t="shared" ref="C23:M23" si="7">C27-C42-C28</f>
        <v>-224.96400000000006</v>
      </c>
      <c r="D23" s="258">
        <f t="shared" si="7"/>
        <v>-363.34000000000003</v>
      </c>
      <c r="E23" s="258">
        <f t="shared" si="7"/>
        <v>-132.07799999999986</v>
      </c>
      <c r="F23" s="258">
        <f t="shared" si="7"/>
        <v>-155.70000000000005</v>
      </c>
      <c r="G23" s="258">
        <f t="shared" si="7"/>
        <v>-20.300000000000068</v>
      </c>
      <c r="H23" s="258">
        <f t="shared" si="7"/>
        <v>21.326999999999998</v>
      </c>
      <c r="I23" s="258">
        <f t="shared" si="7"/>
        <v>-9.6110000000000468</v>
      </c>
      <c r="J23" s="258">
        <f t="shared" si="7"/>
        <v>-3.9889999999999759</v>
      </c>
      <c r="K23" s="258">
        <f t="shared" si="7"/>
        <v>-17.28</v>
      </c>
      <c r="L23" s="258">
        <f t="shared" si="7"/>
        <v>-53.8</v>
      </c>
      <c r="M23" s="258">
        <f t="shared" si="7"/>
        <v>-36.500000000000014</v>
      </c>
      <c r="N23" s="34"/>
      <c r="O23"/>
      <c r="P23"/>
      <c r="Z23" s="27"/>
      <c r="AA23" s="27"/>
      <c r="AB23" s="27"/>
      <c r="AC23" s="27"/>
      <c r="AD23" s="30"/>
      <c r="AE23" s="27"/>
      <c r="AF23" s="27"/>
      <c r="AG23" s="27"/>
    </row>
    <row r="24" spans="1:152">
      <c r="A24" s="7">
        <v>2625</v>
      </c>
      <c r="B24" s="316">
        <v>2625</v>
      </c>
      <c r="C24" s="316">
        <v>2625</v>
      </c>
      <c r="D24" s="316">
        <v>2625</v>
      </c>
      <c r="E24" s="316">
        <v>2625</v>
      </c>
      <c r="F24" s="316">
        <v>2625</v>
      </c>
      <c r="G24" s="316">
        <v>2625</v>
      </c>
      <c r="H24" s="316">
        <v>2625</v>
      </c>
      <c r="I24" s="316">
        <v>2625</v>
      </c>
      <c r="J24" s="316">
        <v>2625</v>
      </c>
      <c r="K24" s="316">
        <v>2625</v>
      </c>
      <c r="L24" s="316">
        <v>2625</v>
      </c>
      <c r="M24" s="316">
        <v>2625</v>
      </c>
      <c r="N24" s="7">
        <v>2625</v>
      </c>
      <c r="O24"/>
      <c r="P24"/>
      <c r="Q24" s="22" t="s">
        <v>6629</v>
      </c>
      <c r="R24" s="22" t="s">
        <v>6641</v>
      </c>
      <c r="T24" s="22" t="s">
        <v>6642</v>
      </c>
      <c r="Z24" s="27">
        <v>1799</v>
      </c>
      <c r="AA24" s="27">
        <v>1757</v>
      </c>
      <c r="AB24" s="27">
        <v>1620</v>
      </c>
      <c r="AC24" s="27">
        <v>1111</v>
      </c>
      <c r="AD24" s="27">
        <v>1617</v>
      </c>
      <c r="AE24" s="27">
        <v>1159</v>
      </c>
      <c r="AF24" s="27">
        <v>1084</v>
      </c>
      <c r="AG24" s="27">
        <v>1029</v>
      </c>
    </row>
    <row r="25" spans="1:152" ht="15">
      <c r="A25" s="50" t="s">
        <v>457</v>
      </c>
      <c r="B25" s="316">
        <v>2625</v>
      </c>
      <c r="C25" s="316">
        <v>2625</v>
      </c>
      <c r="D25" s="316">
        <v>2625</v>
      </c>
      <c r="E25" s="316">
        <v>2625</v>
      </c>
      <c r="F25" s="316">
        <v>2625</v>
      </c>
      <c r="G25" s="316">
        <v>2625</v>
      </c>
      <c r="H25" s="316">
        <v>2625</v>
      </c>
      <c r="I25" s="316">
        <v>2625</v>
      </c>
      <c r="J25" s="316">
        <v>2625</v>
      </c>
      <c r="K25" s="316">
        <v>2625</v>
      </c>
      <c r="L25" s="316">
        <v>2625</v>
      </c>
      <c r="M25" s="316">
        <v>2625</v>
      </c>
      <c r="N25" s="7">
        <v>2625</v>
      </c>
      <c r="O25"/>
      <c r="P25"/>
      <c r="Q25" s="22" t="s">
        <v>6629</v>
      </c>
      <c r="R25" s="22" t="s">
        <v>6643</v>
      </c>
      <c r="S25" s="22" t="s">
        <v>6644</v>
      </c>
      <c r="T25" s="22" t="s">
        <v>6645</v>
      </c>
      <c r="Z25" s="27">
        <v>23</v>
      </c>
      <c r="AA25" s="27">
        <f>-33+2025</f>
        <v>1992</v>
      </c>
      <c r="AB25" s="27">
        <v>3817</v>
      </c>
      <c r="AC25" s="27">
        <v>1776</v>
      </c>
      <c r="AD25" s="27">
        <v>-244</v>
      </c>
      <c r="AE25" s="27">
        <v>-312</v>
      </c>
      <c r="AF25" s="27">
        <v>-449</v>
      </c>
      <c r="AG25" s="27">
        <v>-110</v>
      </c>
    </row>
    <row r="26" spans="1:152" ht="15">
      <c r="A26" s="102" t="s">
        <v>6646</v>
      </c>
      <c r="B26" s="371"/>
      <c r="C26" s="371"/>
      <c r="D26" s="371"/>
      <c r="E26" s="371"/>
      <c r="F26" s="371"/>
      <c r="G26" s="371"/>
      <c r="H26" s="371"/>
      <c r="I26" s="371"/>
      <c r="J26" s="371"/>
      <c r="K26" s="371"/>
      <c r="L26" s="371"/>
      <c r="M26" s="371"/>
      <c r="N26" s="7">
        <v>1922</v>
      </c>
      <c r="O26" s="7">
        <v>2625</v>
      </c>
      <c r="P26"/>
      <c r="Z26" s="27"/>
      <c r="AA26" s="27"/>
      <c r="AB26" s="27"/>
      <c r="AC26" s="27"/>
      <c r="AD26" s="27"/>
      <c r="AE26" s="27"/>
      <c r="AF26" s="27"/>
      <c r="AG26" s="27"/>
    </row>
    <row r="27" spans="1:152" ht="15">
      <c r="A27" s="10" t="s">
        <v>6647</v>
      </c>
      <c r="B27" s="257">
        <v>1907</v>
      </c>
      <c r="C27" s="257">
        <v>1620.99</v>
      </c>
      <c r="D27" s="257">
        <v>1463.96</v>
      </c>
      <c r="E27" s="257">
        <v>1331.38</v>
      </c>
      <c r="F27" s="257">
        <v>1164.3</v>
      </c>
      <c r="G27" s="257">
        <v>902.4</v>
      </c>
      <c r="H27" s="257">
        <v>712.596</v>
      </c>
      <c r="I27" s="257">
        <v>506.03699999999998</v>
      </c>
      <c r="J27" s="257">
        <v>397.58800000000002</v>
      </c>
      <c r="K27" s="257">
        <v>372.3</v>
      </c>
      <c r="L27" s="257">
        <v>322.3</v>
      </c>
      <c r="M27" s="257">
        <v>329.3</v>
      </c>
      <c r="N27" s="7"/>
      <c r="O27" s="7"/>
      <c r="P27"/>
      <c r="Z27" s="27"/>
      <c r="AA27" s="27"/>
      <c r="AB27" s="27"/>
      <c r="AC27" s="27"/>
      <c r="AD27" s="27"/>
      <c r="AE27" s="27"/>
      <c r="AF27" s="27"/>
      <c r="AG27" s="27"/>
    </row>
    <row r="28" spans="1:152" ht="15">
      <c r="A28" s="99" t="s">
        <v>285</v>
      </c>
      <c r="B28" s="258">
        <v>998.79899999999998</v>
      </c>
      <c r="C28" s="258">
        <v>882.25400000000002</v>
      </c>
      <c r="D28" s="258">
        <v>932.7</v>
      </c>
      <c r="E28" s="258">
        <v>923.5</v>
      </c>
      <c r="F28" s="258">
        <v>759</v>
      </c>
      <c r="G28" s="258">
        <v>546.20000000000005</v>
      </c>
      <c r="H28" s="258">
        <v>394.14400000000001</v>
      </c>
      <c r="I28" s="258">
        <v>243.38900000000001</v>
      </c>
      <c r="J28" s="258">
        <v>148.60300000000001</v>
      </c>
      <c r="K28" s="258">
        <v>123.4</v>
      </c>
      <c r="L28" s="258">
        <v>105.3</v>
      </c>
      <c r="M28" s="258">
        <v>94.7</v>
      </c>
      <c r="N28" s="37" t="s">
        <v>6648</v>
      </c>
      <c r="O28" t="s">
        <v>285</v>
      </c>
      <c r="P28"/>
      <c r="Z28" s="36"/>
      <c r="AA28" s="36"/>
      <c r="AB28" s="36"/>
      <c r="AC28" s="36"/>
      <c r="AD28" s="36"/>
      <c r="AE28" s="35"/>
      <c r="AF28" s="35"/>
      <c r="AG28" s="35"/>
    </row>
    <row r="29" spans="1:152" ht="15">
      <c r="A29" s="100" t="s">
        <v>6581</v>
      </c>
      <c r="B29" s="258">
        <v>325.60000000000002</v>
      </c>
      <c r="C29" s="258">
        <v>296.55</v>
      </c>
      <c r="D29" s="258">
        <v>234.27</v>
      </c>
      <c r="E29" s="258">
        <v>174.14</v>
      </c>
      <c r="F29" s="258">
        <v>167.9</v>
      </c>
      <c r="G29" s="258">
        <v>155.04</v>
      </c>
      <c r="H29" s="258">
        <v>120.708</v>
      </c>
      <c r="I29" s="258">
        <v>104.864</v>
      </c>
      <c r="J29" s="258">
        <v>89.781999999999996</v>
      </c>
      <c r="K29" s="258">
        <v>86.59</v>
      </c>
      <c r="L29" s="258">
        <v>76.5</v>
      </c>
      <c r="M29" s="258">
        <v>108.2</v>
      </c>
      <c r="N29" s="37" t="s">
        <v>6648</v>
      </c>
      <c r="O29" t="s">
        <v>6581</v>
      </c>
      <c r="P29"/>
      <c r="Z29" s="36"/>
      <c r="AA29" s="36"/>
      <c r="AB29" s="36"/>
      <c r="AC29" s="36"/>
      <c r="AD29" s="36"/>
      <c r="AE29" s="35"/>
      <c r="AF29" s="35"/>
      <c r="AG29" s="35"/>
      <c r="AK29" s="29"/>
    </row>
    <row r="30" spans="1:152">
      <c r="A30" s="99" t="s">
        <v>287</v>
      </c>
      <c r="B30" s="258">
        <v>453.178</v>
      </c>
      <c r="C30" s="258">
        <v>377.55</v>
      </c>
      <c r="D30" s="258">
        <v>263.5</v>
      </c>
      <c r="E30" s="258">
        <v>202.77</v>
      </c>
      <c r="F30" s="258">
        <v>208.9</v>
      </c>
      <c r="G30" s="258">
        <v>173</v>
      </c>
      <c r="H30" s="258">
        <v>136.15899999999999</v>
      </c>
      <c r="I30" s="258">
        <v>135.84899999999999</v>
      </c>
      <c r="J30" s="258">
        <v>134.06299999999999</v>
      </c>
      <c r="K30" s="258">
        <v>122.8</v>
      </c>
      <c r="L30" s="258">
        <v>77.2</v>
      </c>
      <c r="M30" s="258">
        <v>96.7</v>
      </c>
      <c r="N30" s="37" t="s">
        <v>6648</v>
      </c>
      <c r="O30" t="s">
        <v>287</v>
      </c>
      <c r="P30"/>
      <c r="Q30" s="22" t="s">
        <v>6649</v>
      </c>
      <c r="R30" s="22" t="s">
        <v>6650</v>
      </c>
      <c r="Z30" s="27">
        <v>7168</v>
      </c>
      <c r="AA30" s="27">
        <v>6460</v>
      </c>
      <c r="AB30" s="27">
        <v>7341</v>
      </c>
      <c r="AC30" s="27">
        <v>6081</v>
      </c>
      <c r="AD30" s="27">
        <v>5490</v>
      </c>
      <c r="AE30" s="27">
        <v>3057</v>
      </c>
      <c r="AF30" s="27">
        <v>3592</v>
      </c>
      <c r="AG30" s="27">
        <v>4867</v>
      </c>
    </row>
    <row r="31" spans="1:152" s="23" customFormat="1">
      <c r="A31" s="99" t="s">
        <v>6651</v>
      </c>
      <c r="B31" s="258">
        <f t="shared" ref="B31" si="8">B27-SUM(B28:B30)</f>
        <v>129.42300000000023</v>
      </c>
      <c r="C31" s="258">
        <f t="shared" ref="C31:M31" si="9">C27-SUM(C28:C30)</f>
        <v>64.635999999999967</v>
      </c>
      <c r="D31" s="258">
        <f t="shared" si="9"/>
        <v>33.490000000000009</v>
      </c>
      <c r="E31" s="258">
        <f t="shared" si="9"/>
        <v>30.970000000000255</v>
      </c>
      <c r="F31" s="258">
        <f t="shared" si="9"/>
        <v>28.5</v>
      </c>
      <c r="G31" s="258">
        <f t="shared" si="9"/>
        <v>28.159999999999968</v>
      </c>
      <c r="H31" s="258">
        <f t="shared" si="9"/>
        <v>61.585000000000036</v>
      </c>
      <c r="I31" s="258">
        <f t="shared" si="9"/>
        <v>21.934999999999945</v>
      </c>
      <c r="J31" s="258">
        <f t="shared" si="9"/>
        <v>25.140000000000043</v>
      </c>
      <c r="K31" s="258">
        <f t="shared" si="9"/>
        <v>39.509999999999991</v>
      </c>
      <c r="L31" s="258">
        <f t="shared" si="9"/>
        <v>63.300000000000011</v>
      </c>
      <c r="M31" s="258">
        <f t="shared" si="9"/>
        <v>29.699999999999989</v>
      </c>
      <c r="N31" s="37" t="s">
        <v>6648</v>
      </c>
      <c r="O31" t="s">
        <v>287</v>
      </c>
      <c r="P31"/>
      <c r="Q31" s="22" t="s">
        <v>6649</v>
      </c>
      <c r="R31" s="22" t="s">
        <v>6652</v>
      </c>
      <c r="S31" s="22" t="s">
        <v>6653</v>
      </c>
      <c r="T31" s="22" t="s">
        <v>6654</v>
      </c>
      <c r="U31" s="22"/>
      <c r="V31" s="22"/>
      <c r="W31" s="22"/>
      <c r="X31" s="22"/>
      <c r="Y31" s="22"/>
      <c r="Z31" s="31">
        <f>5981+8522+1029+13556</f>
        <v>29088</v>
      </c>
      <c r="AA31" s="31">
        <f>6695+8991+1170+13651</f>
        <v>30507</v>
      </c>
      <c r="AB31" s="31">
        <f>7737+9027+1364+14644</f>
        <v>32772</v>
      </c>
      <c r="AC31" s="31">
        <v>33499</v>
      </c>
      <c r="AD31" s="31">
        <v>33911</v>
      </c>
      <c r="AE31" s="31">
        <v>31031</v>
      </c>
      <c r="AF31" s="31">
        <v>28849</v>
      </c>
      <c r="AG31" s="31">
        <v>27162</v>
      </c>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s="23" customFormat="1" ht="15">
      <c r="A32" s="10" t="s">
        <v>6655</v>
      </c>
      <c r="B32" s="257">
        <f t="shared" ref="B32:M32" si="10">B38-B27</f>
        <v>3085</v>
      </c>
      <c r="C32" s="257">
        <f t="shared" si="10"/>
        <v>3018.01</v>
      </c>
      <c r="D32" s="257">
        <f t="shared" si="10"/>
        <v>2803.9399999999996</v>
      </c>
      <c r="E32" s="257">
        <f t="shared" si="10"/>
        <v>1425.232</v>
      </c>
      <c r="F32" s="257">
        <f t="shared" si="10"/>
        <v>1401.1000000000001</v>
      </c>
      <c r="G32" s="257">
        <f t="shared" si="10"/>
        <v>723.19999999999993</v>
      </c>
      <c r="H32" s="257">
        <f t="shared" si="10"/>
        <v>667.45100000000002</v>
      </c>
      <c r="I32" s="257">
        <f t="shared" si="10"/>
        <v>645.76199999999994</v>
      </c>
      <c r="J32" s="257">
        <f t="shared" si="10"/>
        <v>614.47599999999989</v>
      </c>
      <c r="K32" s="257">
        <f t="shared" si="10"/>
        <v>554.79999999999995</v>
      </c>
      <c r="L32" s="257">
        <f t="shared" si="10"/>
        <v>503.3</v>
      </c>
      <c r="M32" s="257">
        <f t="shared" si="10"/>
        <v>507.99999999999994</v>
      </c>
      <c r="N32" s="37"/>
      <c r="O32"/>
      <c r="P32"/>
      <c r="Q32" s="22"/>
      <c r="R32" s="22"/>
      <c r="S32" s="22"/>
      <c r="T32" s="22"/>
      <c r="U32" s="22"/>
      <c r="V32" s="22"/>
      <c r="W32" s="22"/>
      <c r="X32" s="22"/>
      <c r="Y32" s="22"/>
      <c r="Z32" s="31"/>
      <c r="AA32" s="31"/>
      <c r="AB32" s="31"/>
      <c r="AC32" s="31"/>
      <c r="AD32" s="31"/>
      <c r="AE32" s="31"/>
      <c r="AF32" s="31"/>
      <c r="AG32" s="31"/>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row>
    <row r="33" spans="1:68">
      <c r="A33" s="101" t="s">
        <v>6582</v>
      </c>
      <c r="B33" s="258">
        <v>1082.48</v>
      </c>
      <c r="C33" s="258">
        <v>1074.5</v>
      </c>
      <c r="D33" s="258">
        <v>913.3</v>
      </c>
      <c r="E33" s="258">
        <v>802.98699999999997</v>
      </c>
      <c r="F33" s="258">
        <v>806.5</v>
      </c>
      <c r="G33" s="258">
        <v>176.9</v>
      </c>
      <c r="H33" s="258">
        <v>138.12700000000001</v>
      </c>
      <c r="I33" s="258">
        <v>123.925</v>
      </c>
      <c r="J33" s="258">
        <v>102.23399999999999</v>
      </c>
      <c r="K33" s="258">
        <v>77.25</v>
      </c>
      <c r="L33" s="258">
        <v>58.2</v>
      </c>
      <c r="M33" s="258">
        <v>51.8</v>
      </c>
      <c r="N33" s="37"/>
      <c r="O33"/>
      <c r="P33"/>
      <c r="Q33" s="22" t="s">
        <v>6649</v>
      </c>
      <c r="R33" s="22" t="s">
        <v>6656</v>
      </c>
      <c r="Z33" s="27">
        <v>8614</v>
      </c>
      <c r="AA33" s="27">
        <v>9700</v>
      </c>
      <c r="AB33" s="27">
        <v>12205</v>
      </c>
      <c r="AC33" s="27">
        <v>12625</v>
      </c>
      <c r="AD33" s="27">
        <v>15547</v>
      </c>
      <c r="AE33" s="27">
        <v>14544</v>
      </c>
      <c r="AF33" s="27">
        <v>9587</v>
      </c>
      <c r="AG33" s="27">
        <v>6360</v>
      </c>
    </row>
    <row r="34" spans="1:68">
      <c r="A34" s="101" t="s">
        <v>6657</v>
      </c>
      <c r="B34" s="258">
        <v>737.50099999999998</v>
      </c>
      <c r="C34" s="258">
        <v>773.51700000000005</v>
      </c>
      <c r="D34" s="258">
        <v>656.19600000000003</v>
      </c>
      <c r="E34" s="258">
        <v>590.798</v>
      </c>
      <c r="F34" s="258">
        <v>593.6</v>
      </c>
      <c r="G34" s="258">
        <v>0</v>
      </c>
      <c r="H34" s="258">
        <v>0</v>
      </c>
      <c r="I34" s="258">
        <v>0</v>
      </c>
      <c r="J34" s="258">
        <v>0</v>
      </c>
      <c r="K34" s="258">
        <v>0</v>
      </c>
      <c r="L34" s="258">
        <v>0</v>
      </c>
      <c r="M34" s="258">
        <v>0</v>
      </c>
      <c r="N34" s="37"/>
      <c r="O34"/>
      <c r="P34"/>
      <c r="Z34" s="27"/>
      <c r="AA34" s="27"/>
      <c r="AB34" s="27"/>
      <c r="AC34" s="27"/>
      <c r="AD34" s="27"/>
      <c r="AE34" s="27"/>
      <c r="AF34" s="27"/>
      <c r="AG34" s="27"/>
    </row>
    <row r="35" spans="1:68">
      <c r="A35" s="101" t="s">
        <v>6658</v>
      </c>
      <c r="B35" s="258">
        <v>0</v>
      </c>
      <c r="C35" s="258">
        <v>0.90800000000000003</v>
      </c>
      <c r="D35" s="258">
        <v>0.82599999999999996</v>
      </c>
      <c r="E35" s="258">
        <v>0</v>
      </c>
      <c r="F35" s="258">
        <v>0</v>
      </c>
      <c r="G35" s="258">
        <v>0</v>
      </c>
      <c r="H35" s="258">
        <v>0</v>
      </c>
      <c r="I35" s="258">
        <v>0</v>
      </c>
      <c r="J35" s="258">
        <v>0</v>
      </c>
      <c r="K35" s="258">
        <v>0</v>
      </c>
      <c r="L35" s="258">
        <v>0</v>
      </c>
      <c r="M35" s="258">
        <v>0</v>
      </c>
      <c r="N35" s="37"/>
      <c r="O35"/>
      <c r="P35"/>
      <c r="Z35" s="27"/>
      <c r="AA35" s="27"/>
      <c r="AB35" s="27"/>
      <c r="AC35" s="27"/>
      <c r="AD35" s="27"/>
      <c r="AE35" s="27"/>
      <c r="AF35" s="27"/>
      <c r="AG35" s="27"/>
    </row>
    <row r="36" spans="1:68">
      <c r="A36" s="101" t="s">
        <v>6659</v>
      </c>
      <c r="B36" s="258">
        <f t="shared" ref="B36" si="11">B32-SUM(B33:B35)</f>
        <v>1265.019</v>
      </c>
      <c r="C36" s="258">
        <f t="shared" ref="C36" si="12">C32-SUM(C33:C35)</f>
        <v>1169.0850000000003</v>
      </c>
      <c r="D36" s="258">
        <f t="shared" ref="D36" si="13">D32-SUM(D33:D35)</f>
        <v>1233.6179999999995</v>
      </c>
      <c r="E36" s="258">
        <f>E32-SUM(E33:E35)</f>
        <v>31.447000000000116</v>
      </c>
      <c r="F36" s="258">
        <f t="shared" ref="F36" si="14">F32-SUM(F33:F35)</f>
        <v>1.0000000000002274</v>
      </c>
      <c r="G36" s="258">
        <f t="shared" ref="G36" si="15">G32-SUM(G33:G35)</f>
        <v>546.29999999999995</v>
      </c>
      <c r="H36" s="258">
        <f t="shared" ref="H36" si="16">H32-SUM(H33:H35)</f>
        <v>529.32400000000007</v>
      </c>
      <c r="I36" s="258">
        <f t="shared" ref="I36" si="17">I32-SUM(I33:I35)</f>
        <v>521.83699999999999</v>
      </c>
      <c r="J36" s="258">
        <f t="shared" ref="J36" si="18">J32-SUM(J33:J35)</f>
        <v>512.24199999999985</v>
      </c>
      <c r="K36" s="258">
        <f t="shared" ref="K36" si="19">K32-SUM(K33:K35)</f>
        <v>477.54999999999995</v>
      </c>
      <c r="L36" s="258">
        <f t="shared" ref="L36" si="20">L32-SUM(L33:L35)</f>
        <v>445.1</v>
      </c>
      <c r="M36" s="258">
        <f t="shared" ref="M36" si="21">M32-SUM(M33:M35)</f>
        <v>456.19999999999993</v>
      </c>
      <c r="N36" s="37" t="s">
        <v>6648</v>
      </c>
      <c r="O36" t="s">
        <v>6582</v>
      </c>
      <c r="P36"/>
      <c r="Z36" s="27"/>
      <c r="AA36" s="27"/>
      <c r="AB36" s="27"/>
      <c r="AC36" s="27"/>
      <c r="AD36" s="27"/>
      <c r="AE36" s="27"/>
      <c r="AF36" s="27"/>
      <c r="AG36" s="27"/>
    </row>
    <row r="37" spans="1:68">
      <c r="A37" s="22" t="s">
        <v>6583</v>
      </c>
      <c r="B37" s="312">
        <f>B31+B36</f>
        <v>1394.4420000000002</v>
      </c>
      <c r="C37" s="312">
        <f>C31+C36</f>
        <v>1233.7210000000002</v>
      </c>
      <c r="D37" s="312">
        <f t="shared" ref="D37:M37" si="22">D31+D36</f>
        <v>1267.1079999999995</v>
      </c>
      <c r="E37" s="312">
        <f t="shared" si="22"/>
        <v>62.417000000000371</v>
      </c>
      <c r="F37" s="312">
        <f t="shared" si="22"/>
        <v>29.500000000000227</v>
      </c>
      <c r="G37" s="312">
        <f t="shared" si="22"/>
        <v>574.45999999999992</v>
      </c>
      <c r="H37" s="312">
        <f t="shared" si="22"/>
        <v>590.90900000000011</v>
      </c>
      <c r="I37" s="312">
        <f t="shared" si="22"/>
        <v>543.77199999999993</v>
      </c>
      <c r="J37" s="312">
        <f t="shared" si="22"/>
        <v>537.38199999999983</v>
      </c>
      <c r="K37" s="312">
        <f t="shared" si="22"/>
        <v>517.05999999999995</v>
      </c>
      <c r="L37" s="312">
        <f t="shared" si="22"/>
        <v>508.40000000000003</v>
      </c>
      <c r="M37" s="312">
        <f t="shared" si="22"/>
        <v>485.89999999999992</v>
      </c>
      <c r="N37" s="37" t="s">
        <v>6648</v>
      </c>
      <c r="O37"/>
      <c r="P37"/>
      <c r="Z37" s="27"/>
      <c r="AA37" s="27"/>
      <c r="AB37" s="27"/>
      <c r="AC37" s="27"/>
      <c r="AD37" s="27"/>
      <c r="AE37" s="27"/>
      <c r="AF37" s="27"/>
      <c r="AG37" s="27"/>
    </row>
    <row r="38" spans="1:68" ht="15">
      <c r="A38" s="10" t="s">
        <v>47</v>
      </c>
      <c r="B38" s="257">
        <v>4992</v>
      </c>
      <c r="C38" s="257">
        <v>4639</v>
      </c>
      <c r="D38" s="257">
        <v>4267.8999999999996</v>
      </c>
      <c r="E38" s="257">
        <v>2756.6120000000001</v>
      </c>
      <c r="F38" s="257">
        <v>2565.4</v>
      </c>
      <c r="G38" s="257">
        <v>1625.6</v>
      </c>
      <c r="H38" s="257">
        <v>1380.047</v>
      </c>
      <c r="I38" s="257">
        <v>1151.799</v>
      </c>
      <c r="J38" s="257">
        <v>1012.064</v>
      </c>
      <c r="K38" s="257">
        <v>927.1</v>
      </c>
      <c r="L38" s="257">
        <v>825.6</v>
      </c>
      <c r="M38" s="257">
        <v>837.3</v>
      </c>
      <c r="N38" s="37" t="s">
        <v>6648</v>
      </c>
      <c r="O38" t="s">
        <v>47</v>
      </c>
      <c r="P38"/>
      <c r="Q38" s="22" t="s">
        <v>6649</v>
      </c>
      <c r="R38" s="22" t="s">
        <v>6660</v>
      </c>
      <c r="Z38" s="27">
        <v>15322</v>
      </c>
      <c r="AA38" s="27">
        <v>16090</v>
      </c>
      <c r="AB38" s="27">
        <f>16577</f>
        <v>16577</v>
      </c>
      <c r="AC38" s="27">
        <v>17075</v>
      </c>
      <c r="AD38" s="27">
        <v>16461</v>
      </c>
      <c r="AE38" s="27">
        <v>14395</v>
      </c>
      <c r="AF38" s="27">
        <v>12539</v>
      </c>
      <c r="AG38" s="27">
        <v>12386</v>
      </c>
    </row>
    <row r="39" spans="1:68">
      <c r="B39" s="312"/>
      <c r="C39" s="312"/>
      <c r="D39" s="312"/>
      <c r="E39" s="312"/>
      <c r="F39" s="312"/>
      <c r="G39" s="312"/>
      <c r="H39" s="312"/>
      <c r="I39" s="312"/>
      <c r="J39" s="312"/>
      <c r="K39" s="312"/>
      <c r="L39" s="312"/>
      <c r="M39" s="312"/>
      <c r="N39" s="37" t="s">
        <v>6648</v>
      </c>
      <c r="O39"/>
      <c r="P39"/>
      <c r="Z39" s="24">
        <f t="shared" ref="Z39:AG39" si="23">Z40-SUM(Z30:Z38)</f>
        <v>14512</v>
      </c>
      <c r="AA39" s="24">
        <f t="shared" si="23"/>
        <v>15585</v>
      </c>
      <c r="AB39" s="24">
        <f t="shared" si="23"/>
        <v>15786</v>
      </c>
      <c r="AC39" s="24">
        <f t="shared" si="23"/>
        <v>15616</v>
      </c>
      <c r="AD39" s="24">
        <f t="shared" si="23"/>
        <v>17947</v>
      </c>
      <c r="AE39" s="24">
        <f t="shared" si="23"/>
        <v>18419</v>
      </c>
      <c r="AF39" s="24">
        <f t="shared" si="23"/>
        <v>9453</v>
      </c>
      <c r="AG39" s="24">
        <f t="shared" si="23"/>
        <v>9263</v>
      </c>
      <c r="AO39" s="29"/>
      <c r="AP39" s="29"/>
    </row>
    <row r="40" spans="1:68" ht="15">
      <c r="B40" s="312"/>
      <c r="C40" s="312"/>
      <c r="D40" s="312"/>
      <c r="E40" s="312"/>
      <c r="F40" s="312"/>
      <c r="G40" s="312"/>
      <c r="H40" s="312"/>
      <c r="I40" s="312"/>
      <c r="J40" s="312"/>
      <c r="K40" s="312"/>
      <c r="L40" s="312"/>
      <c r="M40" s="312"/>
      <c r="N40" s="37" t="s">
        <v>6648</v>
      </c>
      <c r="O40"/>
      <c r="P40"/>
      <c r="Q40" s="22" t="s">
        <v>6649</v>
      </c>
      <c r="R40" s="22" t="s">
        <v>6661</v>
      </c>
      <c r="Z40" s="38">
        <v>74704</v>
      </c>
      <c r="AA40" s="38">
        <v>78342</v>
      </c>
      <c r="AB40" s="38">
        <v>84681</v>
      </c>
      <c r="AC40" s="38">
        <v>84896</v>
      </c>
      <c r="AD40" s="38">
        <v>89356</v>
      </c>
      <c r="AE40" s="38">
        <v>81446</v>
      </c>
      <c r="AF40" s="38">
        <v>64020</v>
      </c>
      <c r="AG40" s="38">
        <v>60038</v>
      </c>
    </row>
    <row r="41" spans="1:68" ht="15">
      <c r="A41" s="102" t="s">
        <v>6662</v>
      </c>
      <c r="B41" s="257"/>
      <c r="C41" s="257"/>
      <c r="D41" s="257"/>
      <c r="E41" s="257"/>
      <c r="F41" s="257"/>
      <c r="G41" s="257"/>
      <c r="H41" s="257"/>
      <c r="I41" s="257"/>
      <c r="J41" s="257"/>
      <c r="K41" s="257"/>
      <c r="L41" s="257"/>
      <c r="M41" s="257"/>
      <c r="N41" s="37" t="s">
        <v>6648</v>
      </c>
      <c r="O41"/>
      <c r="P41"/>
      <c r="Z41" s="29"/>
      <c r="AA41" s="29"/>
      <c r="AB41" s="29"/>
      <c r="AC41" s="29"/>
      <c r="AD41" s="29"/>
      <c r="AE41" s="29"/>
      <c r="AF41" s="29"/>
      <c r="AG41" s="29"/>
    </row>
    <row r="42" spans="1:68" ht="15">
      <c r="A42" s="10" t="s">
        <v>291</v>
      </c>
      <c r="B42" s="257">
        <v>1010</v>
      </c>
      <c r="C42" s="257">
        <v>963.7</v>
      </c>
      <c r="D42" s="257">
        <v>894.6</v>
      </c>
      <c r="E42" s="257">
        <v>539.95799999999997</v>
      </c>
      <c r="F42" s="257">
        <v>561</v>
      </c>
      <c r="G42" s="257">
        <v>376.5</v>
      </c>
      <c r="H42" s="257">
        <v>297.125</v>
      </c>
      <c r="I42" s="257">
        <v>272.25900000000001</v>
      </c>
      <c r="J42" s="257">
        <v>252.97399999999999</v>
      </c>
      <c r="K42" s="257">
        <v>266.18</v>
      </c>
      <c r="L42" s="257">
        <v>270.8</v>
      </c>
      <c r="M42" s="257">
        <v>271.10000000000002</v>
      </c>
      <c r="N42" s="37" t="s">
        <v>6648</v>
      </c>
      <c r="O42" t="s">
        <v>291</v>
      </c>
      <c r="P42"/>
      <c r="Z42" s="29"/>
      <c r="AA42" s="29"/>
      <c r="AB42" s="29"/>
      <c r="AC42" s="29"/>
      <c r="AD42" s="29"/>
      <c r="AE42" s="29"/>
      <c r="AF42" s="29"/>
      <c r="AG42" s="29"/>
    </row>
    <row r="43" spans="1:68" ht="15">
      <c r="A43" s="99" t="s">
        <v>6663</v>
      </c>
      <c r="B43" s="258">
        <v>538.58600000000001</v>
      </c>
      <c r="C43" s="258">
        <v>482.43</v>
      </c>
      <c r="D43" s="258">
        <v>348.9</v>
      </c>
      <c r="E43" s="258">
        <v>211.9</v>
      </c>
      <c r="F43" s="258">
        <v>248.6</v>
      </c>
      <c r="G43" s="258">
        <v>224.98</v>
      </c>
      <c r="H43" s="258">
        <v>167.21199999999999</v>
      </c>
      <c r="I43" s="258">
        <v>132.58600000000001</v>
      </c>
      <c r="J43" s="258">
        <v>112.96899999999999</v>
      </c>
      <c r="K43" s="258">
        <v>112.3</v>
      </c>
      <c r="L43" s="258">
        <v>107.1</v>
      </c>
      <c r="M43" s="258">
        <v>125.1</v>
      </c>
      <c r="N43" s="37"/>
      <c r="O43"/>
      <c r="P43"/>
      <c r="Z43" s="36"/>
      <c r="AA43" s="36"/>
      <c r="AB43" s="36"/>
      <c r="AC43" s="36"/>
      <c r="AD43" s="36"/>
      <c r="AE43" s="35"/>
      <c r="AF43" s="35"/>
      <c r="AG43" s="35"/>
      <c r="AM43" s="29"/>
      <c r="AN43" s="29"/>
      <c r="AO43" s="29"/>
      <c r="AP43" s="29"/>
    </row>
    <row r="44" spans="1:68" s="10" customFormat="1" ht="15">
      <c r="A44" s="26" t="s">
        <v>6585</v>
      </c>
      <c r="B44" s="258">
        <f>15.23+1.514</f>
        <v>16.744</v>
      </c>
      <c r="C44" s="258">
        <f>7.429+23.447</f>
        <v>30.875999999999998</v>
      </c>
      <c r="D44" s="258">
        <f>11.8+151.79</f>
        <v>163.59</v>
      </c>
      <c r="E44" s="258">
        <f>47.617+0.015</f>
        <v>47.631999999999998</v>
      </c>
      <c r="F44" s="258">
        <f>3+21.3</f>
        <v>24.3</v>
      </c>
      <c r="G44" s="258">
        <v>15.65</v>
      </c>
      <c r="H44" s="258">
        <v>25.202000000000002</v>
      </c>
      <c r="I44" s="258">
        <v>64.777000000000001</v>
      </c>
      <c r="J44" s="258">
        <v>71.182000000000002</v>
      </c>
      <c r="K44" s="258">
        <v>80.3</v>
      </c>
      <c r="L44" s="258">
        <v>116.2</v>
      </c>
      <c r="M44" s="258">
        <v>96.6</v>
      </c>
      <c r="N44" s="37" t="s">
        <v>6648</v>
      </c>
      <c r="O44" t="s">
        <v>6664</v>
      </c>
      <c r="P44"/>
      <c r="Q44" s="22" t="s">
        <v>6649</v>
      </c>
      <c r="R44" s="10" t="s">
        <v>6665</v>
      </c>
      <c r="Z44" s="38">
        <v>26132</v>
      </c>
      <c r="AA44" s="38">
        <v>26242</v>
      </c>
      <c r="AB44" s="38">
        <v>27877</v>
      </c>
      <c r="AC44" s="38">
        <v>27297</v>
      </c>
      <c r="AD44" s="38">
        <v>29415</v>
      </c>
      <c r="AE44" s="38">
        <f>93+3895+8161+3386+2410+2691+298+1967+558+5102</f>
        <v>28561</v>
      </c>
      <c r="AF44" s="38">
        <f>204+3852+5856+2880+1670+1831+281+1521+495+3430</f>
        <v>22020</v>
      </c>
      <c r="AG44" s="38">
        <f>433+3650+2993+3351+797+1217+262+888+302+5399</f>
        <v>19292</v>
      </c>
    </row>
    <row r="45" spans="1:68" s="10" customFormat="1" ht="15">
      <c r="A45" s="26" t="s">
        <v>6586</v>
      </c>
      <c r="B45" s="258">
        <v>167.65899999999999</v>
      </c>
      <c r="C45" s="258">
        <v>163.19399999999999</v>
      </c>
      <c r="D45" s="258">
        <v>125.6</v>
      </c>
      <c r="E45" s="258">
        <v>102.79</v>
      </c>
      <c r="F45" s="258">
        <v>105.5</v>
      </c>
      <c r="G45" s="258">
        <v>0</v>
      </c>
      <c r="H45" s="258">
        <v>0</v>
      </c>
      <c r="I45" s="258">
        <v>0</v>
      </c>
      <c r="J45" s="258">
        <v>0</v>
      </c>
      <c r="K45" s="258">
        <v>0</v>
      </c>
      <c r="L45" s="258">
        <v>0</v>
      </c>
      <c r="M45" s="258">
        <v>0</v>
      </c>
      <c r="N45" s="37"/>
      <c r="O45"/>
      <c r="P45"/>
      <c r="Q45" s="22"/>
      <c r="Z45" s="38"/>
      <c r="AA45" s="38"/>
      <c r="AB45" s="38"/>
      <c r="AC45" s="38"/>
      <c r="AD45" s="38"/>
      <c r="AE45" s="38"/>
      <c r="AF45" s="38"/>
      <c r="AG45" s="38"/>
    </row>
    <row r="46" spans="1:68">
      <c r="A46" s="99" t="s">
        <v>6587</v>
      </c>
      <c r="B46" s="258">
        <f t="shared" ref="B46" si="24">B42-SUM(B43:B45)</f>
        <v>287.01099999999997</v>
      </c>
      <c r="C46" s="258">
        <f t="shared" ref="C46:M46" si="25">C42-SUM(C43:C45)</f>
        <v>287.20000000000005</v>
      </c>
      <c r="D46" s="258">
        <f t="shared" si="25"/>
        <v>256.51</v>
      </c>
      <c r="E46" s="258">
        <f t="shared" si="25"/>
        <v>177.63599999999997</v>
      </c>
      <c r="F46" s="258">
        <f>F42-SUM(F43:F45)</f>
        <v>182.60000000000002</v>
      </c>
      <c r="G46" s="258">
        <f t="shared" si="25"/>
        <v>135.87</v>
      </c>
      <c r="H46" s="258">
        <f t="shared" si="25"/>
        <v>104.71100000000001</v>
      </c>
      <c r="I46" s="258">
        <f t="shared" si="25"/>
        <v>74.896000000000015</v>
      </c>
      <c r="J46" s="258">
        <f t="shared" si="25"/>
        <v>68.822999999999979</v>
      </c>
      <c r="K46" s="258">
        <f t="shared" si="25"/>
        <v>73.580000000000013</v>
      </c>
      <c r="L46" s="258">
        <f t="shared" si="25"/>
        <v>47.5</v>
      </c>
      <c r="M46" s="258">
        <f t="shared" si="25"/>
        <v>49.400000000000034</v>
      </c>
      <c r="N46" s="37" t="s">
        <v>6648</v>
      </c>
      <c r="O46"/>
      <c r="P46"/>
      <c r="R46" s="22" t="s">
        <v>6666</v>
      </c>
      <c r="Z46" s="31">
        <v>7303</v>
      </c>
      <c r="AA46" s="31">
        <v>6967</v>
      </c>
      <c r="AB46" s="31">
        <v>4708</v>
      </c>
      <c r="AC46" s="31">
        <v>3679</v>
      </c>
      <c r="AD46" s="31">
        <v>5287</v>
      </c>
      <c r="AE46" s="31">
        <v>5660</v>
      </c>
      <c r="AF46" s="31">
        <v>3925</v>
      </c>
      <c r="AG46" s="31">
        <v>5701</v>
      </c>
    </row>
    <row r="47" spans="1:68" ht="15">
      <c r="A47" s="10" t="s">
        <v>6588</v>
      </c>
      <c r="B47" s="257">
        <f t="shared" ref="B47:M47" si="26">B51-B42</f>
        <v>767.59999999999991</v>
      </c>
      <c r="C47" s="257">
        <f t="shared" si="26"/>
        <v>773.32599999999979</v>
      </c>
      <c r="D47" s="257">
        <f t="shared" si="26"/>
        <v>874.29499999999996</v>
      </c>
      <c r="E47" s="257">
        <f t="shared" si="26"/>
        <v>589.51699999999994</v>
      </c>
      <c r="F47" s="257">
        <f t="shared" si="26"/>
        <v>698.05</v>
      </c>
      <c r="G47" s="257">
        <f t="shared" si="26"/>
        <v>180.22399999999993</v>
      </c>
      <c r="H47" s="257">
        <f t="shared" si="26"/>
        <v>159.39100000000008</v>
      </c>
      <c r="I47" s="257">
        <f t="shared" si="26"/>
        <v>175.96899999999994</v>
      </c>
      <c r="J47" s="257">
        <f t="shared" si="26"/>
        <v>212.28299999999996</v>
      </c>
      <c r="K47" s="257">
        <f t="shared" si="26"/>
        <v>240.39</v>
      </c>
      <c r="L47" s="257">
        <f t="shared" si="26"/>
        <v>244.2</v>
      </c>
      <c r="M47" s="257">
        <f t="shared" si="26"/>
        <v>325.09999999999991</v>
      </c>
      <c r="N47" s="37" t="s">
        <v>6648</v>
      </c>
      <c r="O47" t="s">
        <v>6667</v>
      </c>
      <c r="P47"/>
      <c r="Z47" s="31"/>
      <c r="AA47" s="31"/>
      <c r="AB47" s="31"/>
      <c r="AC47" s="31"/>
      <c r="AD47" s="31"/>
      <c r="AE47" s="31"/>
      <c r="AF47" s="31"/>
      <c r="AG47" s="31"/>
      <c r="AM47" s="29"/>
      <c r="AN47" s="29"/>
      <c r="AO47" s="29"/>
      <c r="AP47" s="29"/>
      <c r="AS47" s="29"/>
      <c r="AT47" s="29"/>
      <c r="AU47" s="29"/>
      <c r="AV47" s="29"/>
      <c r="AY47" s="29"/>
      <c r="AZ47" s="29"/>
      <c r="BA47" s="29"/>
      <c r="BB47" s="29"/>
      <c r="BE47" s="29"/>
      <c r="BF47" s="29"/>
      <c r="BG47" s="29"/>
      <c r="BH47" s="29"/>
      <c r="BI47" s="29"/>
      <c r="BJ47" s="29"/>
      <c r="BK47" s="29"/>
      <c r="BL47" s="29"/>
      <c r="BM47" s="29"/>
      <c r="BN47" s="29"/>
      <c r="BO47" s="29"/>
      <c r="BP47" s="29"/>
    </row>
    <row r="48" spans="1:68">
      <c r="A48" s="26" t="s">
        <v>6589</v>
      </c>
      <c r="B48" s="258">
        <v>26.515999999999998</v>
      </c>
      <c r="C48" s="258">
        <f>42.16+2.264</f>
        <v>44.423999999999999</v>
      </c>
      <c r="D48" s="258">
        <f>30.34+9.71</f>
        <v>40.049999999999997</v>
      </c>
      <c r="E48" s="258">
        <v>25.338000000000001</v>
      </c>
      <c r="F48" s="258">
        <v>78.2</v>
      </c>
      <c r="G48" s="258">
        <v>80.78</v>
      </c>
      <c r="H48" s="258">
        <v>67.873999999999995</v>
      </c>
      <c r="I48" s="258">
        <v>75.834999999999994</v>
      </c>
      <c r="J48" s="258">
        <v>127.01600000000001</v>
      </c>
      <c r="K48" s="258">
        <v>154.24</v>
      </c>
      <c r="L48" s="258">
        <v>160.1</v>
      </c>
      <c r="M48" s="258">
        <v>228.1</v>
      </c>
      <c r="N48" s="37" t="s">
        <v>6648</v>
      </c>
      <c r="O48" t="s">
        <v>6668</v>
      </c>
      <c r="P48"/>
      <c r="Z48" s="24">
        <f t="shared" ref="Z48:AG48" si="27">Z44-Z46</f>
        <v>18829</v>
      </c>
      <c r="AA48" s="24">
        <f t="shared" si="27"/>
        <v>19275</v>
      </c>
      <c r="AB48" s="24">
        <f t="shared" si="27"/>
        <v>23169</v>
      </c>
      <c r="AC48" s="24">
        <f t="shared" si="27"/>
        <v>23618</v>
      </c>
      <c r="AD48" s="24">
        <f t="shared" si="27"/>
        <v>24128</v>
      </c>
      <c r="AE48" s="24">
        <f t="shared" si="27"/>
        <v>22901</v>
      </c>
      <c r="AF48" s="24">
        <f t="shared" si="27"/>
        <v>18095</v>
      </c>
      <c r="AG48" s="24">
        <f t="shared" si="27"/>
        <v>13591</v>
      </c>
    </row>
    <row r="49" spans="1:68" s="10" customFormat="1" ht="15">
      <c r="A49" s="26" t="s">
        <v>6590</v>
      </c>
      <c r="B49" s="258">
        <v>637.67200000000003</v>
      </c>
      <c r="C49" s="258">
        <v>674.28499999999997</v>
      </c>
      <c r="D49" s="258">
        <v>584.70000000000005</v>
      </c>
      <c r="E49" s="258">
        <v>537.50599999999997</v>
      </c>
      <c r="F49" s="258">
        <v>533.79999999999995</v>
      </c>
      <c r="G49" s="258">
        <v>0</v>
      </c>
      <c r="H49" s="258">
        <v>0</v>
      </c>
      <c r="I49" s="258">
        <v>0</v>
      </c>
      <c r="J49" s="258">
        <v>0</v>
      </c>
      <c r="K49" s="258">
        <v>0</v>
      </c>
      <c r="L49" s="258">
        <v>0</v>
      </c>
      <c r="M49" s="258">
        <v>0</v>
      </c>
      <c r="N49" s="37"/>
      <c r="O49"/>
      <c r="P49"/>
      <c r="Q49" s="22" t="s">
        <v>6649</v>
      </c>
      <c r="R49" s="10" t="s">
        <v>6669</v>
      </c>
      <c r="Z49" s="38">
        <f>61491-Z44</f>
        <v>35359</v>
      </c>
      <c r="AA49" s="38">
        <f>63457-AA44</f>
        <v>37215</v>
      </c>
      <c r="AB49" s="38">
        <f>67855-AB44</f>
        <v>39978</v>
      </c>
      <c r="AC49" s="38">
        <v>36721</v>
      </c>
      <c r="AD49" s="38">
        <v>41973</v>
      </c>
      <c r="AE49" s="38">
        <f>8415+16529+10956+3583</f>
        <v>39483</v>
      </c>
      <c r="AF49" s="38">
        <f>4505+15932+7584+2654</f>
        <v>30675</v>
      </c>
      <c r="AG49" s="38">
        <f>5652+16195+7420+2179</f>
        <v>31446</v>
      </c>
      <c r="BD49" s="847"/>
      <c r="BE49" s="22"/>
      <c r="BF49" s="22"/>
      <c r="BG49" s="22"/>
      <c r="BH49" s="22"/>
      <c r="BI49" s="22"/>
      <c r="BJ49" s="22"/>
      <c r="BK49" s="22"/>
      <c r="BL49" s="22"/>
      <c r="BM49" s="22"/>
      <c r="BN49" s="22"/>
      <c r="BO49" s="22"/>
      <c r="BP49" s="22"/>
    </row>
    <row r="50" spans="1:68">
      <c r="A50" s="99" t="s">
        <v>6591</v>
      </c>
      <c r="B50" s="258">
        <f t="shared" ref="B50" si="28">B47-SUM(B48:B49)</f>
        <v>103.41199999999992</v>
      </c>
      <c r="C50" s="258">
        <f t="shared" ref="C50:M50" si="29">C47-SUM(C48:C49)</f>
        <v>54.616999999999848</v>
      </c>
      <c r="D50" s="258">
        <f t="shared" si="29"/>
        <v>249.54499999999996</v>
      </c>
      <c r="E50" s="258">
        <f t="shared" si="29"/>
        <v>26.673000000000002</v>
      </c>
      <c r="F50" s="258">
        <f t="shared" si="29"/>
        <v>86.049999999999955</v>
      </c>
      <c r="G50" s="258">
        <f t="shared" si="29"/>
        <v>99.443999999999932</v>
      </c>
      <c r="H50" s="258">
        <f t="shared" si="29"/>
        <v>91.517000000000081</v>
      </c>
      <c r="I50" s="258">
        <f t="shared" si="29"/>
        <v>100.13399999999994</v>
      </c>
      <c r="J50" s="258">
        <f t="shared" si="29"/>
        <v>85.266999999999953</v>
      </c>
      <c r="K50" s="258">
        <f>K47-SUM(K48:K49)</f>
        <v>86.149999999999977</v>
      </c>
      <c r="L50" s="258">
        <f t="shared" si="29"/>
        <v>84.1</v>
      </c>
      <c r="M50" s="258">
        <f t="shared" si="29"/>
        <v>96.999999999999915</v>
      </c>
      <c r="N50" s="37" t="s">
        <v>6648</v>
      </c>
      <c r="O50" t="s">
        <v>6670</v>
      </c>
      <c r="P50"/>
      <c r="R50" s="22" t="s">
        <v>6671</v>
      </c>
      <c r="Z50" s="27">
        <v>22818</v>
      </c>
      <c r="AA50" s="27">
        <v>25169</v>
      </c>
      <c r="AB50" s="27">
        <v>27784</v>
      </c>
      <c r="AC50" s="27">
        <v>26719</v>
      </c>
      <c r="AD50" s="27">
        <v>27752</v>
      </c>
      <c r="AE50" s="27">
        <v>24944</v>
      </c>
      <c r="AF50" s="27">
        <v>20437</v>
      </c>
      <c r="AG50" s="27">
        <v>21847</v>
      </c>
      <c r="BE50" s="29"/>
      <c r="BF50" s="29"/>
      <c r="BG50" s="29"/>
      <c r="BH50" s="29"/>
      <c r="BI50" s="29"/>
      <c r="BJ50" s="29"/>
      <c r="BK50" s="29"/>
      <c r="BL50" s="29"/>
      <c r="BM50" s="29"/>
      <c r="BN50" s="29"/>
      <c r="BO50" s="29"/>
      <c r="BP50" s="29"/>
    </row>
    <row r="51" spans="1:68" ht="15">
      <c r="A51" s="10" t="s">
        <v>53</v>
      </c>
      <c r="B51" s="257">
        <f>B38-3214.4</f>
        <v>1777.6</v>
      </c>
      <c r="C51" s="257">
        <f>4639.312-2902.286</f>
        <v>1737.0259999999998</v>
      </c>
      <c r="D51" s="257">
        <v>1768.895</v>
      </c>
      <c r="E51" s="257">
        <v>1129.4749999999999</v>
      </c>
      <c r="F51" s="257">
        <v>1259.05</v>
      </c>
      <c r="G51" s="257">
        <f>G38-1068.876</f>
        <v>556.72399999999993</v>
      </c>
      <c r="H51" s="257">
        <f>H38-923.531</f>
        <v>456.51600000000008</v>
      </c>
      <c r="I51" s="257">
        <f>I38-703.571</f>
        <v>448.22799999999995</v>
      </c>
      <c r="J51" s="257">
        <f>J38-546.807</f>
        <v>465.25699999999995</v>
      </c>
      <c r="K51" s="257">
        <v>506.57</v>
      </c>
      <c r="L51" s="257">
        <f>825.6-310.6</f>
        <v>515</v>
      </c>
      <c r="M51" s="257">
        <f>M38-241.1</f>
        <v>596.19999999999993</v>
      </c>
      <c r="N51" s="37" t="s">
        <v>6648</v>
      </c>
      <c r="O51" t="s">
        <v>53</v>
      </c>
      <c r="P51"/>
      <c r="Z51" s="27"/>
      <c r="AA51" s="27"/>
      <c r="AB51" s="27"/>
      <c r="AC51" s="27"/>
      <c r="AD51" s="27"/>
      <c r="AE51" s="27"/>
      <c r="AF51" s="27"/>
      <c r="AG51" s="27"/>
      <c r="AM51" s="29"/>
      <c r="AN51" s="29"/>
      <c r="AO51" s="29"/>
      <c r="AP51" s="29"/>
      <c r="AS51" s="29"/>
      <c r="AT51" s="29"/>
      <c r="AU51" s="29"/>
      <c r="AV51" s="29"/>
      <c r="AY51" s="29"/>
      <c r="AZ51" s="29"/>
      <c r="BA51" s="29"/>
      <c r="BB51" s="29"/>
      <c r="BE51" s="793"/>
      <c r="BF51" s="793"/>
      <c r="BG51" s="793"/>
      <c r="BH51" s="793"/>
      <c r="BI51" s="793"/>
      <c r="BJ51" s="793"/>
      <c r="BK51" s="793"/>
      <c r="BL51" s="793"/>
      <c r="BM51" s="793"/>
      <c r="BN51" s="793"/>
      <c r="BO51" s="793"/>
      <c r="BP51" s="793"/>
    </row>
    <row r="52" spans="1:68">
      <c r="B52" s="312"/>
      <c r="C52" s="312"/>
      <c r="D52" s="312"/>
      <c r="E52" s="312"/>
      <c r="F52" s="312"/>
      <c r="G52" s="312"/>
      <c r="H52" s="312"/>
      <c r="I52" s="312"/>
      <c r="J52" s="312"/>
      <c r="K52" s="312"/>
      <c r="L52" s="312"/>
      <c r="M52" s="312"/>
      <c r="N52" s="37" t="s">
        <v>6648</v>
      </c>
      <c r="O52"/>
      <c r="P52"/>
      <c r="Z52" s="24">
        <f t="shared" ref="Z52:AG52" si="30">Z49-Z50</f>
        <v>12541</v>
      </c>
      <c r="AA52" s="24">
        <f t="shared" si="30"/>
        <v>12046</v>
      </c>
      <c r="AB52" s="24">
        <f t="shared" si="30"/>
        <v>12194</v>
      </c>
      <c r="AC52" s="24">
        <f t="shared" si="30"/>
        <v>10002</v>
      </c>
      <c r="AD52" s="24">
        <f t="shared" si="30"/>
        <v>14221</v>
      </c>
      <c r="AE52" s="24">
        <f t="shared" si="30"/>
        <v>14539</v>
      </c>
      <c r="AF52" s="24">
        <f t="shared" si="30"/>
        <v>10238</v>
      </c>
      <c r="AG52" s="24">
        <f t="shared" si="30"/>
        <v>9599</v>
      </c>
    </row>
    <row r="53" spans="1:68" s="10" customFormat="1" ht="15">
      <c r="A53" s="22"/>
      <c r="B53" s="312"/>
      <c r="C53" s="312"/>
      <c r="D53" s="312"/>
      <c r="E53" s="312"/>
      <c r="F53" s="312"/>
      <c r="G53" s="312"/>
      <c r="H53" s="312"/>
      <c r="I53" s="312"/>
      <c r="J53" s="312"/>
      <c r="K53" s="312"/>
      <c r="L53" s="312"/>
      <c r="M53" s="312"/>
      <c r="N53" s="37" t="s">
        <v>6648</v>
      </c>
      <c r="O53"/>
      <c r="P53"/>
      <c r="Z53" s="35">
        <f>+Z49+Z44</f>
        <v>61491</v>
      </c>
      <c r="AA53" s="35">
        <f>+AA49+AA44</f>
        <v>63457</v>
      </c>
      <c r="AB53" s="35">
        <f>+AB49+AB44</f>
        <v>67855</v>
      </c>
      <c r="AC53" s="35">
        <f>AC44+AC49</f>
        <v>64018</v>
      </c>
      <c r="AD53" s="35">
        <f>AD49+AD44</f>
        <v>71388</v>
      </c>
      <c r="AE53" s="35">
        <f>AE49+AE44</f>
        <v>68044</v>
      </c>
      <c r="AF53" s="35">
        <f>AF49+AF44</f>
        <v>52695</v>
      </c>
      <c r="AG53" s="35">
        <f>AG49+AG44</f>
        <v>50738</v>
      </c>
    </row>
    <row r="54" spans="1:68" ht="15">
      <c r="A54" s="39" t="s">
        <v>6593</v>
      </c>
      <c r="B54" s="314">
        <v>9.4E-2</v>
      </c>
      <c r="C54" s="314">
        <v>0.11600000000000001</v>
      </c>
      <c r="D54" s="314">
        <v>0.108</v>
      </c>
      <c r="E54" s="314">
        <v>8.8999999999999996E-2</v>
      </c>
      <c r="F54" s="314">
        <v>0.08</v>
      </c>
      <c r="G54" s="314">
        <v>6.9000000000000006E-2</v>
      </c>
      <c r="H54" s="314">
        <v>0.108</v>
      </c>
      <c r="I54" s="314">
        <v>0.11899999999999999</v>
      </c>
      <c r="J54" s="314">
        <v>0.64900000000000002</v>
      </c>
      <c r="K54" s="314">
        <v>1.07</v>
      </c>
      <c r="L54" s="314">
        <v>3.1</v>
      </c>
      <c r="M54" s="314">
        <v>2.6</v>
      </c>
      <c r="N54" s="37" t="s">
        <v>6648</v>
      </c>
      <c r="O54" t="s">
        <v>6593</v>
      </c>
      <c r="P54"/>
    </row>
    <row r="55" spans="1:68">
      <c r="B55" s="312"/>
      <c r="C55" s="312"/>
      <c r="D55" s="312"/>
      <c r="E55" s="312"/>
      <c r="F55" s="312"/>
      <c r="G55" s="312"/>
      <c r="H55" s="312"/>
      <c r="I55" s="312"/>
      <c r="J55" s="312"/>
      <c r="K55" s="312"/>
      <c r="L55" s="312"/>
      <c r="M55" s="312"/>
      <c r="N55" s="37" t="s">
        <v>6648</v>
      </c>
      <c r="O55"/>
      <c r="P55"/>
    </row>
    <row r="56" spans="1:68" s="10" customFormat="1" ht="15">
      <c r="A56" s="10" t="s">
        <v>6594</v>
      </c>
      <c r="B56" s="257">
        <f t="shared" ref="B56" si="31">B38-B51-B54</f>
        <v>3214.306</v>
      </c>
      <c r="C56" s="257">
        <f t="shared" ref="C56:M56" si="32">C38-C51-C54</f>
        <v>2901.8580000000002</v>
      </c>
      <c r="D56" s="257">
        <f t="shared" si="32"/>
        <v>2498.8969999999995</v>
      </c>
      <c r="E56" s="257">
        <f>E38-E51-E54</f>
        <v>1627.0480000000002</v>
      </c>
      <c r="F56" s="257">
        <f t="shared" si="32"/>
        <v>1306.2700000000002</v>
      </c>
      <c r="G56" s="257">
        <f t="shared" si="32"/>
        <v>1068.807</v>
      </c>
      <c r="H56" s="257">
        <f t="shared" si="32"/>
        <v>923.423</v>
      </c>
      <c r="I56" s="257">
        <f t="shared" si="32"/>
        <v>703.452</v>
      </c>
      <c r="J56" s="257">
        <f>J38-J51-J54</f>
        <v>546.15800000000002</v>
      </c>
      <c r="K56" s="257">
        <f>K38-K51-K54</f>
        <v>419.46000000000004</v>
      </c>
      <c r="L56" s="257">
        <f t="shared" si="32"/>
        <v>307.5</v>
      </c>
      <c r="M56" s="257">
        <f t="shared" si="32"/>
        <v>238.50000000000003</v>
      </c>
      <c r="N56" s="37" t="s">
        <v>6648</v>
      </c>
      <c r="O56"/>
      <c r="P56"/>
      <c r="Q56" s="22" t="s">
        <v>6649</v>
      </c>
      <c r="R56" s="10" t="s">
        <v>6672</v>
      </c>
    </row>
    <row r="57" spans="1:68" ht="15">
      <c r="A57" s="10"/>
      <c r="B57" s="257"/>
      <c r="C57" s="257"/>
      <c r="D57" s="257"/>
      <c r="E57" s="257"/>
      <c r="F57" s="257"/>
      <c r="G57" s="257"/>
      <c r="H57" s="257"/>
      <c r="I57" s="257"/>
      <c r="J57" s="257"/>
      <c r="K57" s="257"/>
      <c r="L57" s="257"/>
      <c r="M57" s="257"/>
      <c r="N57" s="37"/>
      <c r="O57"/>
      <c r="P57"/>
    </row>
    <row r="58" spans="1:68" ht="15">
      <c r="A58" s="50" t="s">
        <v>6673</v>
      </c>
      <c r="B58" s="257"/>
      <c r="C58" s="257"/>
      <c r="D58" s="257"/>
      <c r="E58" s="257"/>
      <c r="F58" s="257"/>
      <c r="G58" s="257"/>
      <c r="H58" s="257"/>
      <c r="I58" s="257"/>
      <c r="J58" s="257"/>
      <c r="K58" s="257"/>
      <c r="L58" s="257"/>
      <c r="M58" s="257"/>
      <c r="N58" s="37"/>
      <c r="O58"/>
      <c r="P58"/>
    </row>
    <row r="59" spans="1:68" ht="15">
      <c r="A59" s="10" t="s">
        <v>132</v>
      </c>
      <c r="B59" s="257">
        <v>804.4</v>
      </c>
      <c r="C59" s="257">
        <v>662.6</v>
      </c>
      <c r="D59" s="257">
        <v>865.3</v>
      </c>
      <c r="E59" s="257">
        <v>406.45</v>
      </c>
      <c r="F59" s="257">
        <v>588.5</v>
      </c>
      <c r="G59" s="257">
        <v>465.8</v>
      </c>
      <c r="H59" s="257">
        <v>314.11200000000002</v>
      </c>
      <c r="I59" s="257">
        <v>277.45100000000002</v>
      </c>
      <c r="J59" s="257">
        <v>181.887</v>
      </c>
      <c r="K59" s="257">
        <v>141.69</v>
      </c>
      <c r="L59" s="257">
        <v>90.4</v>
      </c>
      <c r="M59" s="257">
        <v>88.5</v>
      </c>
      <c r="N59" s="37"/>
      <c r="O59"/>
      <c r="P59"/>
    </row>
    <row r="60" spans="1:68">
      <c r="A60" s="26" t="s">
        <v>71</v>
      </c>
      <c r="B60" s="258">
        <f t="shared" ref="B60:M60" si="33">B12</f>
        <v>611.93100000000004</v>
      </c>
      <c r="C60" s="258">
        <f t="shared" si="33"/>
        <v>606.70000000000005</v>
      </c>
      <c r="D60" s="258">
        <f t="shared" si="33"/>
        <v>393.53300000000002</v>
      </c>
      <c r="E60" s="258">
        <f t="shared" si="33"/>
        <v>300.39999999999998</v>
      </c>
      <c r="F60" s="258">
        <f t="shared" si="33"/>
        <v>358.7</v>
      </c>
      <c r="G60" s="258">
        <f t="shared" si="33"/>
        <v>332.4</v>
      </c>
      <c r="H60" s="258">
        <f t="shared" si="33"/>
        <v>249.7</v>
      </c>
      <c r="I60" s="258">
        <f t="shared" si="33"/>
        <v>196</v>
      </c>
      <c r="J60" s="258">
        <f t="shared" si="33"/>
        <v>167.9</v>
      </c>
      <c r="K60" s="258">
        <f t="shared" si="33"/>
        <v>130.30000000000001</v>
      </c>
      <c r="L60" s="258">
        <f t="shared" si="33"/>
        <v>76.069999999999993</v>
      </c>
      <c r="M60" s="258">
        <f t="shared" si="33"/>
        <v>31.12</v>
      </c>
      <c r="N60" s="37"/>
      <c r="O60"/>
      <c r="P60"/>
    </row>
    <row r="61" spans="1:68">
      <c r="A61" s="99" t="s">
        <v>63</v>
      </c>
      <c r="B61" s="258">
        <v>291.7</v>
      </c>
      <c r="C61" s="258">
        <v>264.89999999999998</v>
      </c>
      <c r="D61" s="258">
        <v>246.5</v>
      </c>
      <c r="E61" s="258">
        <v>200.976</v>
      </c>
      <c r="F61" s="258">
        <v>171.1</v>
      </c>
      <c r="G61" s="258">
        <v>56.5</v>
      </c>
      <c r="H61" s="258">
        <v>47.273000000000003</v>
      </c>
      <c r="I61" s="258">
        <v>41.634999999999998</v>
      </c>
      <c r="J61" s="258">
        <v>35.959000000000003</v>
      </c>
      <c r="K61" s="258">
        <v>26.276</v>
      </c>
      <c r="L61" s="258">
        <v>19.184999999999999</v>
      </c>
      <c r="M61" s="258">
        <v>21</v>
      </c>
      <c r="N61" s="37"/>
      <c r="O61"/>
      <c r="P61"/>
    </row>
    <row r="62" spans="1:68">
      <c r="A62" s="99" t="s">
        <v>6674</v>
      </c>
      <c r="B62" s="258">
        <v>-48.526000000000003</v>
      </c>
      <c r="C62" s="258">
        <v>-42.832000000000001</v>
      </c>
      <c r="D62" s="258">
        <v>92.301000000000002</v>
      </c>
      <c r="E62" s="258">
        <v>-36.844999999999999</v>
      </c>
      <c r="F62" s="258">
        <v>-24.959</v>
      </c>
      <c r="G62" s="258">
        <v>-13.552</v>
      </c>
      <c r="H62" s="258">
        <v>18.472000000000001</v>
      </c>
      <c r="I62" s="258">
        <v>2.7490000000000001</v>
      </c>
      <c r="J62" s="258">
        <v>-13.785</v>
      </c>
      <c r="K62" s="258">
        <v>-50.174999999999997</v>
      </c>
      <c r="L62" s="258">
        <v>-10.4</v>
      </c>
      <c r="M62" s="258">
        <v>-18.7</v>
      </c>
      <c r="N62" s="37"/>
      <c r="O62"/>
      <c r="P62"/>
    </row>
    <row r="63" spans="1:68">
      <c r="A63" s="99" t="s">
        <v>6675</v>
      </c>
      <c r="B63" s="258">
        <f t="shared" ref="B63" si="34">B59-B60-B61-B62</f>
        <v>-50.705000000000048</v>
      </c>
      <c r="C63" s="258">
        <f t="shared" ref="C63" si="35">C59-C60-C61-C62</f>
        <v>-166.16800000000001</v>
      </c>
      <c r="D63" s="258">
        <f>D59-D60-D61-D62</f>
        <v>132.96599999999995</v>
      </c>
      <c r="E63" s="258">
        <f t="shared" ref="E63:M63" si="36">E59-E60-E61-E62</f>
        <v>-58.080999999999989</v>
      </c>
      <c r="F63" s="258">
        <f t="shared" si="36"/>
        <v>83.65900000000002</v>
      </c>
      <c r="G63" s="258">
        <f t="shared" si="36"/>
        <v>90.452000000000027</v>
      </c>
      <c r="H63" s="258">
        <f t="shared" si="36"/>
        <v>-1.33299999999997</v>
      </c>
      <c r="I63" s="258">
        <f t="shared" si="36"/>
        <v>37.067000000000021</v>
      </c>
      <c r="J63" s="258">
        <f t="shared" si="36"/>
        <v>-8.1870000000000083</v>
      </c>
      <c r="K63" s="258">
        <f t="shared" si="36"/>
        <v>35.288999999999987</v>
      </c>
      <c r="L63" s="258">
        <f t="shared" si="36"/>
        <v>5.5450000000000141</v>
      </c>
      <c r="M63" s="258">
        <f t="shared" si="36"/>
        <v>55.08</v>
      </c>
      <c r="N63" s="37"/>
      <c r="O63"/>
      <c r="P63"/>
    </row>
    <row r="64" spans="1:68" ht="15">
      <c r="A64" s="10" t="s">
        <v>133</v>
      </c>
      <c r="B64" s="257">
        <v>-174</v>
      </c>
      <c r="C64" s="257">
        <v>-167</v>
      </c>
      <c r="D64" s="257">
        <v>-621.4</v>
      </c>
      <c r="E64" s="257">
        <v>-90.37</v>
      </c>
      <c r="F64" s="257">
        <v>-120.8</v>
      </c>
      <c r="G64" s="257">
        <v>-91.5</v>
      </c>
      <c r="H64" s="257">
        <v>-72.498000000000005</v>
      </c>
      <c r="I64" s="257">
        <v>-62.29</v>
      </c>
      <c r="J64" s="257">
        <v>-66.186999999999998</v>
      </c>
      <c r="K64" s="257">
        <v>-49.557000000000002</v>
      </c>
      <c r="L64" s="257">
        <v>-25.2</v>
      </c>
      <c r="M64" s="257">
        <v>-28.5</v>
      </c>
      <c r="N64" s="37"/>
      <c r="O64"/>
      <c r="P64"/>
    </row>
    <row r="65" spans="1:51">
      <c r="A65" s="99" t="s">
        <v>134</v>
      </c>
      <c r="B65" s="258">
        <v>-174</v>
      </c>
      <c r="C65" s="258">
        <v>-167.09</v>
      </c>
      <c r="D65" s="258">
        <f>-131.828+7.147</f>
        <v>-124.681</v>
      </c>
      <c r="E65" s="258">
        <v>-90.37</v>
      </c>
      <c r="F65" s="258">
        <v>-120.8</v>
      </c>
      <c r="G65" s="258">
        <f>-91.887+0.385</f>
        <v>-91.501999999999995</v>
      </c>
      <c r="H65" s="258">
        <v>-72.498000000000005</v>
      </c>
      <c r="I65" s="258">
        <v>-62.29</v>
      </c>
      <c r="J65" s="258">
        <v>-66.186999999999998</v>
      </c>
      <c r="K65" s="258">
        <v>-49.557000000000002</v>
      </c>
      <c r="L65" s="258">
        <f>-34.3+2</f>
        <v>-32.299999999999997</v>
      </c>
      <c r="M65" s="258">
        <f>-28.9+0.4</f>
        <v>-28.5</v>
      </c>
      <c r="N65" s="37"/>
      <c r="O65"/>
      <c r="P65"/>
    </row>
    <row r="66" spans="1:51">
      <c r="A66" s="99" t="s">
        <v>135</v>
      </c>
      <c r="B66" s="258">
        <v>0</v>
      </c>
      <c r="C66" s="258">
        <v>0</v>
      </c>
      <c r="D66" s="258">
        <v>-496.7</v>
      </c>
      <c r="E66" s="258">
        <v>0</v>
      </c>
      <c r="F66" s="258">
        <v>0</v>
      </c>
      <c r="G66" s="258">
        <v>0</v>
      </c>
      <c r="H66" s="258">
        <v>0</v>
      </c>
      <c r="I66" s="258">
        <v>0</v>
      </c>
      <c r="J66" s="258">
        <v>0</v>
      </c>
      <c r="K66" s="258">
        <v>0</v>
      </c>
      <c r="L66" s="258">
        <v>0</v>
      </c>
      <c r="M66" s="258">
        <v>0</v>
      </c>
      <c r="N66" s="37"/>
      <c r="O66"/>
      <c r="P66"/>
    </row>
    <row r="67" spans="1:51">
      <c r="A67" s="99" t="s">
        <v>6676</v>
      </c>
      <c r="B67" s="258">
        <f>B64-B65-B66</f>
        <v>0</v>
      </c>
      <c r="C67" s="258">
        <f>C64-C65-C66</f>
        <v>9.0000000000003411E-2</v>
      </c>
      <c r="D67" s="258">
        <f>D64-D65-D66</f>
        <v>-1.9000000000005457E-2</v>
      </c>
      <c r="E67" s="258">
        <f t="shared" ref="E67" si="37">E64-E65-E66</f>
        <v>0</v>
      </c>
      <c r="F67" s="258">
        <f t="shared" ref="F67:M67" si="38">F64-F65-F66</f>
        <v>0</v>
      </c>
      <c r="G67" s="258">
        <f t="shared" si="38"/>
        <v>1.9999999999953388E-3</v>
      </c>
      <c r="H67" s="258">
        <f t="shared" si="38"/>
        <v>0</v>
      </c>
      <c r="I67" s="258">
        <f t="shared" si="38"/>
        <v>0</v>
      </c>
      <c r="J67" s="258">
        <f t="shared" si="38"/>
        <v>0</v>
      </c>
      <c r="K67" s="258">
        <f t="shared" si="38"/>
        <v>0</v>
      </c>
      <c r="L67" s="258">
        <f t="shared" si="38"/>
        <v>7.0999999999999979</v>
      </c>
      <c r="M67" s="258">
        <f t="shared" si="38"/>
        <v>0</v>
      </c>
      <c r="N67" s="37"/>
      <c r="O67"/>
      <c r="P67"/>
    </row>
    <row r="68" spans="1:51" ht="15">
      <c r="A68" s="10" t="s">
        <v>136</v>
      </c>
      <c r="B68" s="257">
        <v>-596.625</v>
      </c>
      <c r="C68" s="257">
        <v>-391.25</v>
      </c>
      <c r="D68" s="257">
        <v>-345.18</v>
      </c>
      <c r="E68" s="257">
        <v>-151.54</v>
      </c>
      <c r="F68" s="257">
        <v>-243.8</v>
      </c>
      <c r="G68" s="257">
        <v>-219.6</v>
      </c>
      <c r="H68" s="257">
        <v>-83</v>
      </c>
      <c r="I68" s="257">
        <v>-117.78</v>
      </c>
      <c r="J68" s="257">
        <v>-88.228999999999999</v>
      </c>
      <c r="K68" s="257">
        <v>-69.013999999999996</v>
      </c>
      <c r="L68" s="257">
        <v>-49</v>
      </c>
      <c r="M68" s="257">
        <v>-16.899999999999999</v>
      </c>
      <c r="N68" s="37"/>
      <c r="O68"/>
      <c r="P68"/>
    </row>
    <row r="69" spans="1:51" ht="15">
      <c r="A69" s="99" t="s">
        <v>6677</v>
      </c>
      <c r="B69" s="258">
        <v>0</v>
      </c>
      <c r="C69" s="258">
        <v>0</v>
      </c>
      <c r="D69" s="258">
        <v>0</v>
      </c>
      <c r="E69" s="258">
        <v>0</v>
      </c>
      <c r="F69" s="258">
        <v>0</v>
      </c>
      <c r="G69" s="258">
        <v>0.191</v>
      </c>
      <c r="H69" s="258">
        <v>8.5000000000000006E-2</v>
      </c>
      <c r="I69" s="258">
        <v>0</v>
      </c>
      <c r="J69" s="258">
        <v>37.780999999999999</v>
      </c>
      <c r="K69" s="258">
        <v>155.07499999999999</v>
      </c>
      <c r="L69" s="258">
        <f>139.878+21.365</f>
        <v>161.24299999999999</v>
      </c>
      <c r="M69" s="258">
        <v>44.656999999999996</v>
      </c>
      <c r="N69" s="37"/>
      <c r="O69"/>
      <c r="P69" s="787"/>
    </row>
    <row r="70" spans="1:51">
      <c r="A70" s="99" t="s">
        <v>6678</v>
      </c>
      <c r="B70" s="258">
        <f>-8.197</f>
        <v>-8.1969999999999992</v>
      </c>
      <c r="C70" s="258">
        <f>-2.57-11.8</f>
        <v>-14.370000000000001</v>
      </c>
      <c r="D70" s="258">
        <f>-32.6-44.8</f>
        <v>-77.400000000000006</v>
      </c>
      <c r="E70" s="258">
        <f>-15.7</f>
        <v>-15.7</v>
      </c>
      <c r="F70" s="258">
        <v>-10.89</v>
      </c>
      <c r="G70" s="258">
        <f>-2.198-15.45</f>
        <v>-17.648</v>
      </c>
      <c r="H70" s="258">
        <v>-62.067999999999998</v>
      </c>
      <c r="I70" s="258">
        <v>-68.594999999999999</v>
      </c>
      <c r="J70" s="258">
        <f>-69.653-29.365</f>
        <v>-99.018000000000001</v>
      </c>
      <c r="K70" s="258">
        <f>-171.736-26.778</f>
        <v>-198.51399999999998</v>
      </c>
      <c r="L70" s="258">
        <f>-208.832+21.365</f>
        <v>-187.46699999999998</v>
      </c>
      <c r="M70" s="258">
        <f>-48.271-3.269</f>
        <v>-51.54</v>
      </c>
      <c r="N70" s="37"/>
      <c r="O70"/>
      <c r="P70"/>
    </row>
    <row r="71" spans="1:51">
      <c r="A71" s="99" t="s">
        <v>6679</v>
      </c>
      <c r="B71" s="258">
        <v>0</v>
      </c>
      <c r="C71" s="258">
        <v>0</v>
      </c>
      <c r="D71" s="258">
        <v>0</v>
      </c>
      <c r="E71" s="258">
        <v>0</v>
      </c>
      <c r="F71" s="258">
        <v>0</v>
      </c>
      <c r="G71" s="258">
        <v>0</v>
      </c>
      <c r="H71" s="258">
        <v>0</v>
      </c>
      <c r="I71" s="258">
        <v>0</v>
      </c>
      <c r="J71" s="258">
        <v>0</v>
      </c>
      <c r="K71" s="258">
        <v>0</v>
      </c>
      <c r="L71" s="258">
        <v>0</v>
      </c>
      <c r="M71" s="258">
        <v>0</v>
      </c>
      <c r="N71" s="37"/>
      <c r="O71"/>
      <c r="P71"/>
    </row>
    <row r="72" spans="1:51">
      <c r="A72" s="99" t="s">
        <v>6680</v>
      </c>
      <c r="B72" s="258">
        <v>-200.79599999999999</v>
      </c>
      <c r="C72" s="258">
        <v>-170.5</v>
      </c>
      <c r="D72" s="258">
        <v>-146.30000000000001</v>
      </c>
      <c r="E72" s="258">
        <v>-136.91999999999999</v>
      </c>
      <c r="F72" s="258">
        <v>-116.8</v>
      </c>
      <c r="G72" s="258">
        <v>0</v>
      </c>
      <c r="H72" s="258">
        <v>0</v>
      </c>
      <c r="I72" s="258">
        <v>0</v>
      </c>
      <c r="J72" s="258">
        <v>0</v>
      </c>
      <c r="K72" s="258">
        <v>0</v>
      </c>
      <c r="L72" s="258">
        <v>0</v>
      </c>
      <c r="M72" s="258">
        <v>0</v>
      </c>
      <c r="N72" s="37"/>
      <c r="O72"/>
      <c r="P72"/>
    </row>
    <row r="73" spans="1:51">
      <c r="A73" s="99" t="s">
        <v>137</v>
      </c>
      <c r="B73" s="258">
        <v>-303.39999999999998</v>
      </c>
      <c r="C73" s="258">
        <v>-160.96</v>
      </c>
      <c r="D73" s="258">
        <v>-120.679</v>
      </c>
      <c r="E73" s="258">
        <v>0</v>
      </c>
      <c r="F73" s="258">
        <f>-(100.85+0.86)</f>
        <v>-101.71</v>
      </c>
      <c r="G73" s="258">
        <v>-70.459999999999994</v>
      </c>
      <c r="H73" s="309">
        <f>-45.491-0.091</f>
        <v>-45.582000000000001</v>
      </c>
      <c r="I73" s="258">
        <f>-34.883-0.521</f>
        <v>-35.404000000000003</v>
      </c>
      <c r="J73" s="309">
        <f>-30.014-0.47</f>
        <v>-30.483999999999998</v>
      </c>
      <c r="K73" s="258">
        <f>-(25+3.6)</f>
        <v>-28.6</v>
      </c>
      <c r="L73" s="258">
        <v>-2.258</v>
      </c>
      <c r="M73" s="258">
        <v>-7.5</v>
      </c>
      <c r="N73" s="34" t="s">
        <v>6681</v>
      </c>
      <c r="O73" t="s">
        <v>6682</v>
      </c>
      <c r="P73"/>
    </row>
    <row r="74" spans="1:51">
      <c r="A74" s="99" t="s">
        <v>6576</v>
      </c>
      <c r="B74" s="258">
        <v>-30.5</v>
      </c>
      <c r="C74" s="258">
        <v>-48.351999999999997</v>
      </c>
      <c r="D74" s="258">
        <v>0</v>
      </c>
      <c r="E74" s="258">
        <v>0</v>
      </c>
      <c r="F74" s="258">
        <v>-15.1</v>
      </c>
      <c r="G74" s="258">
        <v>-148.57300000000001</v>
      </c>
      <c r="H74" s="309">
        <v>-21.329000000000001</v>
      </c>
      <c r="I74" s="258">
        <v>-12.801</v>
      </c>
      <c r="J74" s="309">
        <v>0</v>
      </c>
      <c r="K74" s="258">
        <v>0</v>
      </c>
      <c r="L74" s="258">
        <v>0</v>
      </c>
      <c r="M74" s="258">
        <v>0</v>
      </c>
      <c r="N74" s="34" t="s">
        <v>6681</v>
      </c>
      <c r="O74" t="str">
        <f>+A74</f>
        <v>Share buyback</v>
      </c>
      <c r="P74"/>
    </row>
    <row r="75" spans="1:51">
      <c r="A75" s="99" t="s">
        <v>6676</v>
      </c>
      <c r="B75" s="258">
        <f t="shared" ref="B75" si="39">B68-B69-B70-B71-B72-B73-B74</f>
        <v>-53.732000000000028</v>
      </c>
      <c r="C75" s="258">
        <f t="shared" ref="C75:M75" si="40">C68-C69-C70-C71-C72-C73-C74</f>
        <v>2.9320000000000093</v>
      </c>
      <c r="D75" s="258">
        <f t="shared" si="40"/>
        <v>-0.8009999999999593</v>
      </c>
      <c r="E75" s="258">
        <f t="shared" si="40"/>
        <v>1.0799999999999841</v>
      </c>
      <c r="F75" s="258">
        <f t="shared" si="40"/>
        <v>0.69999999999996554</v>
      </c>
      <c r="G75" s="258">
        <f t="shared" si="40"/>
        <v>16.890000000000015</v>
      </c>
      <c r="H75" s="258">
        <f t="shared" si="40"/>
        <v>45.894000000000005</v>
      </c>
      <c r="I75" s="258">
        <f t="shared" si="40"/>
        <v>-0.97999999999999865</v>
      </c>
      <c r="J75" s="258">
        <f t="shared" si="40"/>
        <v>3.492000000000008</v>
      </c>
      <c r="K75" s="258">
        <f t="shared" si="40"/>
        <v>3.0249999999999844</v>
      </c>
      <c r="L75" s="258">
        <f t="shared" si="40"/>
        <v>-20.518000000000011</v>
      </c>
      <c r="M75" s="258">
        <f t="shared" si="40"/>
        <v>-2.5169999999999959</v>
      </c>
      <c r="N75" s="37"/>
      <c r="O75"/>
      <c r="P75"/>
    </row>
    <row r="76" spans="1:51" ht="15">
      <c r="A76" s="10" t="s">
        <v>140</v>
      </c>
      <c r="B76" s="257"/>
      <c r="C76" s="257">
        <v>-24.686</v>
      </c>
      <c r="D76" s="257">
        <v>-19</v>
      </c>
      <c r="E76" s="257">
        <v>-0.126</v>
      </c>
      <c r="F76" s="257">
        <v>-11</v>
      </c>
      <c r="G76" s="257">
        <v>-2.605</v>
      </c>
      <c r="H76" s="257">
        <v>-7.8550000000000004</v>
      </c>
      <c r="I76" s="257">
        <v>-7.6999999999999999E-2</v>
      </c>
      <c r="J76" s="257">
        <v>-3.79</v>
      </c>
      <c r="K76" s="257">
        <v>0</v>
      </c>
      <c r="L76" s="257">
        <v>0</v>
      </c>
      <c r="M76" s="257">
        <v>0</v>
      </c>
      <c r="N76" s="37"/>
      <c r="O76"/>
      <c r="P76"/>
    </row>
    <row r="77" spans="1:51" ht="15">
      <c r="A77" s="10" t="s">
        <v>6595</v>
      </c>
      <c r="B77" s="257">
        <f t="shared" ref="B77" si="41">B59+B64+B68+B76</f>
        <v>33.774999999999977</v>
      </c>
      <c r="C77" s="257">
        <f t="shared" ref="C77:M77" si="42">C59+C64+C68+C76</f>
        <v>79.664000000000016</v>
      </c>
      <c r="D77" s="257">
        <f t="shared" si="42"/>
        <v>-120.28000000000003</v>
      </c>
      <c r="E77" s="257">
        <f t="shared" si="42"/>
        <v>164.41399999999999</v>
      </c>
      <c r="F77" s="257">
        <f t="shared" si="42"/>
        <v>212.89999999999998</v>
      </c>
      <c r="G77" s="257">
        <f t="shared" si="42"/>
        <v>152.09500000000003</v>
      </c>
      <c r="H77" s="257">
        <f t="shared" si="42"/>
        <v>150.75900000000004</v>
      </c>
      <c r="I77" s="257">
        <f t="shared" si="42"/>
        <v>97.30400000000003</v>
      </c>
      <c r="J77" s="257">
        <f t="shared" si="42"/>
        <v>23.681000000000004</v>
      </c>
      <c r="K77" s="257">
        <f t="shared" si="42"/>
        <v>23.119</v>
      </c>
      <c r="L77" s="257">
        <f t="shared" si="42"/>
        <v>16.200000000000003</v>
      </c>
      <c r="M77" s="257">
        <f t="shared" si="42"/>
        <v>43.1</v>
      </c>
      <c r="N77" s="37"/>
      <c r="O77"/>
      <c r="P77"/>
      <c r="AN77" s="308"/>
      <c r="AO77" s="308"/>
      <c r="AP77" s="308"/>
      <c r="AQ77" s="308"/>
      <c r="AR77" s="308"/>
      <c r="AS77" s="308"/>
      <c r="AT77" s="308"/>
      <c r="AU77" s="308"/>
      <c r="AV77" s="308"/>
      <c r="AW77" s="308"/>
      <c r="AX77" s="308"/>
      <c r="AY77" s="308"/>
    </row>
    <row r="78" spans="1:51" ht="15">
      <c r="M78" s="24"/>
      <c r="N78"/>
      <c r="O78" t="s">
        <v>6683</v>
      </c>
      <c r="P78"/>
      <c r="AM78" s="838"/>
      <c r="AN78" s="839"/>
      <c r="AO78" s="839"/>
      <c r="AP78" s="839"/>
      <c r="AQ78" s="839"/>
      <c r="AR78" s="839"/>
      <c r="AS78" s="839"/>
      <c r="AT78" s="839"/>
      <c r="AU78" s="839"/>
      <c r="AV78" s="839"/>
      <c r="AW78" s="840"/>
      <c r="AX78" s="839"/>
      <c r="AY78" s="839"/>
    </row>
    <row r="79" spans="1:51" ht="15">
      <c r="A79" s="50" t="s">
        <v>6684</v>
      </c>
      <c r="B79" s="50"/>
      <c r="C79" s="50"/>
      <c r="D79" s="50"/>
      <c r="E79" s="1376" t="s">
        <v>6603</v>
      </c>
      <c r="F79" s="1376"/>
      <c r="G79" s="1376"/>
      <c r="H79" s="1376" t="s">
        <v>6685</v>
      </c>
      <c r="I79" s="1376"/>
      <c r="J79" s="50" t="s">
        <v>6605</v>
      </c>
      <c r="K79" s="50" t="s">
        <v>6606</v>
      </c>
      <c r="L79" s="50" t="s">
        <v>6607</v>
      </c>
      <c r="M79" s="35"/>
      <c r="N79"/>
      <c r="O79"/>
      <c r="P79"/>
    </row>
    <row r="80" spans="1:51">
      <c r="A80" s="26" t="s">
        <v>6686</v>
      </c>
      <c r="B80" s="27">
        <v>7510</v>
      </c>
      <c r="C80" s="40" t="s">
        <v>6687</v>
      </c>
      <c r="D80" s="24"/>
      <c r="E80" s="1373"/>
      <c r="F80" s="1373"/>
      <c r="G80" s="1373"/>
      <c r="H80" s="1374"/>
      <c r="I80" s="1374"/>
      <c r="J80" s="64"/>
      <c r="K80" s="63"/>
      <c r="L80" s="63"/>
      <c r="M80" s="24"/>
      <c r="N80" s="40" t="s">
        <v>6688</v>
      </c>
      <c r="O80"/>
      <c r="P80"/>
      <c r="AQ80" s="29"/>
    </row>
    <row r="81" spans="1:45">
      <c r="A81" s="26" t="s">
        <v>6689</v>
      </c>
      <c r="B81" s="27">
        <v>270320</v>
      </c>
      <c r="C81" s="40" t="s">
        <v>6690</v>
      </c>
      <c r="D81" s="24"/>
      <c r="E81" s="1373"/>
      <c r="F81" s="1373"/>
      <c r="G81" s="1373"/>
      <c r="H81" s="1374"/>
      <c r="I81" s="1374"/>
      <c r="J81" s="64"/>
      <c r="K81" s="63"/>
      <c r="L81" s="63"/>
      <c r="M81" s="24"/>
      <c r="N81" s="40" t="s">
        <v>6688</v>
      </c>
      <c r="O81"/>
      <c r="P81"/>
      <c r="AS81" s="793"/>
    </row>
    <row r="82" spans="1:45">
      <c r="A82" s="26" t="s">
        <v>51</v>
      </c>
      <c r="B82" s="609"/>
      <c r="C82" s="40" t="s">
        <v>6690</v>
      </c>
      <c r="D82" s="65"/>
      <c r="E82" s="1373"/>
      <c r="F82" s="1373"/>
      <c r="G82" s="1373"/>
      <c r="H82" s="1374"/>
      <c r="I82" s="1374"/>
      <c r="J82" s="64"/>
      <c r="K82" s="63"/>
      <c r="L82" s="63"/>
      <c r="M82" s="67"/>
      <c r="N82" s="40" t="s">
        <v>6688</v>
      </c>
      <c r="O82"/>
      <c r="P82"/>
    </row>
    <row r="83" spans="1:45">
      <c r="A83" s="26" t="s">
        <v>55</v>
      </c>
      <c r="B83" s="610">
        <v>0.185</v>
      </c>
      <c r="C83" s="40" t="s">
        <v>6690</v>
      </c>
      <c r="D83" s="66"/>
      <c r="E83" s="1373"/>
      <c r="F83" s="1373"/>
      <c r="G83" s="1373"/>
      <c r="H83" s="1374"/>
      <c r="I83" s="1374"/>
      <c r="J83" s="64"/>
      <c r="K83" s="63"/>
      <c r="L83" s="63"/>
      <c r="M83" s="67"/>
      <c r="N83" s="40" t="s">
        <v>6688</v>
      </c>
      <c r="O83"/>
      <c r="P83"/>
    </row>
    <row r="84" spans="1:45">
      <c r="A84" s="26" t="s">
        <v>6599</v>
      </c>
      <c r="B84" s="27">
        <v>89</v>
      </c>
      <c r="C84" s="40" t="s">
        <v>6687</v>
      </c>
      <c r="D84" s="24"/>
      <c r="E84" s="1373"/>
      <c r="F84" s="1373"/>
      <c r="G84" s="1373"/>
      <c r="H84" s="1374"/>
      <c r="I84" s="1374"/>
      <c r="J84" s="64"/>
      <c r="K84" s="63"/>
      <c r="L84" s="63"/>
      <c r="M84" s="24"/>
      <c r="N84" s="40" t="s">
        <v>6688</v>
      </c>
      <c r="O84"/>
      <c r="P84"/>
    </row>
    <row r="85" spans="1:45">
      <c r="A85" s="26" t="s">
        <v>6691</v>
      </c>
      <c r="B85" s="611">
        <v>1.7600000000000001E-2</v>
      </c>
      <c r="C85" s="40" t="s">
        <v>6690</v>
      </c>
      <c r="D85" s="24"/>
      <c r="E85" s="1373"/>
      <c r="F85" s="1373"/>
      <c r="G85" s="1373"/>
      <c r="H85" s="1374"/>
      <c r="I85" s="1374"/>
      <c r="J85" s="63"/>
      <c r="K85" s="63"/>
      <c r="L85" s="63"/>
      <c r="M85" s="24"/>
      <c r="N85" s="40" t="s">
        <v>6688</v>
      </c>
      <c r="O85"/>
    </row>
    <row r="86" spans="1:45">
      <c r="A86" s="26" t="s">
        <v>6601</v>
      </c>
      <c r="B86" s="27">
        <v>782840</v>
      </c>
      <c r="C86" s="40" t="s">
        <v>6692</v>
      </c>
      <c r="D86" s="24"/>
      <c r="E86" s="1373"/>
      <c r="F86" s="1373"/>
      <c r="G86" s="1373"/>
      <c r="H86" s="1374"/>
      <c r="I86" s="1374"/>
      <c r="J86" s="63"/>
      <c r="K86" s="63"/>
      <c r="L86" s="63"/>
      <c r="M86" s="24"/>
      <c r="N86" s="40" t="s">
        <v>6688</v>
      </c>
    </row>
    <row r="87" spans="1:45" ht="15">
      <c r="B87" s="50">
        <f>B5</f>
        <v>2023</v>
      </c>
      <c r="C87" s="50">
        <f>C5</f>
        <v>2022</v>
      </c>
      <c r="D87" s="50">
        <f>D5</f>
        <v>2021</v>
      </c>
      <c r="E87" s="41"/>
      <c r="G87" s="41"/>
      <c r="H87" s="41"/>
      <c r="I87" s="41"/>
      <c r="J87" s="41"/>
      <c r="K87" s="41"/>
      <c r="L87" s="41"/>
      <c r="M87" s="41"/>
      <c r="N87"/>
    </row>
    <row r="88" spans="1:45">
      <c r="A88" s="26" t="s">
        <v>6602</v>
      </c>
      <c r="E88" s="40" t="s">
        <v>6692</v>
      </c>
      <c r="K88" s="22"/>
      <c r="L88" s="22"/>
      <c r="O88"/>
      <c r="P88"/>
    </row>
    <row r="89" spans="1:45" ht="15">
      <c r="A89" s="26" t="s">
        <v>77</v>
      </c>
      <c r="B89" s="775">
        <v>2.2599999999999998</v>
      </c>
      <c r="C89" s="775">
        <v>2.2400000000000002</v>
      </c>
      <c r="D89" s="775">
        <v>1.47</v>
      </c>
      <c r="E89" s="40" t="s">
        <v>6692</v>
      </c>
      <c r="K89" s="22"/>
      <c r="L89" s="22"/>
      <c r="O89" s="50"/>
    </row>
    <row r="90" spans="1:45" ht="15">
      <c r="M90"/>
      <c r="N90" s="98"/>
      <c r="O90" s="50"/>
    </row>
    <row r="91" spans="1:45">
      <c r="J91" s="24"/>
      <c r="L91"/>
      <c r="M91"/>
      <c r="N91"/>
    </row>
    <row r="92" spans="1:45">
      <c r="J92" s="24"/>
      <c r="L92"/>
      <c r="M92"/>
      <c r="N92"/>
    </row>
    <row r="93" spans="1:45">
      <c r="J93" s="24"/>
      <c r="L93"/>
      <c r="M93"/>
      <c r="N93"/>
    </row>
    <row r="94" spans="1:45">
      <c r="J94" s="24"/>
      <c r="L94"/>
      <c r="M94"/>
      <c r="N94"/>
    </row>
    <row r="95" spans="1:45">
      <c r="J95" s="24"/>
      <c r="L95"/>
      <c r="M95"/>
      <c r="N95"/>
    </row>
    <row r="96" spans="1:45">
      <c r="J96" s="24"/>
      <c r="L96"/>
      <c r="M96"/>
      <c r="N96"/>
      <c r="O96"/>
    </row>
    <row r="97" spans="1:14">
      <c r="J97" s="24"/>
      <c r="L97"/>
      <c r="M97"/>
      <c r="N97"/>
    </row>
    <row r="98" spans="1:14">
      <c r="G98"/>
      <c r="M98"/>
      <c r="N98"/>
    </row>
    <row r="99" spans="1:14">
      <c r="A99"/>
      <c r="B99"/>
      <c r="C99"/>
      <c r="D99"/>
      <c r="E99"/>
      <c r="F99"/>
      <c r="G99"/>
    </row>
    <row r="100" spans="1:14">
      <c r="A100"/>
      <c r="B100"/>
      <c r="C100"/>
      <c r="D100"/>
      <c r="E100"/>
      <c r="F100"/>
      <c r="G100"/>
    </row>
  </sheetData>
  <mergeCells count="19">
    <mergeCell ref="G2:J2"/>
    <mergeCell ref="D4:M4"/>
    <mergeCell ref="H79:I79"/>
    <mergeCell ref="E79:G79"/>
    <mergeCell ref="R5:S5"/>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s>
  <pageMargins left="0.75" right="0.75" top="1" bottom="1" header="0" footer="0"/>
  <pageSetup orientation="portrait" horizontalDpi="4294967292"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5D9B-C38B-4DDB-9518-53920C963235}">
  <dimension ref="A1:K143"/>
  <sheetViews>
    <sheetView topLeftCell="A32" workbookViewId="0">
      <selection activeCell="B78" sqref="B78:C78"/>
    </sheetView>
  </sheetViews>
  <sheetFormatPr defaultRowHeight="12.75"/>
  <cols>
    <col min="1" max="1" width="55.7109375" bestFit="1" customWidth="1"/>
    <col min="2" max="11" width="32.140625" bestFit="1" customWidth="1"/>
  </cols>
  <sheetData>
    <row r="1" spans="1:11">
      <c r="A1" s="629" t="s">
        <v>6693</v>
      </c>
    </row>
    <row r="3" spans="1:11">
      <c r="A3" s="630" t="s">
        <v>6648</v>
      </c>
    </row>
    <row r="4" spans="1:11">
      <c r="A4" s="630" t="s">
        <v>6694</v>
      </c>
    </row>
    <row r="5" spans="1:11">
      <c r="A5" s="631"/>
      <c r="B5" s="632">
        <v>2022</v>
      </c>
      <c r="C5" s="632">
        <v>2021</v>
      </c>
      <c r="D5" s="632">
        <v>2020</v>
      </c>
      <c r="E5" s="632">
        <v>2019</v>
      </c>
      <c r="F5" s="632">
        <v>2018</v>
      </c>
      <c r="G5" s="632">
        <v>2017</v>
      </c>
      <c r="H5" s="632">
        <v>2016</v>
      </c>
      <c r="I5" s="632">
        <v>2015</v>
      </c>
      <c r="J5" s="632">
        <v>2014</v>
      </c>
      <c r="K5" s="632">
        <v>2013</v>
      </c>
    </row>
    <row r="6" spans="1:11" ht="15">
      <c r="A6" s="633" t="s">
        <v>6695</v>
      </c>
      <c r="B6" s="634" t="s">
        <v>6696</v>
      </c>
      <c r="C6" s="635" t="s">
        <v>6697</v>
      </c>
      <c r="D6" s="635" t="s">
        <v>6698</v>
      </c>
      <c r="E6" s="635" t="s">
        <v>6699</v>
      </c>
      <c r="F6" s="636" t="s">
        <v>6700</v>
      </c>
      <c r="G6" s="636" t="s">
        <v>6701</v>
      </c>
      <c r="H6" s="636" t="s">
        <v>6702</v>
      </c>
      <c r="I6" s="634" t="s">
        <v>6703</v>
      </c>
      <c r="J6" s="635" t="s">
        <v>6699</v>
      </c>
      <c r="K6" s="634" t="s">
        <v>6704</v>
      </c>
    </row>
    <row r="7" spans="1:11">
      <c r="A7" s="637" t="s">
        <v>6705</v>
      </c>
      <c r="B7" s="638" t="s">
        <v>6706</v>
      </c>
      <c r="C7" s="638" t="s">
        <v>6707</v>
      </c>
      <c r="D7" s="638" t="s">
        <v>6708</v>
      </c>
      <c r="E7" s="638" t="s">
        <v>6709</v>
      </c>
      <c r="F7" s="638" t="s">
        <v>6710</v>
      </c>
      <c r="G7" s="638" t="s">
        <v>6711</v>
      </c>
      <c r="H7" s="638" t="s">
        <v>6712</v>
      </c>
      <c r="I7" s="638" t="s">
        <v>6713</v>
      </c>
      <c r="J7" s="638" t="s">
        <v>6714</v>
      </c>
      <c r="K7" s="638" t="s">
        <v>6715</v>
      </c>
    </row>
    <row r="8" spans="1:11">
      <c r="A8" s="637" t="s">
        <v>6716</v>
      </c>
      <c r="B8" s="638" t="s">
        <v>6717</v>
      </c>
      <c r="C8" s="638" t="s">
        <v>6717</v>
      </c>
      <c r="D8" s="638" t="s">
        <v>6717</v>
      </c>
      <c r="E8" s="638" t="s">
        <v>6717</v>
      </c>
      <c r="F8" s="638" t="s">
        <v>6717</v>
      </c>
      <c r="G8" s="638" t="s">
        <v>6717</v>
      </c>
      <c r="H8" s="638" t="s">
        <v>6717</v>
      </c>
      <c r="I8" s="638" t="s">
        <v>6717</v>
      </c>
      <c r="J8" s="638" t="s">
        <v>6717</v>
      </c>
      <c r="K8" s="638" t="s">
        <v>6717</v>
      </c>
    </row>
    <row r="9" spans="1:11">
      <c r="A9" s="637" t="s">
        <v>6718</v>
      </c>
      <c r="B9" s="638" t="s">
        <v>6706</v>
      </c>
      <c r="C9" s="638" t="s">
        <v>6707</v>
      </c>
      <c r="D9" s="638" t="s">
        <v>6708</v>
      </c>
      <c r="E9" s="638" t="s">
        <v>6709</v>
      </c>
      <c r="F9" s="638" t="s">
        <v>6710</v>
      </c>
      <c r="G9" s="638" t="s">
        <v>6711</v>
      </c>
      <c r="H9" s="638" t="s">
        <v>6712</v>
      </c>
      <c r="I9" s="638" t="s">
        <v>6713</v>
      </c>
      <c r="J9" s="638" t="s">
        <v>6714</v>
      </c>
      <c r="K9" s="638" t="s">
        <v>6715</v>
      </c>
    </row>
    <row r="10" spans="1:11">
      <c r="A10" s="637" t="s">
        <v>6719</v>
      </c>
      <c r="B10" s="638" t="s">
        <v>6720</v>
      </c>
      <c r="C10" s="638" t="s">
        <v>6720</v>
      </c>
      <c r="D10" s="638" t="s">
        <v>6720</v>
      </c>
      <c r="E10" s="638" t="s">
        <v>6720</v>
      </c>
      <c r="F10" s="638" t="s">
        <v>6720</v>
      </c>
      <c r="G10" s="638" t="s">
        <v>6720</v>
      </c>
      <c r="H10" s="638" t="s">
        <v>6720</v>
      </c>
      <c r="I10" s="638" t="s">
        <v>6720</v>
      </c>
      <c r="J10" s="638" t="s">
        <v>6720</v>
      </c>
      <c r="K10" s="638" t="s">
        <v>6720</v>
      </c>
    </row>
    <row r="11" spans="1:11">
      <c r="A11" s="637" t="s">
        <v>6721</v>
      </c>
      <c r="B11" s="638" t="s">
        <v>6722</v>
      </c>
      <c r="C11" s="638" t="s">
        <v>6722</v>
      </c>
      <c r="D11" s="638" t="s">
        <v>6722</v>
      </c>
      <c r="E11" s="638" t="s">
        <v>6722</v>
      </c>
      <c r="F11" s="638" t="s">
        <v>6722</v>
      </c>
      <c r="G11" s="638" t="s">
        <v>6722</v>
      </c>
      <c r="H11" s="638" t="s">
        <v>6722</v>
      </c>
      <c r="I11" s="638" t="s">
        <v>6722</v>
      </c>
      <c r="J11" s="638" t="s">
        <v>6722</v>
      </c>
      <c r="K11" s="638" t="s">
        <v>6722</v>
      </c>
    </row>
    <row r="12" spans="1:11">
      <c r="A12" s="637" t="s">
        <v>6723</v>
      </c>
      <c r="B12" s="638" t="s">
        <v>6724</v>
      </c>
      <c r="C12" s="638" t="s">
        <v>6724</v>
      </c>
      <c r="D12" s="638" t="s">
        <v>6724</v>
      </c>
      <c r="E12" s="638" t="s">
        <v>6724</v>
      </c>
      <c r="F12" s="638" t="s">
        <v>6724</v>
      </c>
      <c r="G12" s="638" t="s">
        <v>6724</v>
      </c>
      <c r="H12" s="638" t="s">
        <v>6724</v>
      </c>
      <c r="I12" s="638" t="s">
        <v>6724</v>
      </c>
      <c r="J12" s="638" t="s">
        <v>6724</v>
      </c>
      <c r="K12" s="638" t="s">
        <v>6724</v>
      </c>
    </row>
    <row r="13" spans="1:11">
      <c r="A13" s="637" t="s">
        <v>204</v>
      </c>
      <c r="B13" s="638" t="s">
        <v>6725</v>
      </c>
      <c r="C13" s="638" t="s">
        <v>6725</v>
      </c>
      <c r="D13" s="638" t="s">
        <v>6725</v>
      </c>
      <c r="E13" s="638" t="s">
        <v>6725</v>
      </c>
      <c r="F13" s="638" t="s">
        <v>6725</v>
      </c>
      <c r="G13" s="638" t="s">
        <v>6725</v>
      </c>
      <c r="H13" s="638" t="s">
        <v>6725</v>
      </c>
      <c r="I13" s="638" t="s">
        <v>6725</v>
      </c>
      <c r="J13" s="638" t="s">
        <v>6725</v>
      </c>
      <c r="K13" s="638" t="s">
        <v>6725</v>
      </c>
    </row>
    <row r="14" spans="1:11">
      <c r="A14" s="637" t="s">
        <v>6726</v>
      </c>
      <c r="B14" s="638" t="s">
        <v>6727</v>
      </c>
      <c r="C14" s="638" t="s">
        <v>6728</v>
      </c>
      <c r="D14" s="638" t="s">
        <v>6729</v>
      </c>
      <c r="E14" s="638" t="s">
        <v>6730</v>
      </c>
      <c r="F14" s="638" t="s">
        <v>6731</v>
      </c>
      <c r="G14" s="638" t="s">
        <v>6732</v>
      </c>
      <c r="H14" s="638" t="s">
        <v>6733</v>
      </c>
      <c r="I14" s="638" t="s">
        <v>6734</v>
      </c>
      <c r="J14" s="638" t="s">
        <v>6735</v>
      </c>
      <c r="K14" s="638" t="s">
        <v>6736</v>
      </c>
    </row>
    <row r="15" spans="1:11">
      <c r="A15" s="637" t="s">
        <v>6737</v>
      </c>
      <c r="B15" s="638" t="s">
        <v>6738</v>
      </c>
      <c r="C15" s="638" t="s">
        <v>6739</v>
      </c>
      <c r="D15" s="638" t="s">
        <v>6740</v>
      </c>
      <c r="E15" s="638" t="s">
        <v>6741</v>
      </c>
      <c r="F15" s="638" t="s">
        <v>6742</v>
      </c>
      <c r="G15" s="638" t="s">
        <v>6743</v>
      </c>
      <c r="H15" s="638" t="s">
        <v>6744</v>
      </c>
      <c r="I15" s="638" t="s">
        <v>6745</v>
      </c>
      <c r="J15" s="638" t="s">
        <v>6746</v>
      </c>
      <c r="K15" s="638" t="s">
        <v>6747</v>
      </c>
    </row>
    <row r="16" spans="1:11">
      <c r="A16" s="637" t="s">
        <v>6748</v>
      </c>
      <c r="B16" s="638" t="s">
        <v>6749</v>
      </c>
      <c r="C16" s="638" t="s">
        <v>6749</v>
      </c>
      <c r="D16" s="638" t="s">
        <v>6749</v>
      </c>
      <c r="E16" s="638" t="s">
        <v>6749</v>
      </c>
      <c r="F16" s="638" t="s">
        <v>6749</v>
      </c>
      <c r="G16" s="638" t="s">
        <v>6749</v>
      </c>
      <c r="H16" s="638" t="s">
        <v>6749</v>
      </c>
      <c r="I16" s="638" t="s">
        <v>6749</v>
      </c>
      <c r="J16" s="638" t="s">
        <v>6749</v>
      </c>
      <c r="K16" s="638" t="s">
        <v>6749</v>
      </c>
    </row>
    <row r="17" spans="1:11">
      <c r="A17" s="637" t="s">
        <v>6750</v>
      </c>
      <c r="B17" s="638" t="s">
        <v>6751</v>
      </c>
      <c r="C17" s="638" t="s">
        <v>6751</v>
      </c>
      <c r="D17" s="638" t="s">
        <v>6751</v>
      </c>
      <c r="E17" s="638" t="s">
        <v>6751</v>
      </c>
      <c r="F17" s="638" t="s">
        <v>6751</v>
      </c>
      <c r="G17" s="638" t="s">
        <v>6751</v>
      </c>
      <c r="H17" s="638" t="s">
        <v>6751</v>
      </c>
      <c r="I17" s="638" t="s">
        <v>6751</v>
      </c>
      <c r="J17" s="638" t="s">
        <v>6751</v>
      </c>
      <c r="K17" s="638" t="s">
        <v>6751</v>
      </c>
    </row>
    <row r="18" spans="1:11">
      <c r="A18" s="637" t="s">
        <v>6752</v>
      </c>
      <c r="B18" s="638" t="s">
        <v>6753</v>
      </c>
      <c r="C18" s="638" t="s">
        <v>6753</v>
      </c>
      <c r="D18" s="638" t="s">
        <v>6753</v>
      </c>
      <c r="E18" s="638" t="s">
        <v>6753</v>
      </c>
      <c r="F18" s="638" t="s">
        <v>6753</v>
      </c>
      <c r="G18" s="638" t="s">
        <v>6753</v>
      </c>
      <c r="H18" s="638" t="s">
        <v>6753</v>
      </c>
      <c r="I18" s="638" t="s">
        <v>6753</v>
      </c>
      <c r="J18" s="638" t="s">
        <v>6753</v>
      </c>
      <c r="K18" s="638" t="s">
        <v>6753</v>
      </c>
    </row>
    <row r="19" spans="1:11">
      <c r="A19" s="637" t="s">
        <v>6754</v>
      </c>
      <c r="B19" s="638" t="s">
        <v>6755</v>
      </c>
      <c r="C19" s="638" t="s">
        <v>6756</v>
      </c>
      <c r="D19" s="638" t="s">
        <v>6756</v>
      </c>
      <c r="E19" s="638" t="s">
        <v>6756</v>
      </c>
      <c r="F19" s="638" t="s">
        <v>6756</v>
      </c>
      <c r="G19" s="638" t="s">
        <v>6756</v>
      </c>
      <c r="H19" s="638" t="s">
        <v>6756</v>
      </c>
      <c r="I19" s="638" t="s">
        <v>6756</v>
      </c>
      <c r="J19" s="638" t="s">
        <v>6756</v>
      </c>
      <c r="K19" s="638" t="s">
        <v>6756</v>
      </c>
    </row>
    <row r="20" spans="1:11">
      <c r="A20" s="637" t="s">
        <v>6757</v>
      </c>
      <c r="B20" s="638" t="s">
        <v>6758</v>
      </c>
      <c r="C20" s="638" t="s">
        <v>6758</v>
      </c>
      <c r="D20" s="638" t="s">
        <v>6758</v>
      </c>
      <c r="E20" s="638" t="s">
        <v>6758</v>
      </c>
      <c r="F20" s="638" t="s">
        <v>6759</v>
      </c>
      <c r="G20" s="638" t="s">
        <v>6759</v>
      </c>
      <c r="H20" s="638" t="s">
        <v>6758</v>
      </c>
      <c r="I20" s="638" t="s">
        <v>6758</v>
      </c>
      <c r="J20" s="638" t="s">
        <v>6758</v>
      </c>
      <c r="K20" s="638" t="s">
        <v>6758</v>
      </c>
    </row>
    <row r="21" spans="1:11">
      <c r="A21" s="637" t="s">
        <v>6760</v>
      </c>
      <c r="B21" s="638" t="s">
        <v>6761</v>
      </c>
      <c r="C21" s="638" t="s">
        <v>6761</v>
      </c>
      <c r="D21" s="638" t="s">
        <v>6761</v>
      </c>
      <c r="E21" s="638" t="s">
        <v>6761</v>
      </c>
      <c r="F21" s="638" t="s">
        <v>6761</v>
      </c>
      <c r="G21" s="638" t="s">
        <v>6761</v>
      </c>
      <c r="H21" s="638" t="s">
        <v>6761</v>
      </c>
      <c r="I21" s="638" t="s">
        <v>6761</v>
      </c>
      <c r="J21" s="638" t="s">
        <v>6761</v>
      </c>
      <c r="K21" s="638" t="s">
        <v>6761</v>
      </c>
    </row>
    <row r="22" spans="1:11">
      <c r="A22" s="639" t="s">
        <v>6762</v>
      </c>
      <c r="B22" s="639"/>
      <c r="C22" s="639"/>
      <c r="D22" s="639"/>
      <c r="E22" s="639"/>
      <c r="F22" s="639"/>
      <c r="G22" s="639"/>
      <c r="H22" s="639"/>
      <c r="I22" s="639"/>
      <c r="J22" s="639"/>
      <c r="K22" s="639"/>
    </row>
    <row r="23" spans="1:11">
      <c r="A23" s="640" t="s">
        <v>6763</v>
      </c>
      <c r="B23" s="641">
        <v>893.6</v>
      </c>
      <c r="C23" s="641">
        <v>933.4</v>
      </c>
      <c r="D23" s="641">
        <v>928.3</v>
      </c>
      <c r="E23" s="641">
        <v>762.2</v>
      </c>
      <c r="F23" s="641">
        <v>546.5</v>
      </c>
      <c r="G23" s="641">
        <v>398</v>
      </c>
      <c r="H23" s="641">
        <v>246.4</v>
      </c>
      <c r="I23" s="641">
        <v>148.6</v>
      </c>
      <c r="J23" s="641">
        <v>123.4</v>
      </c>
      <c r="K23" s="641">
        <v>105.3</v>
      </c>
    </row>
    <row r="24" spans="1:11">
      <c r="A24" s="642" t="s">
        <v>6764</v>
      </c>
      <c r="B24" s="643">
        <v>882.3</v>
      </c>
      <c r="C24" s="643">
        <v>932.7</v>
      </c>
      <c r="D24" s="643">
        <v>923.5</v>
      </c>
      <c r="E24" s="643">
        <v>759.1</v>
      </c>
      <c r="F24" s="643" t="s">
        <v>6765</v>
      </c>
      <c r="G24" s="643" t="s">
        <v>6765</v>
      </c>
      <c r="H24" s="643">
        <v>1.2</v>
      </c>
      <c r="I24" s="643">
        <v>1</v>
      </c>
      <c r="J24" s="643">
        <v>0.9</v>
      </c>
      <c r="K24" s="643" t="s">
        <v>6765</v>
      </c>
    </row>
    <row r="25" spans="1:11">
      <c r="A25" s="642" t="s">
        <v>6766</v>
      </c>
      <c r="B25" s="643" t="s">
        <v>6765</v>
      </c>
      <c r="C25" s="643" t="s">
        <v>6765</v>
      </c>
      <c r="D25" s="643" t="s">
        <v>6765</v>
      </c>
      <c r="E25" s="643" t="s">
        <v>6765</v>
      </c>
      <c r="F25" s="643">
        <v>546.29999999999995</v>
      </c>
      <c r="G25" s="643">
        <v>394.1</v>
      </c>
      <c r="H25" s="643">
        <v>242.2</v>
      </c>
      <c r="I25" s="643">
        <v>147.6</v>
      </c>
      <c r="J25" s="643">
        <v>122.5</v>
      </c>
      <c r="K25" s="643">
        <v>105.3</v>
      </c>
    </row>
    <row r="26" spans="1:11">
      <c r="A26" s="642" t="s">
        <v>6767</v>
      </c>
      <c r="B26" s="643">
        <v>11.4</v>
      </c>
      <c r="C26" s="643">
        <v>0.7</v>
      </c>
      <c r="D26" s="643">
        <v>4.8</v>
      </c>
      <c r="E26" s="643">
        <v>3.1</v>
      </c>
      <c r="F26" s="643">
        <v>0.3</v>
      </c>
      <c r="G26" s="643">
        <v>3.9</v>
      </c>
      <c r="H26" s="643">
        <v>3</v>
      </c>
      <c r="I26" s="643" t="s">
        <v>6765</v>
      </c>
      <c r="J26" s="643" t="s">
        <v>6765</v>
      </c>
      <c r="K26" s="643" t="s">
        <v>6765</v>
      </c>
    </row>
    <row r="27" spans="1:11">
      <c r="A27" s="640" t="s">
        <v>6768</v>
      </c>
      <c r="B27" s="641">
        <v>296.60000000000002</v>
      </c>
      <c r="C27" s="641">
        <v>234.3</v>
      </c>
      <c r="D27" s="641">
        <v>174.1</v>
      </c>
      <c r="E27" s="641">
        <v>167.9</v>
      </c>
      <c r="F27" s="641">
        <v>155</v>
      </c>
      <c r="G27" s="641">
        <v>120.7</v>
      </c>
      <c r="H27" s="641">
        <v>104.9</v>
      </c>
      <c r="I27" s="641">
        <v>89.8</v>
      </c>
      <c r="J27" s="641">
        <v>86.6</v>
      </c>
      <c r="K27" s="641">
        <v>76.5</v>
      </c>
    </row>
    <row r="28" spans="1:11">
      <c r="A28" s="642" t="s">
        <v>6769</v>
      </c>
      <c r="B28" s="643">
        <v>311.7</v>
      </c>
      <c r="C28" s="643">
        <v>243.7</v>
      </c>
      <c r="D28" s="643">
        <v>184.8</v>
      </c>
      <c r="E28" s="643">
        <v>177.4</v>
      </c>
      <c r="F28" s="643">
        <v>163.30000000000001</v>
      </c>
      <c r="G28" s="643">
        <v>127.6</v>
      </c>
      <c r="H28" s="643">
        <v>110.3</v>
      </c>
      <c r="I28" s="643">
        <v>95.7</v>
      </c>
      <c r="J28" s="643">
        <v>90.7</v>
      </c>
      <c r="K28" s="643">
        <v>81.900000000000006</v>
      </c>
    </row>
    <row r="29" spans="1:11">
      <c r="A29" s="642" t="s">
        <v>6770</v>
      </c>
      <c r="B29" s="643">
        <v>-15.1</v>
      </c>
      <c r="C29" s="643">
        <v>-9.5</v>
      </c>
      <c r="D29" s="643">
        <v>-10.7</v>
      </c>
      <c r="E29" s="643">
        <v>-9.5</v>
      </c>
      <c r="F29" s="643">
        <v>-8.3000000000000007</v>
      </c>
      <c r="G29" s="643">
        <v>-6.9</v>
      </c>
      <c r="H29" s="643">
        <v>-5.4</v>
      </c>
      <c r="I29" s="643">
        <v>-5.9</v>
      </c>
      <c r="J29" s="643">
        <v>-4.0999999999999996</v>
      </c>
      <c r="K29" s="643">
        <v>-5.4</v>
      </c>
    </row>
    <row r="30" spans="1:11">
      <c r="A30" s="640" t="s">
        <v>6771</v>
      </c>
      <c r="B30" s="641">
        <v>333.7</v>
      </c>
      <c r="C30" s="641">
        <v>254.9</v>
      </c>
      <c r="D30" s="641">
        <v>190</v>
      </c>
      <c r="E30" s="641">
        <v>184.7</v>
      </c>
      <c r="F30" s="641">
        <v>175.5</v>
      </c>
      <c r="G30" s="641">
        <v>173.1</v>
      </c>
      <c r="H30" s="641">
        <v>118.2</v>
      </c>
      <c r="I30" s="641">
        <v>108.3</v>
      </c>
      <c r="J30" s="641">
        <v>115.4</v>
      </c>
      <c r="K30" s="641">
        <v>125</v>
      </c>
    </row>
    <row r="31" spans="1:11">
      <c r="A31" s="642" t="s">
        <v>6772</v>
      </c>
      <c r="B31" s="643">
        <v>37.200000000000003</v>
      </c>
      <c r="C31" s="643">
        <v>20.6</v>
      </c>
      <c r="D31" s="643">
        <v>15.9</v>
      </c>
      <c r="E31" s="643">
        <v>16.8</v>
      </c>
      <c r="F31" s="643">
        <v>20.5</v>
      </c>
      <c r="G31" s="643">
        <v>52.4</v>
      </c>
      <c r="H31" s="643">
        <v>13.3</v>
      </c>
      <c r="I31" s="643">
        <v>18.5</v>
      </c>
      <c r="J31" s="643">
        <v>28.8</v>
      </c>
      <c r="K31" s="643">
        <v>48.5</v>
      </c>
    </row>
    <row r="32" spans="1:11">
      <c r="A32" s="640" t="s">
        <v>6773</v>
      </c>
      <c r="B32" s="641">
        <v>377.5</v>
      </c>
      <c r="C32" s="641">
        <v>263.5</v>
      </c>
      <c r="D32" s="641">
        <v>202.8</v>
      </c>
      <c r="E32" s="641">
        <v>208.9</v>
      </c>
      <c r="F32" s="641">
        <v>173.1</v>
      </c>
      <c r="G32" s="641">
        <v>136.19999999999999</v>
      </c>
      <c r="H32" s="641">
        <v>135.80000000000001</v>
      </c>
      <c r="I32" s="641">
        <v>134.1</v>
      </c>
      <c r="J32" s="641">
        <v>122.8</v>
      </c>
      <c r="K32" s="641">
        <v>77.2</v>
      </c>
    </row>
    <row r="33" spans="1:11">
      <c r="A33" s="642" t="s">
        <v>6774</v>
      </c>
      <c r="B33" s="643">
        <v>424.1</v>
      </c>
      <c r="C33" s="643">
        <v>342.1</v>
      </c>
      <c r="D33" s="643">
        <v>284.39999999999998</v>
      </c>
      <c r="E33" s="643">
        <v>239.8</v>
      </c>
      <c r="F33" s="643">
        <v>178.5</v>
      </c>
      <c r="G33" s="643">
        <v>150.30000000000001</v>
      </c>
      <c r="H33" s="643">
        <v>145.5</v>
      </c>
      <c r="I33" s="643">
        <v>130.69999999999999</v>
      </c>
      <c r="J33" s="643">
        <v>113.9</v>
      </c>
      <c r="K33" s="643">
        <v>66.8</v>
      </c>
    </row>
    <row r="34" spans="1:11">
      <c r="A34" s="642" t="s">
        <v>6775</v>
      </c>
      <c r="B34" s="643">
        <v>60.7</v>
      </c>
      <c r="C34" s="643">
        <v>52.3</v>
      </c>
      <c r="D34" s="643">
        <v>14.2</v>
      </c>
      <c r="E34" s="643">
        <v>26.1</v>
      </c>
      <c r="F34" s="643">
        <v>32.9</v>
      </c>
      <c r="G34" s="643">
        <v>21.3</v>
      </c>
      <c r="H34" s="643">
        <v>12.2</v>
      </c>
      <c r="I34" s="643">
        <v>9.1999999999999993</v>
      </c>
      <c r="J34" s="643">
        <v>7.6</v>
      </c>
      <c r="K34" s="643">
        <v>10</v>
      </c>
    </row>
    <row r="35" spans="1:11">
      <c r="A35" s="642" t="s">
        <v>6776</v>
      </c>
      <c r="B35" s="643">
        <v>134.5</v>
      </c>
      <c r="C35" s="643">
        <v>98.7</v>
      </c>
      <c r="D35" s="643">
        <v>88.3</v>
      </c>
      <c r="E35" s="643">
        <v>82.2</v>
      </c>
      <c r="F35" s="643">
        <v>65.400000000000006</v>
      </c>
      <c r="G35" s="643">
        <v>48.7</v>
      </c>
      <c r="H35" s="643">
        <v>54.2</v>
      </c>
      <c r="I35" s="643">
        <v>49.9</v>
      </c>
      <c r="J35" s="643">
        <v>40.9</v>
      </c>
      <c r="K35" s="643">
        <v>28.6</v>
      </c>
    </row>
    <row r="36" spans="1:11">
      <c r="A36" s="642" t="s">
        <v>6777</v>
      </c>
      <c r="B36" s="643">
        <v>-241.8</v>
      </c>
      <c r="C36" s="643">
        <v>-229.7</v>
      </c>
      <c r="D36" s="643">
        <v>-184.1</v>
      </c>
      <c r="E36" s="643">
        <v>-139.19999999999999</v>
      </c>
      <c r="F36" s="643">
        <v>-103.6</v>
      </c>
      <c r="G36" s="643">
        <v>-84.1</v>
      </c>
      <c r="H36" s="643">
        <v>-76</v>
      </c>
      <c r="I36" s="643">
        <v>-55.8</v>
      </c>
      <c r="J36" s="643">
        <v>-39.6</v>
      </c>
      <c r="K36" s="643">
        <v>-28.1</v>
      </c>
    </row>
    <row r="37" spans="1:11">
      <c r="A37" s="644" t="s">
        <v>6778</v>
      </c>
      <c r="B37" s="645">
        <v>16.100000000000001</v>
      </c>
      <c r="C37" s="645">
        <v>12.1</v>
      </c>
      <c r="D37" s="645">
        <v>10.3</v>
      </c>
      <c r="E37" s="645">
        <v>8.5</v>
      </c>
      <c r="F37" s="645">
        <v>7.2</v>
      </c>
      <c r="G37" s="645">
        <v>5.3</v>
      </c>
      <c r="H37" s="645">
        <v>5.6</v>
      </c>
      <c r="I37" s="645">
        <v>6.7</v>
      </c>
      <c r="J37" s="645">
        <v>10.7</v>
      </c>
      <c r="K37" s="645">
        <v>14.8</v>
      </c>
    </row>
    <row r="38" spans="1:11">
      <c r="A38" s="644" t="s">
        <v>6779</v>
      </c>
      <c r="B38" s="645">
        <v>1621</v>
      </c>
      <c r="C38" s="645">
        <v>1464</v>
      </c>
      <c r="D38" s="645">
        <v>1331.4</v>
      </c>
      <c r="E38" s="645">
        <v>1164.3</v>
      </c>
      <c r="F38" s="645">
        <v>902.4</v>
      </c>
      <c r="G38" s="645">
        <v>712.6</v>
      </c>
      <c r="H38" s="645">
        <v>506</v>
      </c>
      <c r="I38" s="645">
        <v>397.6</v>
      </c>
      <c r="J38" s="645">
        <v>372.3</v>
      </c>
      <c r="K38" s="645">
        <v>322.3</v>
      </c>
    </row>
    <row r="39" spans="1:11">
      <c r="A39" s="646"/>
      <c r="B39" s="646"/>
      <c r="C39" s="646"/>
      <c r="D39" s="646"/>
      <c r="E39" s="646"/>
      <c r="F39" s="646"/>
      <c r="G39" s="646"/>
      <c r="H39" s="646"/>
      <c r="I39" s="646"/>
      <c r="J39" s="646"/>
      <c r="K39" s="646"/>
    </row>
    <row r="40" spans="1:11">
      <c r="A40" s="640" t="s">
        <v>6780</v>
      </c>
      <c r="B40" s="641">
        <v>2000.3</v>
      </c>
      <c r="C40" s="641">
        <v>1626.9</v>
      </c>
      <c r="D40" s="641">
        <v>1269.2</v>
      </c>
      <c r="E40" s="641">
        <v>1134.7</v>
      </c>
      <c r="F40" s="641">
        <v>353.4</v>
      </c>
      <c r="G40" s="641">
        <v>275.39999999999998</v>
      </c>
      <c r="H40" s="641">
        <v>244.5</v>
      </c>
      <c r="I40" s="641">
        <v>198.3</v>
      </c>
      <c r="J40" s="641">
        <v>145.30000000000001</v>
      </c>
      <c r="K40" s="641">
        <v>106.5</v>
      </c>
    </row>
    <row r="41" spans="1:11">
      <c r="A41" s="642" t="s">
        <v>6781</v>
      </c>
      <c r="B41" s="643">
        <v>386.4</v>
      </c>
      <c r="C41" s="643">
        <v>333.1</v>
      </c>
      <c r="D41" s="643">
        <v>263.2</v>
      </c>
      <c r="E41" s="643">
        <v>246.7</v>
      </c>
      <c r="F41" s="643">
        <v>187.3</v>
      </c>
      <c r="G41" s="643">
        <v>154.6</v>
      </c>
      <c r="H41" s="643">
        <v>135.5</v>
      </c>
      <c r="I41" s="643">
        <v>101.6</v>
      </c>
      <c r="J41" s="643">
        <v>74</v>
      </c>
      <c r="K41" s="643">
        <v>50.4</v>
      </c>
    </row>
    <row r="42" spans="1:11">
      <c r="A42" s="642" t="s">
        <v>6782</v>
      </c>
      <c r="B42" s="643">
        <v>1296.5</v>
      </c>
      <c r="C42" s="643">
        <v>1024.9000000000001</v>
      </c>
      <c r="D42" s="643">
        <v>790.9</v>
      </c>
      <c r="E42" s="643">
        <v>699.7</v>
      </c>
      <c r="F42" s="643">
        <v>6.3</v>
      </c>
      <c r="G42" s="643">
        <v>2.9</v>
      </c>
      <c r="H42" s="643">
        <v>2.6</v>
      </c>
      <c r="I42" s="643">
        <v>5.9</v>
      </c>
      <c r="J42" s="643">
        <v>3.4</v>
      </c>
      <c r="K42" s="643">
        <v>3.4</v>
      </c>
    </row>
    <row r="43" spans="1:11">
      <c r="A43" s="642" t="s">
        <v>6783</v>
      </c>
      <c r="B43" s="643">
        <v>220.4</v>
      </c>
      <c r="C43" s="643">
        <v>202.2</v>
      </c>
      <c r="D43" s="643">
        <v>160.5</v>
      </c>
      <c r="E43" s="643">
        <v>142</v>
      </c>
      <c r="F43" s="643">
        <v>122.5</v>
      </c>
      <c r="G43" s="643">
        <v>96.3</v>
      </c>
      <c r="H43" s="643">
        <v>88.3</v>
      </c>
      <c r="I43" s="643">
        <v>70.3</v>
      </c>
      <c r="J43" s="643">
        <v>54.6</v>
      </c>
      <c r="K43" s="643">
        <v>41.9</v>
      </c>
    </row>
    <row r="44" spans="1:11">
      <c r="A44" s="642" t="s">
        <v>6784</v>
      </c>
      <c r="B44" s="643">
        <v>53.3</v>
      </c>
      <c r="C44" s="643">
        <v>29.4</v>
      </c>
      <c r="D44" s="643">
        <v>23.6</v>
      </c>
      <c r="E44" s="643">
        <v>19.7</v>
      </c>
      <c r="F44" s="643">
        <v>18.5</v>
      </c>
      <c r="G44" s="643">
        <v>6.8</v>
      </c>
      <c r="H44" s="643">
        <v>3.3</v>
      </c>
      <c r="I44" s="643">
        <v>8.1</v>
      </c>
      <c r="J44" s="643">
        <v>2.4</v>
      </c>
      <c r="K44" s="643">
        <v>2.1</v>
      </c>
    </row>
    <row r="45" spans="1:11">
      <c r="A45" s="642" t="s">
        <v>6785</v>
      </c>
      <c r="B45" s="643">
        <v>43.7</v>
      </c>
      <c r="C45" s="643">
        <v>37.200000000000003</v>
      </c>
      <c r="D45" s="643">
        <v>31.1</v>
      </c>
      <c r="E45" s="643">
        <v>26.5</v>
      </c>
      <c r="F45" s="643">
        <v>18.7</v>
      </c>
      <c r="G45" s="643">
        <v>14.8</v>
      </c>
      <c r="H45" s="643">
        <v>14.8</v>
      </c>
      <c r="I45" s="643">
        <v>12.3</v>
      </c>
      <c r="J45" s="643">
        <v>10.9</v>
      </c>
      <c r="K45" s="643">
        <v>8.6999999999999993</v>
      </c>
    </row>
    <row r="46" spans="1:11">
      <c r="A46" s="640" t="s">
        <v>6786</v>
      </c>
      <c r="B46" s="641">
        <v>1074.5</v>
      </c>
      <c r="C46" s="641">
        <v>913.3</v>
      </c>
      <c r="D46" s="641">
        <v>803</v>
      </c>
      <c r="E46" s="641">
        <v>806.5</v>
      </c>
      <c r="F46" s="641">
        <v>177</v>
      </c>
      <c r="G46" s="641">
        <v>138.1</v>
      </c>
      <c r="H46" s="641">
        <v>123.9</v>
      </c>
      <c r="I46" s="641">
        <v>102.2</v>
      </c>
      <c r="J46" s="641">
        <v>77.3</v>
      </c>
      <c r="K46" s="641">
        <v>58.2</v>
      </c>
    </row>
    <row r="47" spans="1:11">
      <c r="A47" s="642" t="s">
        <v>6787</v>
      </c>
      <c r="B47" s="643">
        <v>-925.8</v>
      </c>
      <c r="C47" s="643">
        <v>-713.6</v>
      </c>
      <c r="D47" s="643">
        <v>-466.2</v>
      </c>
      <c r="E47" s="643">
        <v>-328.1</v>
      </c>
      <c r="F47" s="643">
        <v>-176.4</v>
      </c>
      <c r="G47" s="643">
        <v>-137.30000000000001</v>
      </c>
      <c r="H47" s="643">
        <v>-120.5</v>
      </c>
      <c r="I47" s="643">
        <v>-96</v>
      </c>
      <c r="J47" s="643">
        <v>-68</v>
      </c>
      <c r="K47" s="643">
        <v>-48.3</v>
      </c>
    </row>
    <row r="48" spans="1:11">
      <c r="A48" s="640" t="s">
        <v>6788</v>
      </c>
      <c r="B48" s="641">
        <v>603.4</v>
      </c>
      <c r="C48" s="641">
        <v>603.4</v>
      </c>
      <c r="D48" s="641">
        <v>155.6</v>
      </c>
      <c r="E48" s="641">
        <v>155.6</v>
      </c>
      <c r="F48" s="641">
        <v>155.6</v>
      </c>
      <c r="G48" s="641">
        <v>155.6</v>
      </c>
      <c r="H48" s="641">
        <v>155.6</v>
      </c>
      <c r="I48" s="641">
        <v>155.6</v>
      </c>
      <c r="J48" s="641">
        <v>155.6</v>
      </c>
      <c r="K48" s="641">
        <v>155.6</v>
      </c>
    </row>
    <row r="49" spans="1:11">
      <c r="A49" s="642" t="s">
        <v>6789</v>
      </c>
      <c r="B49" s="643">
        <v>603.4</v>
      </c>
      <c r="C49" s="643">
        <v>603.4</v>
      </c>
      <c r="D49" s="643">
        <v>155.6</v>
      </c>
      <c r="E49" s="643">
        <v>155.6</v>
      </c>
      <c r="F49" s="643">
        <v>155.6</v>
      </c>
      <c r="G49" s="643">
        <v>155.6</v>
      </c>
      <c r="H49" s="643">
        <v>155.6</v>
      </c>
      <c r="I49" s="643">
        <v>155.6</v>
      </c>
      <c r="J49" s="643">
        <v>155.6</v>
      </c>
      <c r="K49" s="643" t="s">
        <v>6765</v>
      </c>
    </row>
    <row r="50" spans="1:11">
      <c r="A50" s="642" t="s">
        <v>6790</v>
      </c>
      <c r="B50" s="643">
        <v>0</v>
      </c>
      <c r="C50" s="643">
        <v>0</v>
      </c>
      <c r="D50" s="643">
        <v>0</v>
      </c>
      <c r="E50" s="643">
        <v>0</v>
      </c>
      <c r="F50" s="643">
        <v>0</v>
      </c>
      <c r="G50" s="643">
        <v>0</v>
      </c>
      <c r="H50" s="643">
        <v>0</v>
      </c>
      <c r="I50" s="643">
        <v>0</v>
      </c>
      <c r="J50" s="643">
        <v>0</v>
      </c>
      <c r="K50" s="643" t="s">
        <v>6765</v>
      </c>
    </row>
    <row r="51" spans="1:11">
      <c r="A51" s="640" t="s">
        <v>6791</v>
      </c>
      <c r="B51" s="641">
        <v>1086.7</v>
      </c>
      <c r="C51" s="641">
        <v>1070.0999999999999</v>
      </c>
      <c r="D51" s="641">
        <v>282.3</v>
      </c>
      <c r="E51" s="641">
        <v>279.39999999999998</v>
      </c>
      <c r="F51" s="641">
        <v>268.8</v>
      </c>
      <c r="G51" s="641">
        <v>270.7</v>
      </c>
      <c r="H51" s="641">
        <v>266.89999999999998</v>
      </c>
      <c r="I51" s="641">
        <v>268</v>
      </c>
      <c r="J51" s="641">
        <v>258.8</v>
      </c>
      <c r="K51" s="641">
        <v>252.7</v>
      </c>
    </row>
    <row r="52" spans="1:11">
      <c r="A52" s="642" t="s">
        <v>6792</v>
      </c>
      <c r="B52" s="643">
        <v>1254.2</v>
      </c>
      <c r="C52" s="643">
        <v>1212.0999999999999</v>
      </c>
      <c r="D52" s="643">
        <v>373.6</v>
      </c>
      <c r="E52" s="643">
        <v>355.7</v>
      </c>
      <c r="F52" s="643">
        <v>331.1</v>
      </c>
      <c r="G52" s="643">
        <v>321.89999999999998</v>
      </c>
      <c r="H52" s="643">
        <v>309.60000000000002</v>
      </c>
      <c r="I52" s="643">
        <v>302.2</v>
      </c>
      <c r="J52" s="643">
        <v>285</v>
      </c>
      <c r="K52" s="643">
        <v>273.10000000000002</v>
      </c>
    </row>
    <row r="53" spans="1:11">
      <c r="A53" s="642" t="s">
        <v>6793</v>
      </c>
      <c r="B53" s="643">
        <v>-167.5</v>
      </c>
      <c r="C53" s="643">
        <v>-142</v>
      </c>
      <c r="D53" s="643">
        <v>-91.3</v>
      </c>
      <c r="E53" s="643">
        <v>-76.3</v>
      </c>
      <c r="F53" s="643">
        <v>-62.3</v>
      </c>
      <c r="G53" s="643">
        <v>-51.2</v>
      </c>
      <c r="H53" s="643">
        <v>-42.7</v>
      </c>
      <c r="I53" s="643">
        <v>-34.200000000000003</v>
      </c>
      <c r="J53" s="643">
        <v>-26.2</v>
      </c>
      <c r="K53" s="643">
        <v>-20.3</v>
      </c>
    </row>
    <row r="54" spans="1:11">
      <c r="A54" s="640" t="s">
        <v>6794</v>
      </c>
      <c r="B54" s="641">
        <v>45.6</v>
      </c>
      <c r="C54" s="641">
        <v>0.8</v>
      </c>
      <c r="D54" s="641" t="s">
        <v>6765</v>
      </c>
      <c r="E54" s="641" t="s">
        <v>6765</v>
      </c>
      <c r="F54" s="641" t="s">
        <v>6765</v>
      </c>
      <c r="G54" s="641" t="s">
        <v>6765</v>
      </c>
      <c r="H54" s="641" t="s">
        <v>6765</v>
      </c>
      <c r="I54" s="641" t="s">
        <v>6765</v>
      </c>
      <c r="J54" s="641" t="s">
        <v>6765</v>
      </c>
      <c r="K54" s="641" t="s">
        <v>6765</v>
      </c>
    </row>
    <row r="55" spans="1:11">
      <c r="A55" s="642" t="s">
        <v>6795</v>
      </c>
      <c r="B55" s="643">
        <v>0.9</v>
      </c>
      <c r="C55" s="643">
        <v>0.8</v>
      </c>
      <c r="D55" s="643" t="s">
        <v>6765</v>
      </c>
      <c r="E55" s="643" t="s">
        <v>6765</v>
      </c>
      <c r="F55" s="643" t="s">
        <v>6765</v>
      </c>
      <c r="G55" s="643" t="s">
        <v>6765</v>
      </c>
      <c r="H55" s="643" t="s">
        <v>6765</v>
      </c>
      <c r="I55" s="643" t="s">
        <v>6765</v>
      </c>
      <c r="J55" s="643" t="s">
        <v>6765</v>
      </c>
      <c r="K55" s="643" t="s">
        <v>6765</v>
      </c>
    </row>
    <row r="56" spans="1:11">
      <c r="A56" s="642" t="s">
        <v>6796</v>
      </c>
      <c r="B56" s="643">
        <v>44.6</v>
      </c>
      <c r="C56" s="643" t="s">
        <v>6765</v>
      </c>
      <c r="D56" s="643" t="s">
        <v>6765</v>
      </c>
      <c r="E56" s="643" t="s">
        <v>6765</v>
      </c>
      <c r="F56" s="643" t="s">
        <v>6765</v>
      </c>
      <c r="G56" s="643" t="s">
        <v>6765</v>
      </c>
      <c r="H56" s="643" t="s">
        <v>6765</v>
      </c>
      <c r="I56" s="643" t="s">
        <v>6765</v>
      </c>
      <c r="J56" s="643" t="s">
        <v>6765</v>
      </c>
      <c r="K56" s="643" t="s">
        <v>6765</v>
      </c>
    </row>
    <row r="57" spans="1:11">
      <c r="A57" s="644" t="s">
        <v>6797</v>
      </c>
      <c r="B57" s="645">
        <v>2.1</v>
      </c>
      <c r="C57" s="645">
        <v>25</v>
      </c>
      <c r="D57" s="645">
        <v>23.2</v>
      </c>
      <c r="E57" s="645">
        <v>21.9</v>
      </c>
      <c r="F57" s="645">
        <v>0.5</v>
      </c>
      <c r="G57" s="645">
        <v>0.4</v>
      </c>
      <c r="H57" s="645">
        <v>0.4</v>
      </c>
      <c r="I57" s="645">
        <v>0.4</v>
      </c>
      <c r="J57" s="645">
        <v>3.5</v>
      </c>
      <c r="K57" s="645" t="s">
        <v>6765</v>
      </c>
    </row>
    <row r="58" spans="1:11">
      <c r="A58" s="640" t="s">
        <v>6798</v>
      </c>
      <c r="B58" s="641">
        <v>206</v>
      </c>
      <c r="C58" s="641">
        <v>191.4</v>
      </c>
      <c r="D58" s="641">
        <v>161.1</v>
      </c>
      <c r="E58" s="641">
        <v>137.69999999999999</v>
      </c>
      <c r="F58" s="641">
        <v>121.3</v>
      </c>
      <c r="G58" s="641">
        <v>102.6</v>
      </c>
      <c r="H58" s="641">
        <v>99</v>
      </c>
      <c r="I58" s="641">
        <v>88.3</v>
      </c>
      <c r="J58" s="641">
        <v>59.7</v>
      </c>
      <c r="K58" s="641">
        <v>36.799999999999997</v>
      </c>
    </row>
    <row r="59" spans="1:11">
      <c r="A59" s="642" t="s">
        <v>6799</v>
      </c>
      <c r="B59" s="643">
        <v>0.1</v>
      </c>
      <c r="C59" s="643">
        <v>12.1</v>
      </c>
      <c r="D59" s="643">
        <v>10.3</v>
      </c>
      <c r="E59" s="643">
        <v>8.5</v>
      </c>
      <c r="F59" s="643">
        <v>1.8</v>
      </c>
      <c r="G59" s="643">
        <v>1.4</v>
      </c>
      <c r="H59" s="643">
        <v>1.8</v>
      </c>
      <c r="I59" s="643">
        <v>2</v>
      </c>
      <c r="J59" s="643">
        <v>2.2999999999999998</v>
      </c>
      <c r="K59" s="643" t="s">
        <v>6765</v>
      </c>
    </row>
    <row r="60" spans="1:11">
      <c r="A60" s="642" t="s">
        <v>6800</v>
      </c>
      <c r="B60" s="643">
        <v>205.9</v>
      </c>
      <c r="C60" s="643">
        <v>179.3</v>
      </c>
      <c r="D60" s="643">
        <v>150.80000000000001</v>
      </c>
      <c r="E60" s="643">
        <v>129.1</v>
      </c>
      <c r="F60" s="643">
        <v>91.9</v>
      </c>
      <c r="G60" s="643">
        <v>79</v>
      </c>
      <c r="H60" s="643">
        <v>74.7</v>
      </c>
      <c r="I60" s="643">
        <v>66</v>
      </c>
      <c r="J60" s="643">
        <v>46</v>
      </c>
      <c r="K60" s="643">
        <v>25.1</v>
      </c>
    </row>
    <row r="61" spans="1:11">
      <c r="A61" s="642" t="s">
        <v>6801</v>
      </c>
      <c r="B61" s="643" t="s">
        <v>6765</v>
      </c>
      <c r="C61" s="643" t="s">
        <v>6765</v>
      </c>
      <c r="D61" s="643" t="s">
        <v>6765</v>
      </c>
      <c r="E61" s="643" t="s">
        <v>6765</v>
      </c>
      <c r="F61" s="643">
        <v>27.7</v>
      </c>
      <c r="G61" s="643">
        <v>22.2</v>
      </c>
      <c r="H61" s="643">
        <v>22.5</v>
      </c>
      <c r="I61" s="643">
        <v>20.3</v>
      </c>
      <c r="J61" s="643">
        <v>11.4</v>
      </c>
      <c r="K61" s="643">
        <v>11.7</v>
      </c>
    </row>
    <row r="62" spans="1:11">
      <c r="A62" s="644" t="s">
        <v>47</v>
      </c>
      <c r="B62" s="645">
        <v>4639.3</v>
      </c>
      <c r="C62" s="645">
        <v>4268</v>
      </c>
      <c r="D62" s="645">
        <v>2756.6</v>
      </c>
      <c r="E62" s="645">
        <v>2565.4</v>
      </c>
      <c r="F62" s="645">
        <v>1625.6</v>
      </c>
      <c r="G62" s="645">
        <v>1380</v>
      </c>
      <c r="H62" s="645">
        <v>1151.8</v>
      </c>
      <c r="I62" s="645">
        <v>1012.1</v>
      </c>
      <c r="J62" s="645">
        <v>927.1</v>
      </c>
      <c r="K62" s="645">
        <v>825.6</v>
      </c>
    </row>
    <row r="63" spans="1:11">
      <c r="A63" s="646"/>
      <c r="B63" s="646"/>
      <c r="C63" s="646"/>
      <c r="D63" s="646"/>
      <c r="E63" s="646"/>
      <c r="F63" s="646"/>
      <c r="G63" s="646"/>
      <c r="H63" s="646"/>
      <c r="I63" s="646"/>
      <c r="J63" s="646"/>
      <c r="K63" s="646"/>
    </row>
    <row r="64" spans="1:11">
      <c r="A64" s="639" t="s">
        <v>6802</v>
      </c>
      <c r="B64" s="639"/>
      <c r="C64" s="639"/>
      <c r="D64" s="639"/>
      <c r="E64" s="639"/>
      <c r="F64" s="639"/>
      <c r="G64" s="639"/>
      <c r="H64" s="639"/>
      <c r="I64" s="639"/>
      <c r="J64" s="639"/>
      <c r="K64" s="639"/>
    </row>
    <row r="65" spans="1:11">
      <c r="A65" s="644" t="s">
        <v>6803</v>
      </c>
      <c r="B65" s="645">
        <v>482.4</v>
      </c>
      <c r="C65" s="645">
        <v>349</v>
      </c>
      <c r="D65" s="645">
        <v>211.9</v>
      </c>
      <c r="E65" s="645">
        <v>248.6</v>
      </c>
      <c r="F65" s="645">
        <v>225</v>
      </c>
      <c r="G65" s="645">
        <v>167.2</v>
      </c>
      <c r="H65" s="645">
        <v>132.6</v>
      </c>
      <c r="I65" s="645">
        <v>113</v>
      </c>
      <c r="J65" s="645">
        <v>112.3</v>
      </c>
      <c r="K65" s="645">
        <v>107.1</v>
      </c>
    </row>
    <row r="66" spans="1:11">
      <c r="A66" s="644" t="s">
        <v>6804</v>
      </c>
      <c r="B66" s="645">
        <v>214.9</v>
      </c>
      <c r="C66" s="645">
        <v>184.2</v>
      </c>
      <c r="D66" s="645">
        <v>125.2</v>
      </c>
      <c r="E66" s="645">
        <v>138.4</v>
      </c>
      <c r="F66" s="645">
        <v>99.5</v>
      </c>
      <c r="G66" s="645">
        <v>74.3</v>
      </c>
      <c r="H66" s="645">
        <v>51</v>
      </c>
      <c r="I66" s="645">
        <v>53.2</v>
      </c>
      <c r="J66" s="645">
        <v>57</v>
      </c>
      <c r="K66" s="645">
        <v>30.5</v>
      </c>
    </row>
    <row r="67" spans="1:11">
      <c r="A67" s="644" t="s">
        <v>6805</v>
      </c>
      <c r="B67" s="645">
        <v>23.4</v>
      </c>
      <c r="C67" s="645">
        <v>21.8</v>
      </c>
      <c r="D67" s="645">
        <v>47.6</v>
      </c>
      <c r="E67" s="645">
        <v>21.3</v>
      </c>
      <c r="F67" s="645">
        <v>15.6</v>
      </c>
      <c r="G67" s="645">
        <v>23.1</v>
      </c>
      <c r="H67" s="645">
        <v>2.7</v>
      </c>
      <c r="I67" s="645">
        <v>2.9</v>
      </c>
      <c r="J67" s="645">
        <v>37.4</v>
      </c>
      <c r="K67" s="645">
        <v>62.2</v>
      </c>
    </row>
    <row r="68" spans="1:11">
      <c r="A68" s="644" t="s">
        <v>6806</v>
      </c>
      <c r="B68" s="645">
        <v>170.6</v>
      </c>
      <c r="C68" s="645">
        <v>267.39999999999998</v>
      </c>
      <c r="D68" s="645">
        <v>102.8</v>
      </c>
      <c r="E68" s="645">
        <v>105.5</v>
      </c>
      <c r="F68" s="645">
        <v>0</v>
      </c>
      <c r="G68" s="645">
        <v>2.1</v>
      </c>
      <c r="H68" s="645">
        <v>62.1</v>
      </c>
      <c r="I68" s="645">
        <v>68.3</v>
      </c>
      <c r="J68" s="645">
        <v>42.9</v>
      </c>
      <c r="K68" s="645">
        <v>54.1</v>
      </c>
    </row>
    <row r="69" spans="1:11">
      <c r="A69" s="640" t="s">
        <v>6807</v>
      </c>
      <c r="B69" s="641">
        <v>72.3</v>
      </c>
      <c r="C69" s="641">
        <v>72.3</v>
      </c>
      <c r="D69" s="641">
        <v>52.4</v>
      </c>
      <c r="E69" s="641">
        <v>47.2</v>
      </c>
      <c r="F69" s="641">
        <v>36.4</v>
      </c>
      <c r="G69" s="641">
        <v>30.4</v>
      </c>
      <c r="H69" s="641">
        <v>23.9</v>
      </c>
      <c r="I69" s="641">
        <v>15.7</v>
      </c>
      <c r="J69" s="641">
        <v>16.600000000000001</v>
      </c>
      <c r="K69" s="641">
        <v>17</v>
      </c>
    </row>
    <row r="70" spans="1:11">
      <c r="A70" s="642" t="s">
        <v>6808</v>
      </c>
      <c r="B70" s="643">
        <v>20.7</v>
      </c>
      <c r="C70" s="643">
        <v>19.7</v>
      </c>
      <c r="D70" s="643">
        <v>13.3</v>
      </c>
      <c r="E70" s="643">
        <v>10.6</v>
      </c>
      <c r="F70" s="643">
        <v>7.5</v>
      </c>
      <c r="G70" s="643">
        <v>9.3000000000000007</v>
      </c>
      <c r="H70" s="643">
        <v>5</v>
      </c>
      <c r="I70" s="643">
        <v>4.8</v>
      </c>
      <c r="J70" s="643">
        <v>4.4000000000000004</v>
      </c>
      <c r="K70" s="643">
        <v>4.7</v>
      </c>
    </row>
    <row r="71" spans="1:11">
      <c r="A71" s="642" t="s">
        <v>6809</v>
      </c>
      <c r="B71" s="643">
        <v>39.799999999999997</v>
      </c>
      <c r="C71" s="643">
        <v>33.700000000000003</v>
      </c>
      <c r="D71" s="643">
        <v>17.3</v>
      </c>
      <c r="E71" s="643">
        <v>16.899999999999999</v>
      </c>
      <c r="F71" s="643">
        <v>13.9</v>
      </c>
      <c r="G71" s="643">
        <v>13</v>
      </c>
      <c r="H71" s="643">
        <v>12.6</v>
      </c>
      <c r="I71" s="643">
        <v>5.6</v>
      </c>
      <c r="J71" s="643">
        <v>7.7</v>
      </c>
      <c r="K71" s="643" t="s">
        <v>6765</v>
      </c>
    </row>
    <row r="72" spans="1:11">
      <c r="A72" s="642" t="s">
        <v>6810</v>
      </c>
      <c r="B72" s="643">
        <v>11.8</v>
      </c>
      <c r="C72" s="643">
        <v>18.899999999999999</v>
      </c>
      <c r="D72" s="643">
        <v>21.7</v>
      </c>
      <c r="E72" s="643">
        <v>19.8</v>
      </c>
      <c r="F72" s="643">
        <v>15</v>
      </c>
      <c r="G72" s="643">
        <v>8</v>
      </c>
      <c r="H72" s="643">
        <v>6.3</v>
      </c>
      <c r="I72" s="643">
        <v>5.3</v>
      </c>
      <c r="J72" s="643">
        <v>4.4000000000000004</v>
      </c>
      <c r="K72" s="643">
        <v>12.4</v>
      </c>
    </row>
    <row r="73" spans="1:11">
      <c r="A73" s="644" t="s">
        <v>6811</v>
      </c>
      <c r="B73" s="645">
        <v>963.7</v>
      </c>
      <c r="C73" s="645">
        <v>894.6</v>
      </c>
      <c r="D73" s="645">
        <v>540</v>
      </c>
      <c r="E73" s="645">
        <v>561</v>
      </c>
      <c r="F73" s="645">
        <v>376.6</v>
      </c>
      <c r="G73" s="645">
        <v>297.10000000000002</v>
      </c>
      <c r="H73" s="645">
        <v>272.3</v>
      </c>
      <c r="I73" s="645">
        <v>253</v>
      </c>
      <c r="J73" s="645">
        <v>266.2</v>
      </c>
      <c r="K73" s="645">
        <v>270.89999999999998</v>
      </c>
    </row>
    <row r="74" spans="1:11">
      <c r="A74" s="646"/>
      <c r="B74" s="646"/>
      <c r="C74" s="646"/>
      <c r="D74" s="646"/>
      <c r="E74" s="646"/>
      <c r="F74" s="646"/>
      <c r="G74" s="646"/>
      <c r="H74" s="646"/>
      <c r="I74" s="646"/>
      <c r="J74" s="646"/>
      <c r="K74" s="646"/>
    </row>
    <row r="75" spans="1:11">
      <c r="A75" s="640" t="s">
        <v>6812</v>
      </c>
      <c r="B75" s="641">
        <v>718.7</v>
      </c>
      <c r="C75" s="641">
        <v>624.70000000000005</v>
      </c>
      <c r="D75" s="641">
        <v>562.79999999999995</v>
      </c>
      <c r="E75" s="641">
        <v>612</v>
      </c>
      <c r="F75" s="641">
        <v>80.8</v>
      </c>
      <c r="G75" s="641">
        <v>67.900000000000006</v>
      </c>
      <c r="H75" s="641">
        <v>75.8</v>
      </c>
      <c r="I75" s="641">
        <v>127</v>
      </c>
      <c r="J75" s="641">
        <v>154.19999999999999</v>
      </c>
      <c r="K75" s="641">
        <v>160.1</v>
      </c>
    </row>
    <row r="76" spans="1:11">
      <c r="A76" s="642" t="s">
        <v>6813</v>
      </c>
      <c r="B76" s="643">
        <v>44.4</v>
      </c>
      <c r="C76" s="643">
        <v>40.1</v>
      </c>
      <c r="D76" s="643">
        <v>25.3</v>
      </c>
      <c r="E76" s="643">
        <v>78.2</v>
      </c>
      <c r="F76" s="643">
        <v>80.8</v>
      </c>
      <c r="G76" s="643">
        <v>67.900000000000006</v>
      </c>
      <c r="H76" s="643">
        <v>75.8</v>
      </c>
      <c r="I76" s="643">
        <v>127</v>
      </c>
      <c r="J76" s="643">
        <v>154.19999999999999</v>
      </c>
      <c r="K76" s="643">
        <v>160.1</v>
      </c>
    </row>
    <row r="77" spans="1:11">
      <c r="A77" s="642" t="s">
        <v>6814</v>
      </c>
      <c r="B77" s="643">
        <v>674.3</v>
      </c>
      <c r="C77" s="643">
        <v>584.70000000000005</v>
      </c>
      <c r="D77" s="643">
        <v>537.5</v>
      </c>
      <c r="E77" s="643">
        <v>533.79999999999995</v>
      </c>
      <c r="F77" s="643" t="s">
        <v>6765</v>
      </c>
      <c r="G77" s="643" t="s">
        <v>6765</v>
      </c>
      <c r="H77" s="643" t="s">
        <v>6765</v>
      </c>
      <c r="I77" s="643" t="s">
        <v>6765</v>
      </c>
      <c r="J77" s="643" t="s">
        <v>6765</v>
      </c>
      <c r="K77" s="643" t="s">
        <v>6765</v>
      </c>
    </row>
    <row r="78" spans="1:11">
      <c r="A78" s="644" t="s">
        <v>292</v>
      </c>
      <c r="B78" s="645">
        <v>912.8</v>
      </c>
      <c r="C78" s="645">
        <v>913.9</v>
      </c>
      <c r="D78" s="645">
        <v>713.3</v>
      </c>
      <c r="E78" s="645">
        <v>738.8</v>
      </c>
      <c r="F78" s="645">
        <v>96.4</v>
      </c>
      <c r="G78" s="645">
        <v>93.1</v>
      </c>
      <c r="H78" s="645">
        <v>140.6</v>
      </c>
      <c r="I78" s="645">
        <v>198.2</v>
      </c>
      <c r="J78" s="645">
        <v>234.6</v>
      </c>
      <c r="K78" s="645">
        <v>276.39999999999998</v>
      </c>
    </row>
    <row r="79" spans="1:11">
      <c r="A79" s="640" t="s">
        <v>6815</v>
      </c>
      <c r="B79" s="641">
        <v>15.2</v>
      </c>
      <c r="C79" s="641">
        <v>225.6</v>
      </c>
      <c r="D79" s="641">
        <v>6.4</v>
      </c>
      <c r="E79" s="641">
        <v>68.7</v>
      </c>
      <c r="F79" s="641">
        <v>70.099999999999994</v>
      </c>
      <c r="G79" s="641">
        <v>68.7</v>
      </c>
      <c r="H79" s="641">
        <v>71</v>
      </c>
      <c r="I79" s="641">
        <v>68.8</v>
      </c>
      <c r="J79" s="641">
        <v>74.400000000000006</v>
      </c>
      <c r="K79" s="641">
        <v>72.599999999999994</v>
      </c>
    </row>
    <row r="80" spans="1:11">
      <c r="A80" s="642" t="s">
        <v>6816</v>
      </c>
      <c r="B80" s="643">
        <v>15.2</v>
      </c>
      <c r="C80" s="643">
        <v>225.6</v>
      </c>
      <c r="D80" s="643">
        <v>6.4</v>
      </c>
      <c r="E80" s="643">
        <v>68.7</v>
      </c>
      <c r="F80" s="643">
        <v>70.099999999999994</v>
      </c>
      <c r="G80" s="643">
        <v>68.7</v>
      </c>
      <c r="H80" s="643">
        <v>71</v>
      </c>
      <c r="I80" s="643">
        <v>68.8</v>
      </c>
      <c r="J80" s="643">
        <v>74.400000000000006</v>
      </c>
      <c r="K80" s="643">
        <v>72.599999999999994</v>
      </c>
    </row>
    <row r="81" spans="1:11">
      <c r="A81" s="644" t="s">
        <v>6593</v>
      </c>
      <c r="B81" s="645">
        <v>0.1</v>
      </c>
      <c r="C81" s="645">
        <v>0.1</v>
      </c>
      <c r="D81" s="645">
        <v>0.1</v>
      </c>
      <c r="E81" s="645">
        <v>0.1</v>
      </c>
      <c r="F81" s="645">
        <v>0.1</v>
      </c>
      <c r="G81" s="645">
        <v>0.1</v>
      </c>
      <c r="H81" s="645">
        <v>0.1</v>
      </c>
      <c r="I81" s="645">
        <v>0.6</v>
      </c>
      <c r="J81" s="645">
        <v>1.1000000000000001</v>
      </c>
      <c r="K81" s="645">
        <v>3.1</v>
      </c>
    </row>
    <row r="82" spans="1:11">
      <c r="A82" s="640" t="s">
        <v>6817</v>
      </c>
      <c r="B82" s="641">
        <v>39.4</v>
      </c>
      <c r="C82" s="641">
        <v>23.9</v>
      </c>
      <c r="D82" s="641">
        <v>20.3</v>
      </c>
      <c r="E82" s="641">
        <v>17.399999999999999</v>
      </c>
      <c r="F82" s="641">
        <v>29.3</v>
      </c>
      <c r="G82" s="641">
        <v>22.8</v>
      </c>
      <c r="H82" s="641">
        <v>29.2</v>
      </c>
      <c r="I82" s="641">
        <v>16.5</v>
      </c>
      <c r="J82" s="641">
        <v>11.7</v>
      </c>
      <c r="K82" s="641">
        <v>11.5</v>
      </c>
    </row>
    <row r="83" spans="1:11">
      <c r="A83" s="642" t="s">
        <v>6818</v>
      </c>
      <c r="B83" s="643">
        <v>27.3</v>
      </c>
      <c r="C83" s="643">
        <v>11.3</v>
      </c>
      <c r="D83" s="643">
        <v>15.5</v>
      </c>
      <c r="E83" s="643">
        <v>13.3</v>
      </c>
      <c r="F83" s="643">
        <v>7.5</v>
      </c>
      <c r="G83" s="643">
        <v>4.9000000000000004</v>
      </c>
      <c r="H83" s="643">
        <v>11.9</v>
      </c>
      <c r="I83" s="643">
        <v>5.7</v>
      </c>
      <c r="J83" s="643">
        <v>3.1</v>
      </c>
      <c r="K83" s="643">
        <v>3.2</v>
      </c>
    </row>
    <row r="84" spans="1:11">
      <c r="A84" s="642" t="s">
        <v>6819</v>
      </c>
      <c r="B84" s="643">
        <v>12</v>
      </c>
      <c r="C84" s="643">
        <v>12.5</v>
      </c>
      <c r="D84" s="643">
        <v>4.5999999999999996</v>
      </c>
      <c r="E84" s="643">
        <v>3.9</v>
      </c>
      <c r="F84" s="643">
        <v>6</v>
      </c>
      <c r="G84" s="643">
        <v>5.7</v>
      </c>
      <c r="H84" s="643">
        <v>5.3</v>
      </c>
      <c r="I84" s="643">
        <v>4.5999999999999996</v>
      </c>
      <c r="J84" s="643">
        <v>5.0999999999999996</v>
      </c>
      <c r="K84" s="643">
        <v>6.5</v>
      </c>
    </row>
    <row r="85" spans="1:11">
      <c r="A85" s="642" t="s">
        <v>6820</v>
      </c>
      <c r="B85" s="643">
        <v>0.1</v>
      </c>
      <c r="C85" s="643">
        <v>0.2</v>
      </c>
      <c r="D85" s="643">
        <v>0.1</v>
      </c>
      <c r="E85" s="643">
        <v>0.2</v>
      </c>
      <c r="F85" s="643">
        <v>15.9</v>
      </c>
      <c r="G85" s="643">
        <v>12.2</v>
      </c>
      <c r="H85" s="643">
        <v>12</v>
      </c>
      <c r="I85" s="643">
        <v>6.2</v>
      </c>
      <c r="J85" s="643">
        <v>3.5</v>
      </c>
      <c r="K85" s="643">
        <v>1.9</v>
      </c>
    </row>
    <row r="86" spans="1:11">
      <c r="A86" s="644" t="s">
        <v>53</v>
      </c>
      <c r="B86" s="645">
        <v>1737.1</v>
      </c>
      <c r="C86" s="645">
        <v>1769</v>
      </c>
      <c r="D86" s="645">
        <v>1129.5999999999999</v>
      </c>
      <c r="E86" s="645">
        <v>1259.0999999999999</v>
      </c>
      <c r="F86" s="645">
        <v>556.79999999999995</v>
      </c>
      <c r="G86" s="645">
        <v>456.6</v>
      </c>
      <c r="H86" s="645">
        <v>448.3</v>
      </c>
      <c r="I86" s="645">
        <v>465.9</v>
      </c>
      <c r="J86" s="645">
        <v>507.6</v>
      </c>
      <c r="K86" s="645">
        <v>518.1</v>
      </c>
    </row>
    <row r="87" spans="1:11">
      <c r="A87" s="646"/>
      <c r="B87" s="646"/>
      <c r="C87" s="646"/>
      <c r="D87" s="646"/>
      <c r="E87" s="646"/>
      <c r="F87" s="646"/>
      <c r="G87" s="646"/>
      <c r="H87" s="646"/>
      <c r="I87" s="646"/>
      <c r="J87" s="646"/>
      <c r="K87" s="646"/>
    </row>
    <row r="88" spans="1:11">
      <c r="A88" s="639" t="s">
        <v>6821</v>
      </c>
      <c r="B88" s="639"/>
      <c r="C88" s="639"/>
      <c r="D88" s="639"/>
      <c r="E88" s="639"/>
      <c r="F88" s="639"/>
      <c r="G88" s="639"/>
      <c r="H88" s="639"/>
      <c r="I88" s="639"/>
      <c r="J88" s="639"/>
      <c r="K88" s="639"/>
    </row>
    <row r="89" spans="1:11">
      <c r="A89" s="640" t="s">
        <v>6822</v>
      </c>
      <c r="B89" s="641">
        <v>54.7</v>
      </c>
      <c r="C89" s="641">
        <v>54.7</v>
      </c>
      <c r="D89" s="641">
        <v>51.7</v>
      </c>
      <c r="E89" s="641">
        <v>51.6</v>
      </c>
      <c r="F89" s="641">
        <v>51.2</v>
      </c>
      <c r="G89" s="641">
        <v>51</v>
      </c>
      <c r="H89" s="641">
        <v>50</v>
      </c>
      <c r="I89" s="641">
        <v>50</v>
      </c>
      <c r="J89" s="641">
        <v>50</v>
      </c>
      <c r="K89" s="641">
        <v>50</v>
      </c>
    </row>
    <row r="90" spans="1:11">
      <c r="A90" s="642" t="s">
        <v>6823</v>
      </c>
      <c r="B90" s="643">
        <v>54.7</v>
      </c>
      <c r="C90" s="643">
        <v>54.7</v>
      </c>
      <c r="D90" s="643">
        <v>51.7</v>
      </c>
      <c r="E90" s="643">
        <v>51.6</v>
      </c>
      <c r="F90" s="643">
        <v>51.2</v>
      </c>
      <c r="G90" s="643">
        <v>51</v>
      </c>
      <c r="H90" s="643">
        <v>50</v>
      </c>
      <c r="I90" s="643">
        <v>50</v>
      </c>
      <c r="J90" s="643">
        <v>50</v>
      </c>
      <c r="K90" s="643">
        <v>50</v>
      </c>
    </row>
    <row r="91" spans="1:11">
      <c r="A91" s="644" t="s">
        <v>6824</v>
      </c>
      <c r="B91" s="645" t="s">
        <v>6765</v>
      </c>
      <c r="C91" s="645" t="s">
        <v>6765</v>
      </c>
      <c r="D91" s="645" t="s">
        <v>6765</v>
      </c>
      <c r="E91" s="645" t="s">
        <v>6765</v>
      </c>
      <c r="F91" s="645" t="s">
        <v>6765</v>
      </c>
      <c r="G91" s="645" t="s">
        <v>6765</v>
      </c>
      <c r="H91" s="645" t="s">
        <v>6765</v>
      </c>
      <c r="I91" s="645">
        <v>108.3</v>
      </c>
      <c r="J91" s="645">
        <v>107</v>
      </c>
      <c r="K91" s="645">
        <v>107</v>
      </c>
    </row>
    <row r="92" spans="1:11">
      <c r="A92" s="644" t="s">
        <v>6825</v>
      </c>
      <c r="B92" s="645">
        <v>2859.5</v>
      </c>
      <c r="C92" s="645">
        <v>2454.5</v>
      </c>
      <c r="D92" s="645">
        <v>1592.5</v>
      </c>
      <c r="E92" s="645">
        <v>1259.3</v>
      </c>
      <c r="F92" s="645">
        <v>1027</v>
      </c>
      <c r="G92" s="645">
        <v>883.1</v>
      </c>
      <c r="H92" s="645">
        <v>648.29999999999995</v>
      </c>
      <c r="I92" s="645">
        <v>384.3</v>
      </c>
      <c r="J92" s="645">
        <v>264.10000000000002</v>
      </c>
      <c r="K92" s="645">
        <v>150.5</v>
      </c>
    </row>
    <row r="93" spans="1:11">
      <c r="A93" s="640" t="s">
        <v>6826</v>
      </c>
      <c r="B93" s="641">
        <v>-12.1</v>
      </c>
      <c r="C93" s="641">
        <v>-10.3</v>
      </c>
      <c r="D93" s="641">
        <v>-17.100000000000001</v>
      </c>
      <c r="E93" s="641">
        <v>-4.5999999999999996</v>
      </c>
      <c r="F93" s="641">
        <v>-9.3000000000000007</v>
      </c>
      <c r="G93" s="641">
        <v>-10.6</v>
      </c>
      <c r="H93" s="641">
        <v>5.0999999999999996</v>
      </c>
      <c r="I93" s="641">
        <v>3.5</v>
      </c>
      <c r="J93" s="641">
        <v>-1.6</v>
      </c>
      <c r="K93" s="641" t="s">
        <v>6765</v>
      </c>
    </row>
    <row r="94" spans="1:11">
      <c r="A94" s="642" t="s">
        <v>6827</v>
      </c>
      <c r="B94" s="643">
        <v>-11.5</v>
      </c>
      <c r="C94" s="643">
        <v>0.9</v>
      </c>
      <c r="D94" s="643">
        <v>-18.2</v>
      </c>
      <c r="E94" s="643">
        <v>-2.9</v>
      </c>
      <c r="F94" s="643">
        <v>-6.1</v>
      </c>
      <c r="G94" s="643">
        <v>-11</v>
      </c>
      <c r="H94" s="643">
        <v>5.3</v>
      </c>
      <c r="I94" s="643">
        <v>3.6</v>
      </c>
      <c r="J94" s="643">
        <v>-0.6</v>
      </c>
      <c r="K94" s="643" t="s">
        <v>6765</v>
      </c>
    </row>
    <row r="95" spans="1:11">
      <c r="A95" s="642" t="s">
        <v>6828</v>
      </c>
      <c r="B95" s="643">
        <v>-0.6</v>
      </c>
      <c r="C95" s="643">
        <v>-11.1</v>
      </c>
      <c r="D95" s="643">
        <v>1.1000000000000001</v>
      </c>
      <c r="E95" s="643">
        <v>-1.7</v>
      </c>
      <c r="F95" s="643">
        <v>-3.2</v>
      </c>
      <c r="G95" s="643">
        <v>0.3</v>
      </c>
      <c r="H95" s="643">
        <v>-0.2</v>
      </c>
      <c r="I95" s="643">
        <v>0</v>
      </c>
      <c r="J95" s="643">
        <v>-1</v>
      </c>
      <c r="K95" s="643" t="s">
        <v>6765</v>
      </c>
    </row>
    <row r="96" spans="1:11">
      <c r="A96" s="644" t="s">
        <v>293</v>
      </c>
      <c r="B96" s="645">
        <v>2902.2</v>
      </c>
      <c r="C96" s="645">
        <v>2499</v>
      </c>
      <c r="D96" s="645">
        <v>1627</v>
      </c>
      <c r="E96" s="645">
        <v>1306.3</v>
      </c>
      <c r="F96" s="645">
        <v>1068.8</v>
      </c>
      <c r="G96" s="645">
        <v>923.4</v>
      </c>
      <c r="H96" s="645">
        <v>703.5</v>
      </c>
      <c r="I96" s="645">
        <v>546.20000000000005</v>
      </c>
      <c r="J96" s="645">
        <v>419.5</v>
      </c>
      <c r="K96" s="645">
        <v>307.5</v>
      </c>
    </row>
    <row r="97" spans="1:11">
      <c r="A97" s="646"/>
      <c r="B97" s="646"/>
      <c r="C97" s="646"/>
      <c r="D97" s="646"/>
      <c r="E97" s="646"/>
      <c r="F97" s="646"/>
      <c r="G97" s="646"/>
      <c r="H97" s="646"/>
      <c r="I97" s="646"/>
      <c r="J97" s="646"/>
      <c r="K97" s="646"/>
    </row>
    <row r="98" spans="1:11">
      <c r="A98" s="644" t="s">
        <v>6829</v>
      </c>
      <c r="B98" s="645">
        <v>4639.3</v>
      </c>
      <c r="C98" s="645">
        <v>4268</v>
      </c>
      <c r="D98" s="645">
        <v>2756.6</v>
      </c>
      <c r="E98" s="645">
        <v>2565.4</v>
      </c>
      <c r="F98" s="645">
        <v>1625.6</v>
      </c>
      <c r="G98" s="645">
        <v>1380</v>
      </c>
      <c r="H98" s="645">
        <v>1151.8</v>
      </c>
      <c r="I98" s="645">
        <v>1012.1</v>
      </c>
      <c r="J98" s="645">
        <v>927.1</v>
      </c>
      <c r="K98" s="645">
        <v>825.6</v>
      </c>
    </row>
    <row r="99" spans="1:11">
      <c r="A99" s="646"/>
      <c r="B99" s="646"/>
      <c r="C99" s="646"/>
      <c r="D99" s="646"/>
      <c r="E99" s="646"/>
      <c r="F99" s="646"/>
      <c r="G99" s="646"/>
      <c r="H99" s="646"/>
      <c r="I99" s="646"/>
      <c r="J99" s="646"/>
      <c r="K99" s="646"/>
    </row>
    <row r="100" spans="1:11">
      <c r="A100" s="639" t="s">
        <v>6830</v>
      </c>
      <c r="B100" s="639"/>
      <c r="C100" s="639"/>
      <c r="D100" s="639"/>
      <c r="E100" s="639"/>
      <c r="F100" s="639"/>
      <c r="G100" s="639"/>
      <c r="H100" s="639"/>
      <c r="I100" s="639"/>
      <c r="J100" s="639"/>
      <c r="K100" s="639"/>
    </row>
    <row r="101" spans="1:11">
      <c r="A101" s="640" t="s">
        <v>6831</v>
      </c>
      <c r="B101" s="641">
        <v>268.8</v>
      </c>
      <c r="C101" s="641">
        <v>269.60000000000002</v>
      </c>
      <c r="D101" s="641">
        <v>252.8</v>
      </c>
      <c r="E101" s="641">
        <v>252.3</v>
      </c>
      <c r="F101" s="641">
        <v>249.7</v>
      </c>
      <c r="G101" s="641">
        <v>252.8</v>
      </c>
      <c r="H101" s="641">
        <v>249.2</v>
      </c>
      <c r="I101" s="641">
        <v>250.1</v>
      </c>
      <c r="J101" s="641">
        <v>250</v>
      </c>
      <c r="K101" s="641">
        <v>250</v>
      </c>
    </row>
    <row r="102" spans="1:11">
      <c r="A102" s="642" t="s">
        <v>6832</v>
      </c>
      <c r="B102" s="643">
        <v>268.8</v>
      </c>
      <c r="C102" s="643">
        <v>269.60000000000002</v>
      </c>
      <c r="D102" s="643">
        <v>252.8</v>
      </c>
      <c r="E102" s="643">
        <v>252.3</v>
      </c>
      <c r="F102" s="643">
        <v>249.7</v>
      </c>
      <c r="G102" s="643">
        <v>252.8</v>
      </c>
      <c r="H102" s="643">
        <v>249.2</v>
      </c>
      <c r="I102" s="643">
        <v>250.1</v>
      </c>
      <c r="J102" s="643">
        <v>250</v>
      </c>
      <c r="K102" s="643">
        <v>250</v>
      </c>
    </row>
    <row r="103" spans="1:11">
      <c r="A103" s="644" t="s">
        <v>6833</v>
      </c>
      <c r="B103" s="645">
        <v>4.9000000000000004</v>
      </c>
      <c r="C103" s="645">
        <v>4.0999999999999996</v>
      </c>
      <c r="D103" s="645">
        <v>5.6</v>
      </c>
      <c r="E103" s="645">
        <v>5.7</v>
      </c>
      <c r="F103" s="645">
        <v>6.1</v>
      </c>
      <c r="G103" s="645">
        <v>2</v>
      </c>
      <c r="H103" s="645">
        <v>1</v>
      </c>
      <c r="I103" s="645">
        <v>0</v>
      </c>
      <c r="J103" s="645">
        <v>0</v>
      </c>
      <c r="K103" s="645">
        <v>0</v>
      </c>
    </row>
    <row r="104" spans="1:11">
      <c r="A104" s="644" t="s">
        <v>6834</v>
      </c>
      <c r="B104" s="645">
        <v>0.1</v>
      </c>
      <c r="C104" s="645">
        <v>0.1</v>
      </c>
      <c r="D104" s="645">
        <v>0.1</v>
      </c>
      <c r="E104" s="645">
        <v>0.1</v>
      </c>
      <c r="F104" s="645">
        <v>0.1</v>
      </c>
      <c r="G104" s="645">
        <v>0.1</v>
      </c>
      <c r="H104" s="645">
        <v>0.1</v>
      </c>
      <c r="I104" s="645">
        <v>0.6</v>
      </c>
      <c r="J104" s="645">
        <v>1.1000000000000001</v>
      </c>
      <c r="K104" s="645">
        <v>3.1</v>
      </c>
    </row>
    <row r="105" spans="1:11">
      <c r="A105" s="644" t="s">
        <v>6835</v>
      </c>
      <c r="B105" s="645">
        <v>2902.3</v>
      </c>
      <c r="C105" s="645">
        <v>2499.1</v>
      </c>
      <c r="D105" s="645">
        <v>1627.1</v>
      </c>
      <c r="E105" s="645">
        <v>1306.4000000000001</v>
      </c>
      <c r="F105" s="645">
        <v>1068.9000000000001</v>
      </c>
      <c r="G105" s="645">
        <v>923.5</v>
      </c>
      <c r="H105" s="645">
        <v>703.6</v>
      </c>
      <c r="I105" s="645">
        <v>546.79999999999995</v>
      </c>
      <c r="J105" s="645">
        <v>420.6</v>
      </c>
      <c r="K105" s="645">
        <v>310.60000000000002</v>
      </c>
    </row>
    <row r="106" spans="1:11">
      <c r="A106" s="644" t="s">
        <v>6836</v>
      </c>
      <c r="B106" s="647">
        <v>6310</v>
      </c>
      <c r="C106" s="647">
        <v>5290</v>
      </c>
      <c r="D106" s="647">
        <v>4398</v>
      </c>
      <c r="E106" s="647">
        <v>4569</v>
      </c>
      <c r="F106" s="647">
        <v>4155</v>
      </c>
      <c r="G106" s="647">
        <v>3498</v>
      </c>
      <c r="H106" s="647">
        <v>3216</v>
      </c>
      <c r="I106" s="647">
        <v>2249</v>
      </c>
      <c r="J106" s="647">
        <v>1600</v>
      </c>
      <c r="K106" s="647">
        <v>1376</v>
      </c>
    </row>
    <row r="107" spans="1:11">
      <c r="A107" s="644" t="s">
        <v>6837</v>
      </c>
      <c r="B107" s="645" t="s">
        <v>6765</v>
      </c>
      <c r="C107" s="645" t="s">
        <v>6765</v>
      </c>
      <c r="D107" s="645" t="s">
        <v>6765</v>
      </c>
      <c r="E107" s="645" t="s">
        <v>6765</v>
      </c>
      <c r="F107" s="645" t="s">
        <v>6765</v>
      </c>
      <c r="G107" s="645" t="s">
        <v>6765</v>
      </c>
      <c r="H107" s="645" t="s">
        <v>6765</v>
      </c>
      <c r="I107" s="645" t="s">
        <v>6765</v>
      </c>
      <c r="J107" s="645" t="s">
        <v>6765</v>
      </c>
      <c r="K107" s="645">
        <v>155.6</v>
      </c>
    </row>
    <row r="108" spans="1:11">
      <c r="A108" s="644" t="s">
        <v>6838</v>
      </c>
      <c r="B108" s="645">
        <v>0</v>
      </c>
      <c r="C108" s="645">
        <v>0</v>
      </c>
      <c r="D108" s="645">
        <v>0</v>
      </c>
      <c r="E108" s="645">
        <v>0</v>
      </c>
      <c r="F108" s="645">
        <v>0</v>
      </c>
      <c r="G108" s="645">
        <v>0</v>
      </c>
      <c r="H108" s="645">
        <v>0</v>
      </c>
      <c r="I108" s="645">
        <v>0</v>
      </c>
      <c r="J108" s="645">
        <v>0</v>
      </c>
      <c r="K108" s="645" t="s">
        <v>6765</v>
      </c>
    </row>
    <row r="109" spans="1:11">
      <c r="A109" s="644" t="s">
        <v>6839</v>
      </c>
      <c r="B109" s="645">
        <v>167.5</v>
      </c>
      <c r="C109" s="645">
        <v>142</v>
      </c>
      <c r="D109" s="645">
        <v>91.3</v>
      </c>
      <c r="E109" s="645">
        <v>76.3</v>
      </c>
      <c r="F109" s="645">
        <v>62.3</v>
      </c>
      <c r="G109" s="645">
        <v>51.2</v>
      </c>
      <c r="H109" s="645">
        <v>42.7</v>
      </c>
      <c r="I109" s="645">
        <v>34.200000000000003</v>
      </c>
      <c r="J109" s="645">
        <v>26.2</v>
      </c>
      <c r="K109" s="645">
        <v>20.3</v>
      </c>
    </row>
    <row r="110" spans="1:11">
      <c r="A110" s="644" t="s">
        <v>6840</v>
      </c>
      <c r="B110" s="645">
        <v>20.7</v>
      </c>
      <c r="C110" s="645">
        <v>19.7</v>
      </c>
      <c r="D110" s="645">
        <v>13.3</v>
      </c>
      <c r="E110" s="645">
        <v>10.6</v>
      </c>
      <c r="F110" s="645">
        <v>7.5</v>
      </c>
      <c r="G110" s="645">
        <v>9.3000000000000007</v>
      </c>
      <c r="H110" s="645">
        <v>5</v>
      </c>
      <c r="I110" s="645">
        <v>4.8</v>
      </c>
      <c r="J110" s="645">
        <v>4.4000000000000004</v>
      </c>
      <c r="K110" s="645">
        <v>4.7</v>
      </c>
    </row>
    <row r="111" spans="1:11">
      <c r="A111" s="644" t="s">
        <v>6841</v>
      </c>
      <c r="B111" s="645">
        <v>0.1</v>
      </c>
      <c r="C111" s="645" t="s">
        <v>6765</v>
      </c>
      <c r="D111" s="645" t="s">
        <v>6765</v>
      </c>
      <c r="E111" s="645" t="s">
        <v>6765</v>
      </c>
      <c r="F111" s="645" t="s">
        <v>6765</v>
      </c>
      <c r="G111" s="645" t="s">
        <v>6765</v>
      </c>
      <c r="H111" s="645" t="s">
        <v>6765</v>
      </c>
      <c r="I111" s="645" t="s">
        <v>6765</v>
      </c>
      <c r="J111" s="645" t="s">
        <v>6765</v>
      </c>
      <c r="K111" s="645" t="s">
        <v>6765</v>
      </c>
    </row>
    <row r="112" spans="1:11">
      <c r="A112" s="644" t="s">
        <v>6842</v>
      </c>
      <c r="B112" s="645">
        <v>163.19999999999999</v>
      </c>
      <c r="C112" s="645">
        <v>125.6</v>
      </c>
      <c r="D112" s="645">
        <v>102.8</v>
      </c>
      <c r="E112" s="645">
        <v>105.5</v>
      </c>
      <c r="F112" s="645" t="s">
        <v>6765</v>
      </c>
      <c r="G112" s="645" t="s">
        <v>6765</v>
      </c>
      <c r="H112" s="645" t="s">
        <v>6765</v>
      </c>
      <c r="I112" s="645" t="s">
        <v>6765</v>
      </c>
      <c r="J112" s="645" t="s">
        <v>6765</v>
      </c>
      <c r="K112" s="645" t="s">
        <v>6765</v>
      </c>
    </row>
    <row r="113" spans="1:11">
      <c r="A113" s="644" t="s">
        <v>6843</v>
      </c>
      <c r="B113" s="645">
        <v>1243.4000000000001</v>
      </c>
      <c r="C113" s="645">
        <v>1200.4000000000001</v>
      </c>
      <c r="D113" s="645">
        <v>1128.5999999999999</v>
      </c>
      <c r="E113" s="645">
        <v>955.5</v>
      </c>
      <c r="F113" s="645">
        <v>729.3</v>
      </c>
      <c r="G113" s="645">
        <v>576.4</v>
      </c>
      <c r="H113" s="645">
        <v>370.2</v>
      </c>
      <c r="I113" s="645">
        <v>263.5</v>
      </c>
      <c r="J113" s="645">
        <v>249.5</v>
      </c>
      <c r="K113" s="645">
        <v>245</v>
      </c>
    </row>
    <row r="114" spans="1:11">
      <c r="A114" s="644" t="s">
        <v>6844</v>
      </c>
      <c r="B114" s="645">
        <v>19.3</v>
      </c>
      <c r="C114" s="645">
        <v>-19.399999999999999</v>
      </c>
      <c r="D114" s="645">
        <v>-214.9</v>
      </c>
      <c r="E114" s="645">
        <v>-23.3</v>
      </c>
      <c r="F114" s="645">
        <v>-450</v>
      </c>
      <c r="G114" s="645">
        <v>-304.8</v>
      </c>
      <c r="H114" s="645">
        <v>-105.7</v>
      </c>
      <c r="I114" s="645">
        <v>50.2</v>
      </c>
      <c r="J114" s="645">
        <v>112.2</v>
      </c>
      <c r="K114" s="645">
        <v>174.2</v>
      </c>
    </row>
    <row r="115" spans="1:11">
      <c r="A115" s="644" t="s">
        <v>6845</v>
      </c>
      <c r="B115" s="645">
        <v>1212</v>
      </c>
      <c r="C115" s="645">
        <v>825.5</v>
      </c>
      <c r="D115" s="645">
        <v>1189.2</v>
      </c>
      <c r="E115" s="645">
        <v>871.3</v>
      </c>
      <c r="F115" s="645">
        <v>644.4</v>
      </c>
      <c r="G115" s="645">
        <v>497.2</v>
      </c>
      <c r="H115" s="645">
        <v>281</v>
      </c>
      <c r="I115" s="645">
        <v>122.6</v>
      </c>
      <c r="J115" s="645">
        <v>5.2</v>
      </c>
      <c r="K115" s="645">
        <v>-100.8</v>
      </c>
    </row>
    <row r="116" spans="1:11">
      <c r="A116" s="639" t="s">
        <v>6846</v>
      </c>
      <c r="B116" s="639"/>
      <c r="C116" s="639"/>
      <c r="D116" s="639"/>
      <c r="E116" s="639"/>
      <c r="F116" s="639"/>
      <c r="G116" s="639"/>
      <c r="H116" s="639"/>
      <c r="I116" s="639"/>
      <c r="J116" s="639"/>
      <c r="K116" s="639"/>
    </row>
    <row r="117" spans="1:11">
      <c r="A117" s="640" t="s">
        <v>6847</v>
      </c>
      <c r="B117" s="641">
        <v>718.7</v>
      </c>
      <c r="C117" s="641">
        <v>624.70000000000005</v>
      </c>
      <c r="D117" s="641">
        <v>562.79999999999995</v>
      </c>
      <c r="E117" s="641">
        <v>612</v>
      </c>
      <c r="F117" s="641">
        <v>80.8</v>
      </c>
      <c r="G117" s="641">
        <v>67.900000000000006</v>
      </c>
      <c r="H117" s="641">
        <v>75.8</v>
      </c>
      <c r="I117" s="641">
        <v>127</v>
      </c>
      <c r="J117" s="641">
        <v>154.19999999999999</v>
      </c>
      <c r="K117" s="641">
        <v>214.2</v>
      </c>
    </row>
    <row r="118" spans="1:11">
      <c r="A118" s="642" t="s">
        <v>6848</v>
      </c>
      <c r="B118" s="643">
        <v>81.7</v>
      </c>
      <c r="C118" s="643">
        <v>69.599999999999994</v>
      </c>
      <c r="D118" s="643">
        <v>51</v>
      </c>
      <c r="E118" s="643">
        <v>69.400000000000006</v>
      </c>
      <c r="F118" s="643">
        <v>8.1999999999999993</v>
      </c>
      <c r="G118" s="643">
        <v>13.1</v>
      </c>
      <c r="H118" s="643">
        <v>31.8</v>
      </c>
      <c r="I118" s="643">
        <v>31</v>
      </c>
      <c r="J118" s="643">
        <v>33.4</v>
      </c>
      <c r="K118" s="643">
        <v>54.1</v>
      </c>
    </row>
    <row r="119" spans="1:11">
      <c r="A119" s="642" t="s">
        <v>6849</v>
      </c>
      <c r="B119" s="643">
        <v>81.7</v>
      </c>
      <c r="C119" s="643">
        <v>69.599999999999994</v>
      </c>
      <c r="D119" s="643">
        <v>51</v>
      </c>
      <c r="E119" s="643">
        <v>69.400000000000006</v>
      </c>
      <c r="F119" s="643">
        <v>8.1999999999999993</v>
      </c>
      <c r="G119" s="643">
        <v>13.1</v>
      </c>
      <c r="H119" s="643">
        <v>31.8</v>
      </c>
      <c r="I119" s="643">
        <v>31</v>
      </c>
      <c r="J119" s="643">
        <v>33.4</v>
      </c>
      <c r="K119" s="643">
        <v>38.9</v>
      </c>
    </row>
    <row r="120" spans="1:11">
      <c r="A120" s="642" t="s">
        <v>6850</v>
      </c>
      <c r="B120" s="643">
        <v>111.6</v>
      </c>
      <c r="C120" s="643">
        <v>96.6</v>
      </c>
      <c r="D120" s="643">
        <v>87.5</v>
      </c>
      <c r="E120" s="643">
        <v>80.599999999999994</v>
      </c>
      <c r="F120" s="643">
        <v>18.2</v>
      </c>
      <c r="G120" s="643">
        <v>12.1</v>
      </c>
      <c r="H120" s="643">
        <v>4.0999999999999996</v>
      </c>
      <c r="I120" s="643">
        <v>21.7</v>
      </c>
      <c r="J120" s="643">
        <v>29.2</v>
      </c>
      <c r="K120" s="643">
        <v>40.4</v>
      </c>
    </row>
    <row r="121" spans="1:11">
      <c r="A121" s="642" t="s">
        <v>6851</v>
      </c>
      <c r="B121" s="643">
        <v>111.6</v>
      </c>
      <c r="C121" s="643">
        <v>96.6</v>
      </c>
      <c r="D121" s="643">
        <v>87.5</v>
      </c>
      <c r="E121" s="643">
        <v>80.599999999999994</v>
      </c>
      <c r="F121" s="643">
        <v>18.2</v>
      </c>
      <c r="G121" s="643">
        <v>12.1</v>
      </c>
      <c r="H121" s="643">
        <v>4.0999999999999996</v>
      </c>
      <c r="I121" s="643">
        <v>21.7</v>
      </c>
      <c r="J121" s="643">
        <v>29.2</v>
      </c>
      <c r="K121" s="643">
        <v>40.4</v>
      </c>
    </row>
    <row r="122" spans="1:11">
      <c r="A122" s="642" t="s">
        <v>6852</v>
      </c>
      <c r="B122" s="643">
        <v>111.6</v>
      </c>
      <c r="C122" s="643">
        <v>96.6</v>
      </c>
      <c r="D122" s="643">
        <v>87.5</v>
      </c>
      <c r="E122" s="643">
        <v>80.599999999999994</v>
      </c>
      <c r="F122" s="643">
        <v>18.2</v>
      </c>
      <c r="G122" s="643">
        <v>12.1</v>
      </c>
      <c r="H122" s="643">
        <v>4.0999999999999996</v>
      </c>
      <c r="I122" s="643">
        <v>21.7</v>
      </c>
      <c r="J122" s="643">
        <v>29.2</v>
      </c>
      <c r="K122" s="643">
        <v>40.4</v>
      </c>
    </row>
    <row r="123" spans="1:11">
      <c r="A123" s="642" t="s">
        <v>6853</v>
      </c>
      <c r="B123" s="643">
        <v>193.3</v>
      </c>
      <c r="C123" s="643">
        <v>166.2</v>
      </c>
      <c r="D123" s="643">
        <v>138.5</v>
      </c>
      <c r="E123" s="643">
        <v>150</v>
      </c>
      <c r="F123" s="643">
        <v>26.4</v>
      </c>
      <c r="G123" s="643">
        <v>25.2</v>
      </c>
      <c r="H123" s="643">
        <v>35.9</v>
      </c>
      <c r="I123" s="643">
        <v>52.7</v>
      </c>
      <c r="J123" s="643">
        <v>62.5</v>
      </c>
      <c r="K123" s="643">
        <v>79.3</v>
      </c>
    </row>
    <row r="124" spans="1:11">
      <c r="A124" s="642" t="s">
        <v>6854</v>
      </c>
      <c r="B124" s="643">
        <v>223.3</v>
      </c>
      <c r="C124" s="643">
        <v>193.2</v>
      </c>
      <c r="D124" s="643">
        <v>175.1</v>
      </c>
      <c r="E124" s="643">
        <v>161.30000000000001</v>
      </c>
      <c r="F124" s="643">
        <v>36.4</v>
      </c>
      <c r="G124" s="643">
        <v>24.1</v>
      </c>
      <c r="H124" s="643">
        <v>8.1999999999999993</v>
      </c>
      <c r="I124" s="643">
        <v>43.3</v>
      </c>
      <c r="J124" s="643">
        <v>58.4</v>
      </c>
      <c r="K124" s="643">
        <v>80.8</v>
      </c>
    </row>
    <row r="125" spans="1:11">
      <c r="A125" s="642" t="s">
        <v>6855</v>
      </c>
      <c r="B125" s="643">
        <v>220.5</v>
      </c>
      <c r="C125" s="643">
        <v>195.7</v>
      </c>
      <c r="D125" s="643">
        <v>198.3</v>
      </c>
      <c r="E125" s="643">
        <v>231.3</v>
      </c>
      <c r="F125" s="643">
        <v>9.9</v>
      </c>
      <c r="G125" s="643">
        <v>5.4</v>
      </c>
      <c r="H125" s="643">
        <v>0</v>
      </c>
      <c r="I125" s="643">
        <v>0</v>
      </c>
      <c r="J125" s="643">
        <v>0</v>
      </c>
      <c r="K125" s="643">
        <v>0</v>
      </c>
    </row>
    <row r="126" spans="1:11">
      <c r="A126" s="640" t="s">
        <v>6856</v>
      </c>
      <c r="B126" s="641">
        <v>931.5</v>
      </c>
      <c r="C126" s="641">
        <v>792.8</v>
      </c>
      <c r="D126" s="641" t="s">
        <v>6765</v>
      </c>
      <c r="E126" s="641" t="s">
        <v>6765</v>
      </c>
      <c r="F126" s="641" t="s">
        <v>6765</v>
      </c>
      <c r="G126" s="641" t="s">
        <v>6765</v>
      </c>
      <c r="H126" s="641" t="s">
        <v>6765</v>
      </c>
      <c r="I126" s="641" t="s">
        <v>6765</v>
      </c>
      <c r="J126" s="641" t="s">
        <v>6765</v>
      </c>
      <c r="K126" s="641" t="s">
        <v>6765</v>
      </c>
    </row>
    <row r="127" spans="1:11">
      <c r="A127" s="642" t="s">
        <v>6857</v>
      </c>
      <c r="B127" s="643">
        <v>186.4</v>
      </c>
      <c r="C127" s="643">
        <v>149.4</v>
      </c>
      <c r="D127" s="643" t="s">
        <v>6765</v>
      </c>
      <c r="E127" s="643" t="s">
        <v>6765</v>
      </c>
      <c r="F127" s="643" t="s">
        <v>6765</v>
      </c>
      <c r="G127" s="643" t="s">
        <v>6765</v>
      </c>
      <c r="H127" s="643" t="s">
        <v>6765</v>
      </c>
      <c r="I127" s="643" t="s">
        <v>6765</v>
      </c>
      <c r="J127" s="643" t="s">
        <v>6765</v>
      </c>
      <c r="K127" s="643" t="s">
        <v>6765</v>
      </c>
    </row>
    <row r="128" spans="1:11">
      <c r="A128" s="642" t="s">
        <v>6858</v>
      </c>
      <c r="B128" s="643">
        <v>126.8</v>
      </c>
      <c r="C128" s="643">
        <v>108.2</v>
      </c>
      <c r="D128" s="643" t="s">
        <v>6765</v>
      </c>
      <c r="E128" s="643" t="s">
        <v>6765</v>
      </c>
      <c r="F128" s="643" t="s">
        <v>6765</v>
      </c>
      <c r="G128" s="643" t="s">
        <v>6765</v>
      </c>
      <c r="H128" s="643" t="s">
        <v>6765</v>
      </c>
      <c r="I128" s="643" t="s">
        <v>6765</v>
      </c>
      <c r="J128" s="643" t="s">
        <v>6765</v>
      </c>
      <c r="K128" s="643" t="s">
        <v>6765</v>
      </c>
    </row>
    <row r="129" spans="1:11">
      <c r="A129" s="642" t="s">
        <v>6859</v>
      </c>
      <c r="B129" s="643">
        <v>126.8</v>
      </c>
      <c r="C129" s="643">
        <v>108.2</v>
      </c>
      <c r="D129" s="643" t="s">
        <v>6765</v>
      </c>
      <c r="E129" s="643" t="s">
        <v>6765</v>
      </c>
      <c r="F129" s="643" t="s">
        <v>6765</v>
      </c>
      <c r="G129" s="643" t="s">
        <v>6765</v>
      </c>
      <c r="H129" s="643" t="s">
        <v>6765</v>
      </c>
      <c r="I129" s="643" t="s">
        <v>6765</v>
      </c>
      <c r="J129" s="643" t="s">
        <v>6765</v>
      </c>
      <c r="K129" s="643" t="s">
        <v>6765</v>
      </c>
    </row>
    <row r="130" spans="1:11">
      <c r="A130" s="642" t="s">
        <v>6860</v>
      </c>
      <c r="B130" s="643">
        <v>126.8</v>
      </c>
      <c r="C130" s="643">
        <v>108.2</v>
      </c>
      <c r="D130" s="643" t="s">
        <v>6765</v>
      </c>
      <c r="E130" s="643" t="s">
        <v>6765</v>
      </c>
      <c r="F130" s="643" t="s">
        <v>6765</v>
      </c>
      <c r="G130" s="643" t="s">
        <v>6765</v>
      </c>
      <c r="H130" s="643" t="s">
        <v>6765</v>
      </c>
      <c r="I130" s="643" t="s">
        <v>6765</v>
      </c>
      <c r="J130" s="643" t="s">
        <v>6765</v>
      </c>
      <c r="K130" s="643" t="s">
        <v>6765</v>
      </c>
    </row>
    <row r="131" spans="1:11">
      <c r="A131" s="642" t="s">
        <v>6861</v>
      </c>
      <c r="B131" s="643">
        <v>126.8</v>
      </c>
      <c r="C131" s="643">
        <v>108.2</v>
      </c>
      <c r="D131" s="643" t="s">
        <v>6765</v>
      </c>
      <c r="E131" s="643" t="s">
        <v>6765</v>
      </c>
      <c r="F131" s="643" t="s">
        <v>6765</v>
      </c>
      <c r="G131" s="643" t="s">
        <v>6765</v>
      </c>
      <c r="H131" s="643" t="s">
        <v>6765</v>
      </c>
      <c r="I131" s="643" t="s">
        <v>6765</v>
      </c>
      <c r="J131" s="643" t="s">
        <v>6765</v>
      </c>
      <c r="K131" s="643" t="s">
        <v>6765</v>
      </c>
    </row>
    <row r="132" spans="1:11">
      <c r="A132" s="642" t="s">
        <v>6862</v>
      </c>
      <c r="B132" s="643">
        <v>253.6</v>
      </c>
      <c r="C132" s="643">
        <v>216.4</v>
      </c>
      <c r="D132" s="643" t="s">
        <v>6765</v>
      </c>
      <c r="E132" s="643" t="s">
        <v>6765</v>
      </c>
      <c r="F132" s="643" t="s">
        <v>6765</v>
      </c>
      <c r="G132" s="643" t="s">
        <v>6765</v>
      </c>
      <c r="H132" s="643" t="s">
        <v>6765</v>
      </c>
      <c r="I132" s="643" t="s">
        <v>6765</v>
      </c>
      <c r="J132" s="643" t="s">
        <v>6765</v>
      </c>
      <c r="K132" s="643" t="s">
        <v>6765</v>
      </c>
    </row>
    <row r="133" spans="1:11">
      <c r="A133" s="642" t="s">
        <v>6863</v>
      </c>
      <c r="B133" s="643">
        <v>253.6</v>
      </c>
      <c r="C133" s="643">
        <v>216.4</v>
      </c>
      <c r="D133" s="643" t="s">
        <v>6765</v>
      </c>
      <c r="E133" s="643" t="s">
        <v>6765</v>
      </c>
      <c r="F133" s="643" t="s">
        <v>6765</v>
      </c>
      <c r="G133" s="643" t="s">
        <v>6765</v>
      </c>
      <c r="H133" s="643" t="s">
        <v>6765</v>
      </c>
      <c r="I133" s="643" t="s">
        <v>6765</v>
      </c>
      <c r="J133" s="643" t="s">
        <v>6765</v>
      </c>
      <c r="K133" s="643" t="s">
        <v>6765</v>
      </c>
    </row>
    <row r="134" spans="1:11">
      <c r="A134" s="642" t="s">
        <v>6864</v>
      </c>
      <c r="B134" s="643">
        <v>238</v>
      </c>
      <c r="C134" s="643">
        <v>210.7</v>
      </c>
      <c r="D134" s="643" t="s">
        <v>6765</v>
      </c>
      <c r="E134" s="643" t="s">
        <v>6765</v>
      </c>
      <c r="F134" s="643" t="s">
        <v>6765</v>
      </c>
      <c r="G134" s="643" t="s">
        <v>6765</v>
      </c>
      <c r="H134" s="643" t="s">
        <v>6765</v>
      </c>
      <c r="I134" s="643" t="s">
        <v>6765</v>
      </c>
      <c r="J134" s="643" t="s">
        <v>6765</v>
      </c>
      <c r="K134" s="643" t="s">
        <v>6765</v>
      </c>
    </row>
    <row r="135" spans="1:11">
      <c r="A135" s="640" t="s">
        <v>6865</v>
      </c>
      <c r="B135" s="641" t="s">
        <v>6765</v>
      </c>
      <c r="C135" s="641" t="s">
        <v>6765</v>
      </c>
      <c r="D135" s="641">
        <v>27.2</v>
      </c>
      <c r="E135" s="641">
        <v>26.9</v>
      </c>
      <c r="F135" s="641">
        <v>608.20000000000005</v>
      </c>
      <c r="G135" s="641">
        <v>404.8</v>
      </c>
      <c r="H135" s="641">
        <v>415.3</v>
      </c>
      <c r="I135" s="641">
        <v>360.3</v>
      </c>
      <c r="J135" s="641">
        <v>205.2</v>
      </c>
      <c r="K135" s="641">
        <v>188</v>
      </c>
    </row>
    <row r="136" spans="1:11">
      <c r="A136" s="642" t="s">
        <v>6866</v>
      </c>
      <c r="B136" s="643" t="s">
        <v>6765</v>
      </c>
      <c r="C136" s="643" t="s">
        <v>6765</v>
      </c>
      <c r="D136" s="643">
        <v>27.2</v>
      </c>
      <c r="E136" s="643">
        <v>26.9</v>
      </c>
      <c r="F136" s="643">
        <v>104.3</v>
      </c>
      <c r="G136" s="643">
        <v>77.099999999999994</v>
      </c>
      <c r="H136" s="643">
        <v>74.099999999999994</v>
      </c>
      <c r="I136" s="643">
        <v>52.4</v>
      </c>
      <c r="J136" s="643">
        <v>37.4</v>
      </c>
      <c r="K136" s="643">
        <v>25.6</v>
      </c>
    </row>
    <row r="137" spans="1:11">
      <c r="A137" s="642" t="s">
        <v>6867</v>
      </c>
      <c r="B137" s="643" t="s">
        <v>6765</v>
      </c>
      <c r="C137" s="643" t="s">
        <v>6765</v>
      </c>
      <c r="D137" s="643" t="s">
        <v>6765</v>
      </c>
      <c r="E137" s="643" t="s">
        <v>6765</v>
      </c>
      <c r="F137" s="643">
        <v>69.099999999999994</v>
      </c>
      <c r="G137" s="643">
        <v>54</v>
      </c>
      <c r="H137" s="643">
        <v>56.3</v>
      </c>
      <c r="I137" s="643">
        <v>44.2</v>
      </c>
      <c r="J137" s="643">
        <v>24.6</v>
      </c>
      <c r="K137" s="643">
        <v>21.1</v>
      </c>
    </row>
    <row r="138" spans="1:11">
      <c r="A138" s="642" t="s">
        <v>6868</v>
      </c>
      <c r="B138" s="643" t="s">
        <v>6765</v>
      </c>
      <c r="C138" s="643" t="s">
        <v>6765</v>
      </c>
      <c r="D138" s="643" t="s">
        <v>6765</v>
      </c>
      <c r="E138" s="643" t="s">
        <v>6765</v>
      </c>
      <c r="F138" s="643">
        <v>69.099999999999994</v>
      </c>
      <c r="G138" s="643">
        <v>54</v>
      </c>
      <c r="H138" s="643">
        <v>56.3</v>
      </c>
      <c r="I138" s="643">
        <v>44.2</v>
      </c>
      <c r="J138" s="643">
        <v>24.6</v>
      </c>
      <c r="K138" s="643">
        <v>21.1</v>
      </c>
    </row>
    <row r="139" spans="1:11">
      <c r="A139" s="642" t="s">
        <v>6869</v>
      </c>
      <c r="B139" s="643" t="s">
        <v>6765</v>
      </c>
      <c r="C139" s="643" t="s">
        <v>6765</v>
      </c>
      <c r="D139" s="643" t="s">
        <v>6765</v>
      </c>
      <c r="E139" s="643" t="s">
        <v>6765</v>
      </c>
      <c r="F139" s="643">
        <v>69.099999999999994</v>
      </c>
      <c r="G139" s="643">
        <v>54</v>
      </c>
      <c r="H139" s="643">
        <v>56.3</v>
      </c>
      <c r="I139" s="643">
        <v>44.2</v>
      </c>
      <c r="J139" s="643">
        <v>24.6</v>
      </c>
      <c r="K139" s="643">
        <v>21.1</v>
      </c>
    </row>
    <row r="140" spans="1:11">
      <c r="A140" s="642" t="s">
        <v>6870</v>
      </c>
      <c r="B140" s="643" t="s">
        <v>6765</v>
      </c>
      <c r="C140" s="643" t="s">
        <v>6765</v>
      </c>
      <c r="D140" s="643" t="s">
        <v>6765</v>
      </c>
      <c r="E140" s="643" t="s">
        <v>6765</v>
      </c>
      <c r="F140" s="643">
        <v>69.099999999999994</v>
      </c>
      <c r="G140" s="643">
        <v>54</v>
      </c>
      <c r="H140" s="643">
        <v>56.3</v>
      </c>
      <c r="I140" s="643">
        <v>44.2</v>
      </c>
      <c r="J140" s="643">
        <v>24.6</v>
      </c>
      <c r="K140" s="643">
        <v>21.1</v>
      </c>
    </row>
    <row r="141" spans="1:11">
      <c r="A141" s="642" t="s">
        <v>6871</v>
      </c>
      <c r="B141" s="643" t="s">
        <v>6765</v>
      </c>
      <c r="C141" s="643" t="s">
        <v>6765</v>
      </c>
      <c r="D141" s="643" t="s">
        <v>6765</v>
      </c>
      <c r="E141" s="643" t="s">
        <v>6765</v>
      </c>
      <c r="F141" s="643">
        <v>138.1</v>
      </c>
      <c r="G141" s="643">
        <v>108</v>
      </c>
      <c r="H141" s="643">
        <v>112.6</v>
      </c>
      <c r="I141" s="643">
        <v>88.5</v>
      </c>
      <c r="J141" s="643">
        <v>49.2</v>
      </c>
      <c r="K141" s="643">
        <v>42.3</v>
      </c>
    </row>
    <row r="142" spans="1:11">
      <c r="A142" s="642" t="s">
        <v>6872</v>
      </c>
      <c r="B142" s="643" t="s">
        <v>6765</v>
      </c>
      <c r="C142" s="643" t="s">
        <v>6765</v>
      </c>
      <c r="D142" s="643" t="s">
        <v>6765</v>
      </c>
      <c r="E142" s="643" t="s">
        <v>6765</v>
      </c>
      <c r="F142" s="643">
        <v>138.1</v>
      </c>
      <c r="G142" s="643">
        <v>108</v>
      </c>
      <c r="H142" s="643">
        <v>112.6</v>
      </c>
      <c r="I142" s="643">
        <v>88.5</v>
      </c>
      <c r="J142" s="643">
        <v>49.2</v>
      </c>
      <c r="K142" s="643">
        <v>42.3</v>
      </c>
    </row>
    <row r="143" spans="1:11">
      <c r="A143" s="642" t="s">
        <v>6873</v>
      </c>
      <c r="B143" s="643" t="s">
        <v>6765</v>
      </c>
      <c r="C143" s="643" t="s">
        <v>6765</v>
      </c>
      <c r="D143" s="643">
        <v>0</v>
      </c>
      <c r="E143" s="643">
        <v>0</v>
      </c>
      <c r="F143" s="643">
        <v>227.7</v>
      </c>
      <c r="G143" s="643">
        <v>111.6</v>
      </c>
      <c r="H143" s="643">
        <v>116</v>
      </c>
      <c r="I143" s="643">
        <v>130.9</v>
      </c>
      <c r="J143" s="643">
        <v>69.5</v>
      </c>
      <c r="K143" s="643">
        <v>77.8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747A-EEC8-46D6-A548-55632D1A889B}">
  <dimension ref="A1:L111"/>
  <sheetViews>
    <sheetView topLeftCell="A38" workbookViewId="0">
      <selection activeCell="D41" sqref="D41"/>
    </sheetView>
  </sheetViews>
  <sheetFormatPr defaultRowHeight="12.75"/>
  <cols>
    <col min="1" max="1" width="59.42578125" bestFit="1" customWidth="1"/>
    <col min="3" max="12" width="32.140625" bestFit="1" customWidth="1"/>
  </cols>
  <sheetData>
    <row r="1" spans="1:12">
      <c r="A1" s="629" t="s">
        <v>6874</v>
      </c>
    </row>
    <row r="3" spans="1:12">
      <c r="A3" s="630" t="s">
        <v>6615</v>
      </c>
    </row>
    <row r="4" spans="1:12">
      <c r="A4" s="630" t="s">
        <v>6694</v>
      </c>
    </row>
    <row r="5" spans="1:12">
      <c r="A5" s="1404"/>
      <c r="B5" s="1405"/>
      <c r="C5" s="632">
        <v>2022</v>
      </c>
      <c r="D5" s="632">
        <v>2021</v>
      </c>
      <c r="E5" s="632">
        <v>2020</v>
      </c>
      <c r="F5" s="632">
        <v>2019</v>
      </c>
      <c r="G5" s="632">
        <v>2018</v>
      </c>
      <c r="H5" s="632">
        <v>2017</v>
      </c>
      <c r="I5" s="632">
        <v>2016</v>
      </c>
      <c r="J5" s="632">
        <v>2015</v>
      </c>
      <c r="K5" s="632">
        <v>2014</v>
      </c>
      <c r="L5" s="632">
        <v>2013</v>
      </c>
    </row>
    <row r="6" spans="1:12" ht="15">
      <c r="A6" s="1406" t="s">
        <v>6695</v>
      </c>
      <c r="B6" s="1407"/>
      <c r="C6" s="634" t="s">
        <v>6696</v>
      </c>
      <c r="D6" s="635" t="s">
        <v>6697</v>
      </c>
      <c r="E6" s="635" t="s">
        <v>6698</v>
      </c>
      <c r="F6" s="635" t="s">
        <v>6699</v>
      </c>
      <c r="G6" s="636" t="s">
        <v>6700</v>
      </c>
      <c r="H6" s="636" t="s">
        <v>6701</v>
      </c>
      <c r="I6" s="636" t="s">
        <v>6702</v>
      </c>
      <c r="J6" s="634" t="s">
        <v>6703</v>
      </c>
      <c r="K6" s="635" t="s">
        <v>6699</v>
      </c>
      <c r="L6" s="634" t="s">
        <v>6704</v>
      </c>
    </row>
    <row r="7" spans="1:12">
      <c r="A7" s="1408" t="s">
        <v>6705</v>
      </c>
      <c r="B7" s="1409"/>
      <c r="C7" s="638" t="s">
        <v>6706</v>
      </c>
      <c r="D7" s="638" t="s">
        <v>6707</v>
      </c>
      <c r="E7" s="638" t="s">
        <v>6708</v>
      </c>
      <c r="F7" s="638" t="s">
        <v>6709</v>
      </c>
      <c r="G7" s="638" t="s">
        <v>6710</v>
      </c>
      <c r="H7" s="638" t="s">
        <v>6711</v>
      </c>
      <c r="I7" s="638" t="s">
        <v>6712</v>
      </c>
      <c r="J7" s="638" t="s">
        <v>6713</v>
      </c>
      <c r="K7" s="638" t="s">
        <v>6714</v>
      </c>
      <c r="L7" s="638" t="s">
        <v>6715</v>
      </c>
    </row>
    <row r="8" spans="1:12">
      <c r="A8" s="1402" t="s">
        <v>6875</v>
      </c>
      <c r="B8" s="1403"/>
      <c r="C8" s="638" t="s">
        <v>6876</v>
      </c>
      <c r="D8" s="638" t="s">
        <v>6876</v>
      </c>
      <c r="E8" s="638" t="s">
        <v>6876</v>
      </c>
      <c r="F8" s="638" t="s">
        <v>6876</v>
      </c>
      <c r="G8" s="638" t="s">
        <v>6876</v>
      </c>
      <c r="H8" s="638" t="s">
        <v>6876</v>
      </c>
      <c r="I8" s="638" t="s">
        <v>6876</v>
      </c>
      <c r="J8" s="638" t="s">
        <v>6876</v>
      </c>
      <c r="K8" s="638" t="s">
        <v>6876</v>
      </c>
      <c r="L8" s="638" t="s">
        <v>6876</v>
      </c>
    </row>
    <row r="9" spans="1:12">
      <c r="A9" s="1402" t="s">
        <v>6716</v>
      </c>
      <c r="B9" s="1403"/>
      <c r="C9" s="638" t="s">
        <v>6717</v>
      </c>
      <c r="D9" s="638" t="s">
        <v>6717</v>
      </c>
      <c r="E9" s="638" t="s">
        <v>6717</v>
      </c>
      <c r="F9" s="638" t="s">
        <v>6717</v>
      </c>
      <c r="G9" s="638" t="s">
        <v>6717</v>
      </c>
      <c r="H9" s="638" t="s">
        <v>6717</v>
      </c>
      <c r="I9" s="638" t="s">
        <v>6717</v>
      </c>
      <c r="J9" s="638" t="s">
        <v>6717</v>
      </c>
      <c r="K9" s="638" t="s">
        <v>6717</v>
      </c>
      <c r="L9" s="638" t="s">
        <v>6717</v>
      </c>
    </row>
    <row r="10" spans="1:12">
      <c r="A10" s="1402" t="s">
        <v>6718</v>
      </c>
      <c r="B10" s="1403"/>
      <c r="C10" s="638" t="s">
        <v>6706</v>
      </c>
      <c r="D10" s="638" t="s">
        <v>6707</v>
      </c>
      <c r="E10" s="638" t="s">
        <v>6708</v>
      </c>
      <c r="F10" s="638" t="s">
        <v>6709</v>
      </c>
      <c r="G10" s="638" t="s">
        <v>6710</v>
      </c>
      <c r="H10" s="638" t="s">
        <v>6711</v>
      </c>
      <c r="I10" s="638" t="s">
        <v>6712</v>
      </c>
      <c r="J10" s="638" t="s">
        <v>6713</v>
      </c>
      <c r="K10" s="638" t="s">
        <v>6714</v>
      </c>
      <c r="L10" s="638" t="s">
        <v>6715</v>
      </c>
    </row>
    <row r="11" spans="1:12">
      <c r="A11" s="1402" t="s">
        <v>6719</v>
      </c>
      <c r="B11" s="1403"/>
      <c r="C11" s="638" t="s">
        <v>6720</v>
      </c>
      <c r="D11" s="638" t="s">
        <v>6720</v>
      </c>
      <c r="E11" s="638" t="s">
        <v>6720</v>
      </c>
      <c r="F11" s="638" t="s">
        <v>6720</v>
      </c>
      <c r="G11" s="638" t="s">
        <v>6720</v>
      </c>
      <c r="H11" s="638" t="s">
        <v>6720</v>
      </c>
      <c r="I11" s="638" t="s">
        <v>6720</v>
      </c>
      <c r="J11" s="638" t="s">
        <v>6720</v>
      </c>
      <c r="K11" s="638" t="s">
        <v>6720</v>
      </c>
      <c r="L11" s="638" t="s">
        <v>6720</v>
      </c>
    </row>
    <row r="12" spans="1:12">
      <c r="A12" s="1402" t="s">
        <v>6721</v>
      </c>
      <c r="B12" s="1403"/>
      <c r="C12" s="638" t="s">
        <v>6877</v>
      </c>
      <c r="D12" s="638" t="s">
        <v>6877</v>
      </c>
      <c r="E12" s="638" t="s">
        <v>6877</v>
      </c>
      <c r="F12" s="638" t="s">
        <v>6877</v>
      </c>
      <c r="G12" s="638" t="s">
        <v>6878</v>
      </c>
      <c r="H12" s="638" t="s">
        <v>6879</v>
      </c>
      <c r="I12" s="638" t="s">
        <v>6880</v>
      </c>
      <c r="J12" s="638" t="s">
        <v>6881</v>
      </c>
      <c r="K12" s="638" t="s">
        <v>6882</v>
      </c>
      <c r="L12" s="638" t="s">
        <v>6882</v>
      </c>
    </row>
    <row r="13" spans="1:12">
      <c r="A13" s="1402" t="s">
        <v>6723</v>
      </c>
      <c r="B13" s="1403"/>
      <c r="C13" s="638" t="s">
        <v>6724</v>
      </c>
      <c r="D13" s="638" t="s">
        <v>6724</v>
      </c>
      <c r="E13" s="638" t="s">
        <v>6724</v>
      </c>
      <c r="F13" s="638" t="s">
        <v>6724</v>
      </c>
      <c r="G13" s="638" t="s">
        <v>6724</v>
      </c>
      <c r="H13" s="638" t="s">
        <v>6724</v>
      </c>
      <c r="I13" s="638" t="s">
        <v>6724</v>
      </c>
      <c r="J13" s="638" t="s">
        <v>6724</v>
      </c>
      <c r="K13" s="638" t="s">
        <v>6724</v>
      </c>
      <c r="L13" s="638" t="s">
        <v>6724</v>
      </c>
    </row>
    <row r="14" spans="1:12">
      <c r="A14" s="1402" t="s">
        <v>204</v>
      </c>
      <c r="B14" s="1403"/>
      <c r="C14" s="638" t="s">
        <v>6725</v>
      </c>
      <c r="D14" s="638" t="s">
        <v>6725</v>
      </c>
      <c r="E14" s="638" t="s">
        <v>6725</v>
      </c>
      <c r="F14" s="638" t="s">
        <v>6725</v>
      </c>
      <c r="G14" s="638" t="s">
        <v>6725</v>
      </c>
      <c r="H14" s="638" t="s">
        <v>6725</v>
      </c>
      <c r="I14" s="638" t="s">
        <v>6725</v>
      </c>
      <c r="J14" s="638" t="s">
        <v>6725</v>
      </c>
      <c r="K14" s="638" t="s">
        <v>6725</v>
      </c>
      <c r="L14" s="638" t="s">
        <v>6725</v>
      </c>
    </row>
    <row r="15" spans="1:12">
      <c r="A15" s="1402" t="s">
        <v>6726</v>
      </c>
      <c r="B15" s="1403"/>
      <c r="C15" s="638" t="s">
        <v>6727</v>
      </c>
      <c r="D15" s="638" t="s">
        <v>6728</v>
      </c>
      <c r="E15" s="638" t="s">
        <v>6729</v>
      </c>
      <c r="F15" s="638" t="s">
        <v>6730</v>
      </c>
      <c r="G15" s="638" t="s">
        <v>6731</v>
      </c>
      <c r="H15" s="638" t="s">
        <v>6732</v>
      </c>
      <c r="I15" s="638" t="s">
        <v>6733</v>
      </c>
      <c r="J15" s="638" t="s">
        <v>6734</v>
      </c>
      <c r="K15" s="638" t="s">
        <v>6735</v>
      </c>
      <c r="L15" s="638" t="s">
        <v>6736</v>
      </c>
    </row>
    <row r="16" spans="1:12">
      <c r="A16" s="1402" t="s">
        <v>6737</v>
      </c>
      <c r="B16" s="1403"/>
      <c r="C16" s="638" t="s">
        <v>6738</v>
      </c>
      <c r="D16" s="638" t="s">
        <v>6739</v>
      </c>
      <c r="E16" s="638" t="s">
        <v>6740</v>
      </c>
      <c r="F16" s="638" t="s">
        <v>6741</v>
      </c>
      <c r="G16" s="638" t="s">
        <v>6742</v>
      </c>
      <c r="H16" s="638" t="s">
        <v>6743</v>
      </c>
      <c r="I16" s="638" t="s">
        <v>6744</v>
      </c>
      <c r="J16" s="638" t="s">
        <v>6745</v>
      </c>
      <c r="K16" s="638" t="s">
        <v>6746</v>
      </c>
      <c r="L16" s="638" t="s">
        <v>6747</v>
      </c>
    </row>
    <row r="17" spans="1:12">
      <c r="A17" s="1402" t="s">
        <v>6748</v>
      </c>
      <c r="B17" s="1403"/>
      <c r="C17" s="638" t="s">
        <v>6749</v>
      </c>
      <c r="D17" s="638" t="s">
        <v>6749</v>
      </c>
      <c r="E17" s="638" t="s">
        <v>6749</v>
      </c>
      <c r="F17" s="638" t="s">
        <v>6749</v>
      </c>
      <c r="G17" s="638" t="s">
        <v>6749</v>
      </c>
      <c r="H17" s="638" t="s">
        <v>6749</v>
      </c>
      <c r="I17" s="638" t="s">
        <v>6749</v>
      </c>
      <c r="J17" s="638" t="s">
        <v>6749</v>
      </c>
      <c r="K17" s="638" t="s">
        <v>6749</v>
      </c>
      <c r="L17" s="638" t="s">
        <v>6749</v>
      </c>
    </row>
    <row r="18" spans="1:12">
      <c r="A18" s="1402" t="s">
        <v>6750</v>
      </c>
      <c r="B18" s="1403"/>
      <c r="C18" s="638" t="s">
        <v>6751</v>
      </c>
      <c r="D18" s="638" t="s">
        <v>6751</v>
      </c>
      <c r="E18" s="638" t="s">
        <v>6751</v>
      </c>
      <c r="F18" s="638" t="s">
        <v>6751</v>
      </c>
      <c r="G18" s="638" t="s">
        <v>6751</v>
      </c>
      <c r="H18" s="638" t="s">
        <v>6751</v>
      </c>
      <c r="I18" s="638" t="s">
        <v>6751</v>
      </c>
      <c r="J18" s="638" t="s">
        <v>6751</v>
      </c>
      <c r="K18" s="638" t="s">
        <v>6751</v>
      </c>
      <c r="L18" s="638" t="s">
        <v>6751</v>
      </c>
    </row>
    <row r="19" spans="1:12">
      <c r="A19" s="1402" t="s">
        <v>6752</v>
      </c>
      <c r="B19" s="1403"/>
      <c r="C19" s="638" t="s">
        <v>6753</v>
      </c>
      <c r="D19" s="638" t="s">
        <v>6753</v>
      </c>
      <c r="E19" s="638" t="s">
        <v>6753</v>
      </c>
      <c r="F19" s="638" t="s">
        <v>6753</v>
      </c>
      <c r="G19" s="638" t="s">
        <v>6753</v>
      </c>
      <c r="H19" s="638" t="s">
        <v>6753</v>
      </c>
      <c r="I19" s="638" t="s">
        <v>6753</v>
      </c>
      <c r="J19" s="638" t="s">
        <v>6753</v>
      </c>
      <c r="K19" s="638" t="s">
        <v>6753</v>
      </c>
      <c r="L19" s="638" t="s">
        <v>6753</v>
      </c>
    </row>
    <row r="20" spans="1:12">
      <c r="A20" s="1402" t="s">
        <v>6754</v>
      </c>
      <c r="B20" s="1403"/>
      <c r="C20" s="638" t="s">
        <v>6755</v>
      </c>
      <c r="D20" s="638" t="s">
        <v>6756</v>
      </c>
      <c r="E20" s="638" t="s">
        <v>6756</v>
      </c>
      <c r="F20" s="638" t="s">
        <v>6756</v>
      </c>
      <c r="G20" s="638" t="s">
        <v>6756</v>
      </c>
      <c r="H20" s="638" t="s">
        <v>6756</v>
      </c>
      <c r="I20" s="638" t="s">
        <v>6756</v>
      </c>
      <c r="J20" s="638" t="s">
        <v>6756</v>
      </c>
      <c r="K20" s="638" t="s">
        <v>6756</v>
      </c>
      <c r="L20" s="638" t="s">
        <v>6756</v>
      </c>
    </row>
    <row r="21" spans="1:12">
      <c r="A21" s="1402" t="s">
        <v>6757</v>
      </c>
      <c r="B21" s="1403"/>
      <c r="C21" s="638" t="s">
        <v>6758</v>
      </c>
      <c r="D21" s="638" t="s">
        <v>6758</v>
      </c>
      <c r="E21" s="638" t="s">
        <v>6758</v>
      </c>
      <c r="F21" s="638" t="s">
        <v>6758</v>
      </c>
      <c r="G21" s="638" t="s">
        <v>6759</v>
      </c>
      <c r="H21" s="638" t="s">
        <v>6759</v>
      </c>
      <c r="I21" s="638" t="s">
        <v>6758</v>
      </c>
      <c r="J21" s="638" t="s">
        <v>6758</v>
      </c>
      <c r="K21" s="638" t="s">
        <v>6758</v>
      </c>
      <c r="L21" s="638" t="s">
        <v>6758</v>
      </c>
    </row>
    <row r="22" spans="1:12">
      <c r="A22" s="1402" t="s">
        <v>6760</v>
      </c>
      <c r="B22" s="1403"/>
      <c r="C22" s="638" t="s">
        <v>6761</v>
      </c>
      <c r="D22" s="638" t="s">
        <v>6761</v>
      </c>
      <c r="E22" s="638" t="s">
        <v>6761</v>
      </c>
      <c r="F22" s="638" t="s">
        <v>6761</v>
      </c>
      <c r="G22" s="638" t="s">
        <v>6761</v>
      </c>
      <c r="H22" s="638" t="s">
        <v>6761</v>
      </c>
      <c r="I22" s="638" t="s">
        <v>6761</v>
      </c>
      <c r="J22" s="638" t="s">
        <v>6761</v>
      </c>
      <c r="K22" s="638" t="s">
        <v>6761</v>
      </c>
      <c r="L22" s="638" t="s">
        <v>6761</v>
      </c>
    </row>
    <row r="23" spans="1:12">
      <c r="A23" s="1389" t="s">
        <v>6883</v>
      </c>
      <c r="B23" s="1390"/>
      <c r="C23" s="641">
        <v>2602.9</v>
      </c>
      <c r="D23" s="641">
        <v>2046.1</v>
      </c>
      <c r="E23" s="641">
        <v>1440.4</v>
      </c>
      <c r="F23" s="641">
        <v>1627.7</v>
      </c>
      <c r="G23" s="641">
        <v>1420.1</v>
      </c>
      <c r="H23" s="641">
        <v>1193.7</v>
      </c>
      <c r="I23" s="641">
        <v>1040.3</v>
      </c>
      <c r="J23" s="641">
        <v>880.4</v>
      </c>
      <c r="K23" s="641">
        <v>694.2</v>
      </c>
      <c r="L23" s="641">
        <v>580.6</v>
      </c>
    </row>
    <row r="24" spans="1:12">
      <c r="A24" s="1387" t="s">
        <v>126</v>
      </c>
      <c r="B24" s="1388"/>
      <c r="C24" s="643">
        <v>2602.9</v>
      </c>
      <c r="D24" s="643">
        <v>2046.1</v>
      </c>
      <c r="E24" s="643">
        <v>1440.4</v>
      </c>
      <c r="F24" s="643">
        <v>1627.7</v>
      </c>
      <c r="G24" s="643">
        <v>1420.1</v>
      </c>
      <c r="H24" s="643">
        <v>1193.7</v>
      </c>
      <c r="I24" s="643">
        <v>1040.3</v>
      </c>
      <c r="J24" s="643">
        <v>880.4</v>
      </c>
      <c r="K24" s="643">
        <v>694.2</v>
      </c>
      <c r="L24" s="643">
        <v>580.6</v>
      </c>
    </row>
    <row r="25" spans="1:12">
      <c r="A25" s="1398" t="s">
        <v>6884</v>
      </c>
      <c r="B25" s="1399"/>
      <c r="C25" s="645">
        <v>2602.9</v>
      </c>
      <c r="D25" s="645">
        <v>2046.1</v>
      </c>
      <c r="E25" s="645">
        <v>1440.4</v>
      </c>
      <c r="F25" s="645">
        <v>1627.7</v>
      </c>
      <c r="G25" s="645">
        <v>1420.1</v>
      </c>
      <c r="H25" s="645">
        <v>1193.7</v>
      </c>
      <c r="I25" s="645">
        <v>1040.3</v>
      </c>
      <c r="J25" s="645">
        <v>880.4</v>
      </c>
      <c r="K25" s="645">
        <v>694.2</v>
      </c>
      <c r="L25" s="645">
        <v>580.6</v>
      </c>
    </row>
    <row r="26" spans="1:12">
      <c r="A26" s="1389" t="s">
        <v>6885</v>
      </c>
      <c r="B26" s="1390"/>
      <c r="C26" s="641">
        <v>615</v>
      </c>
      <c r="D26" s="641">
        <v>479.2</v>
      </c>
      <c r="E26" s="641">
        <v>350.8</v>
      </c>
      <c r="F26" s="641">
        <v>362.4</v>
      </c>
      <c r="G26" s="641">
        <v>320.2</v>
      </c>
      <c r="H26" s="641">
        <v>276.2</v>
      </c>
      <c r="I26" s="641">
        <v>252.3</v>
      </c>
      <c r="J26" s="641">
        <v>225.5</v>
      </c>
      <c r="K26" s="641">
        <v>192.5</v>
      </c>
      <c r="L26" s="641">
        <v>166.5</v>
      </c>
    </row>
    <row r="27" spans="1:12">
      <c r="A27" s="1387" t="s">
        <v>6886</v>
      </c>
      <c r="B27" s="1388"/>
      <c r="C27" s="643">
        <v>615</v>
      </c>
      <c r="D27" s="643">
        <v>479.2</v>
      </c>
      <c r="E27" s="643">
        <v>350.8</v>
      </c>
      <c r="F27" s="643">
        <v>362.4</v>
      </c>
      <c r="G27" s="643">
        <v>320.2</v>
      </c>
      <c r="H27" s="643">
        <v>276.2</v>
      </c>
      <c r="I27" s="643">
        <v>252.3</v>
      </c>
      <c r="J27" s="643">
        <v>225.5</v>
      </c>
      <c r="K27" s="643">
        <v>192.5</v>
      </c>
      <c r="L27" s="643">
        <v>166.5</v>
      </c>
    </row>
    <row r="28" spans="1:12">
      <c r="A28" s="1398" t="s">
        <v>6567</v>
      </c>
      <c r="B28" s="1399"/>
      <c r="C28" s="645">
        <v>1987.8</v>
      </c>
      <c r="D28" s="645">
        <v>1566.9</v>
      </c>
      <c r="E28" s="645">
        <v>1089.5999999999999</v>
      </c>
      <c r="F28" s="645">
        <v>1265.3</v>
      </c>
      <c r="G28" s="645">
        <v>1099.8</v>
      </c>
      <c r="H28" s="645">
        <v>917.5</v>
      </c>
      <c r="I28" s="645">
        <v>788</v>
      </c>
      <c r="J28" s="645">
        <v>654.9</v>
      </c>
      <c r="K28" s="645">
        <v>501.7</v>
      </c>
      <c r="L28" s="645">
        <v>414.1</v>
      </c>
    </row>
    <row r="29" spans="1:12">
      <c r="A29" s="1401"/>
      <c r="B29" s="1401"/>
      <c r="C29" s="646"/>
      <c r="D29" s="646"/>
      <c r="E29" s="646"/>
      <c r="F29" s="646"/>
      <c r="G29" s="646"/>
      <c r="H29" s="646"/>
      <c r="I29" s="646"/>
      <c r="J29" s="646"/>
      <c r="K29" s="646"/>
      <c r="L29" s="646"/>
    </row>
    <row r="30" spans="1:12">
      <c r="A30" s="1389" t="s">
        <v>6887</v>
      </c>
      <c r="B30" s="1390"/>
      <c r="C30" s="641">
        <v>988.8</v>
      </c>
      <c r="D30" s="641">
        <v>795</v>
      </c>
      <c r="E30" s="641">
        <v>720.8</v>
      </c>
      <c r="F30" s="641">
        <v>773.5</v>
      </c>
      <c r="G30" s="641">
        <v>685.7</v>
      </c>
      <c r="H30" s="641">
        <v>576.6</v>
      </c>
      <c r="I30" s="641">
        <v>474.6</v>
      </c>
      <c r="J30" s="641">
        <v>390.8</v>
      </c>
      <c r="K30" s="641">
        <v>295.10000000000002</v>
      </c>
      <c r="L30" s="641">
        <v>241.5</v>
      </c>
    </row>
    <row r="31" spans="1:12">
      <c r="A31" s="1387" t="s">
        <v>6888</v>
      </c>
      <c r="B31" s="1388"/>
      <c r="C31" s="643">
        <v>608.79999999999995</v>
      </c>
      <c r="D31" s="643">
        <v>492.8</v>
      </c>
      <c r="E31" s="643">
        <v>637</v>
      </c>
      <c r="F31" s="643">
        <v>630.9</v>
      </c>
      <c r="G31" s="643">
        <v>556.70000000000005</v>
      </c>
      <c r="H31" s="643">
        <v>473.8</v>
      </c>
      <c r="I31" s="643">
        <v>406.4</v>
      </c>
      <c r="J31" s="643">
        <v>333</v>
      </c>
      <c r="K31" s="643">
        <v>249</v>
      </c>
      <c r="L31" s="643">
        <v>205.6</v>
      </c>
    </row>
    <row r="32" spans="1:12">
      <c r="A32" s="1387" t="s">
        <v>6889</v>
      </c>
      <c r="B32" s="1388"/>
      <c r="C32" s="643">
        <v>208.1</v>
      </c>
      <c r="D32" s="643">
        <v>160.1</v>
      </c>
      <c r="E32" s="643" t="s">
        <v>6765</v>
      </c>
      <c r="F32" s="643">
        <v>29.4</v>
      </c>
      <c r="G32" s="643">
        <v>29.6</v>
      </c>
      <c r="H32" s="643">
        <v>23.5</v>
      </c>
      <c r="I32" s="643" t="s">
        <v>6765</v>
      </c>
      <c r="J32" s="643" t="s">
        <v>6765</v>
      </c>
      <c r="K32" s="643" t="s">
        <v>6765</v>
      </c>
      <c r="L32" s="643" t="s">
        <v>6765</v>
      </c>
    </row>
    <row r="33" spans="1:12">
      <c r="A33" s="1387" t="s">
        <v>6890</v>
      </c>
      <c r="B33" s="1388"/>
      <c r="C33" s="643">
        <v>171.9</v>
      </c>
      <c r="D33" s="643">
        <v>142.1</v>
      </c>
      <c r="E33" s="643">
        <v>83.8</v>
      </c>
      <c r="F33" s="643">
        <v>113.2</v>
      </c>
      <c r="G33" s="643">
        <v>99.5</v>
      </c>
      <c r="H33" s="643">
        <v>79.400000000000006</v>
      </c>
      <c r="I33" s="643">
        <v>68.099999999999994</v>
      </c>
      <c r="J33" s="643">
        <v>57.8</v>
      </c>
      <c r="K33" s="643">
        <v>46.1</v>
      </c>
      <c r="L33" s="643">
        <v>36</v>
      </c>
    </row>
    <row r="34" spans="1:12">
      <c r="A34" s="1389" t="s">
        <v>6891</v>
      </c>
      <c r="B34" s="1390"/>
      <c r="C34" s="641">
        <v>224.5</v>
      </c>
      <c r="D34" s="641">
        <v>192.7</v>
      </c>
      <c r="E34" s="641" t="s">
        <v>6765</v>
      </c>
      <c r="F34" s="641" t="s">
        <v>6765</v>
      </c>
      <c r="G34" s="641" t="s">
        <v>6765</v>
      </c>
      <c r="H34" s="641" t="s">
        <v>6765</v>
      </c>
      <c r="I34" s="641" t="s">
        <v>6765</v>
      </c>
      <c r="J34" s="641" t="s">
        <v>6765</v>
      </c>
      <c r="K34" s="641" t="s">
        <v>6765</v>
      </c>
      <c r="L34" s="641" t="s">
        <v>6765</v>
      </c>
    </row>
    <row r="35" spans="1:12">
      <c r="A35" s="1387" t="s">
        <v>6892</v>
      </c>
      <c r="B35" s="1388"/>
      <c r="C35" s="643">
        <v>224.5</v>
      </c>
      <c r="D35" s="643">
        <v>192.7</v>
      </c>
      <c r="E35" s="643" t="s">
        <v>6765</v>
      </c>
      <c r="F35" s="643" t="s">
        <v>6765</v>
      </c>
      <c r="G35" s="643" t="s">
        <v>6765</v>
      </c>
      <c r="H35" s="643" t="s">
        <v>6765</v>
      </c>
      <c r="I35" s="643" t="s">
        <v>6765</v>
      </c>
      <c r="J35" s="643" t="s">
        <v>6765</v>
      </c>
      <c r="K35" s="643" t="s">
        <v>6765</v>
      </c>
      <c r="L35" s="643" t="s">
        <v>6765</v>
      </c>
    </row>
    <row r="36" spans="1:12">
      <c r="A36" s="1389" t="s">
        <v>6893</v>
      </c>
      <c r="B36" s="1390"/>
      <c r="C36" s="641" t="s">
        <v>6765</v>
      </c>
      <c r="D36" s="641" t="s">
        <v>6765</v>
      </c>
      <c r="E36" s="641" t="s">
        <v>6765</v>
      </c>
      <c r="F36" s="641" t="s">
        <v>6765</v>
      </c>
      <c r="G36" s="641" t="s">
        <v>6765</v>
      </c>
      <c r="H36" s="641" t="s">
        <v>6765</v>
      </c>
      <c r="I36" s="641">
        <v>15.7</v>
      </c>
      <c r="J36" s="641">
        <v>11.4</v>
      </c>
      <c r="K36" s="641">
        <v>5</v>
      </c>
      <c r="L36" s="641">
        <v>6.1</v>
      </c>
    </row>
    <row r="37" spans="1:12">
      <c r="A37" s="1387" t="s">
        <v>6894</v>
      </c>
      <c r="B37" s="1388"/>
      <c r="C37" s="643" t="s">
        <v>6765</v>
      </c>
      <c r="D37" s="643" t="s">
        <v>6765</v>
      </c>
      <c r="E37" s="643" t="s">
        <v>6765</v>
      </c>
      <c r="F37" s="643" t="s">
        <v>6765</v>
      </c>
      <c r="G37" s="643" t="s">
        <v>6765</v>
      </c>
      <c r="H37" s="643" t="s">
        <v>6765</v>
      </c>
      <c r="I37" s="643">
        <v>15.7</v>
      </c>
      <c r="J37" s="643">
        <v>11.4</v>
      </c>
      <c r="K37" s="643">
        <v>5</v>
      </c>
      <c r="L37" s="643">
        <v>6.1</v>
      </c>
    </row>
    <row r="38" spans="1:12">
      <c r="A38" s="1398" t="s">
        <v>6895</v>
      </c>
      <c r="B38" s="1399"/>
      <c r="C38" s="645">
        <v>1828.3</v>
      </c>
      <c r="D38" s="645">
        <v>1466.9</v>
      </c>
      <c r="E38" s="645">
        <v>1071.5999999999999</v>
      </c>
      <c r="F38" s="645">
        <v>1135.9000000000001</v>
      </c>
      <c r="G38" s="645">
        <v>1006</v>
      </c>
      <c r="H38" s="645">
        <v>852.8</v>
      </c>
      <c r="I38" s="645">
        <v>742.6</v>
      </c>
      <c r="J38" s="645">
        <v>627.70000000000005</v>
      </c>
      <c r="K38" s="645">
        <v>492.6</v>
      </c>
      <c r="L38" s="645">
        <v>414.2</v>
      </c>
    </row>
    <row r="39" spans="1:12">
      <c r="A39" s="1398" t="s">
        <v>280</v>
      </c>
      <c r="B39" s="1399"/>
      <c r="C39" s="645">
        <v>774.5</v>
      </c>
      <c r="D39" s="645">
        <v>579.20000000000005</v>
      </c>
      <c r="E39" s="645">
        <v>368.8</v>
      </c>
      <c r="F39" s="645">
        <v>491.8</v>
      </c>
      <c r="G39" s="645">
        <v>414.1</v>
      </c>
      <c r="H39" s="645">
        <v>340.9</v>
      </c>
      <c r="I39" s="645">
        <v>297.7</v>
      </c>
      <c r="J39" s="645">
        <v>252.7</v>
      </c>
      <c r="K39" s="645">
        <v>201.6</v>
      </c>
      <c r="L39" s="645">
        <v>166.4</v>
      </c>
    </row>
    <row r="40" spans="1:12">
      <c r="A40" s="1389" t="s">
        <v>6896</v>
      </c>
      <c r="B40" s="1390"/>
      <c r="C40" s="641">
        <v>-26.3</v>
      </c>
      <c r="D40" s="641">
        <v>-23.3</v>
      </c>
      <c r="E40" s="641">
        <v>-23</v>
      </c>
      <c r="F40" s="641">
        <v>-21.7</v>
      </c>
      <c r="G40" s="641">
        <v>-1.3</v>
      </c>
      <c r="H40" s="641">
        <v>-1.9</v>
      </c>
      <c r="I40" s="641">
        <v>-3.2</v>
      </c>
      <c r="J40" s="641">
        <v>-6</v>
      </c>
      <c r="K40" s="641">
        <v>-12.2</v>
      </c>
      <c r="L40" s="641">
        <v>-18.3</v>
      </c>
    </row>
    <row r="41" spans="1:12">
      <c r="A41" s="1387" t="s">
        <v>6897</v>
      </c>
      <c r="B41" s="1388"/>
      <c r="C41" s="643">
        <v>-26.3</v>
      </c>
      <c r="D41" s="643">
        <v>-23.3</v>
      </c>
      <c r="E41" s="643">
        <v>-23</v>
      </c>
      <c r="F41" s="643">
        <v>-21.7</v>
      </c>
      <c r="G41" s="643">
        <v>-1.3</v>
      </c>
      <c r="H41" s="643">
        <v>-1.9</v>
      </c>
      <c r="I41" s="643">
        <v>-3.2</v>
      </c>
      <c r="J41" s="643">
        <v>-6</v>
      </c>
      <c r="K41" s="643">
        <v>-12.2</v>
      </c>
      <c r="L41" s="643">
        <v>-18.3</v>
      </c>
    </row>
    <row r="42" spans="1:12">
      <c r="A42" s="1389" t="s">
        <v>6898</v>
      </c>
      <c r="B42" s="1390"/>
      <c r="C42" s="641">
        <v>-0.9</v>
      </c>
      <c r="D42" s="641">
        <v>1.7</v>
      </c>
      <c r="E42" s="641">
        <v>-0.3</v>
      </c>
      <c r="F42" s="641">
        <v>0.7</v>
      </c>
      <c r="G42" s="641">
        <v>-0.6</v>
      </c>
      <c r="H42" s="641">
        <v>-3.3</v>
      </c>
      <c r="I42" s="641">
        <v>-1.4</v>
      </c>
      <c r="J42" s="641">
        <v>4.3</v>
      </c>
      <c r="K42" s="641">
        <v>6.1</v>
      </c>
      <c r="L42" s="641">
        <v>-2</v>
      </c>
    </row>
    <row r="43" spans="1:12">
      <c r="A43" s="1387" t="s">
        <v>6899</v>
      </c>
      <c r="B43" s="1388"/>
      <c r="C43" s="643">
        <v>3.5</v>
      </c>
      <c r="D43" s="643">
        <v>3.1</v>
      </c>
      <c r="E43" s="643" t="s">
        <v>6765</v>
      </c>
      <c r="F43" s="643" t="s">
        <v>6765</v>
      </c>
      <c r="G43" s="643">
        <v>0.7</v>
      </c>
      <c r="H43" s="643">
        <v>0.6</v>
      </c>
      <c r="I43" s="643">
        <v>0.5</v>
      </c>
      <c r="J43" s="643">
        <v>0.3</v>
      </c>
      <c r="K43" s="643">
        <v>0.3</v>
      </c>
      <c r="L43" s="643">
        <v>0.6</v>
      </c>
    </row>
    <row r="44" spans="1:12">
      <c r="A44" s="1387" t="s">
        <v>6900</v>
      </c>
      <c r="B44" s="1388"/>
      <c r="C44" s="643">
        <v>-4.5</v>
      </c>
      <c r="D44" s="643">
        <v>-1.3</v>
      </c>
      <c r="E44" s="643">
        <v>-0.3</v>
      </c>
      <c r="F44" s="643">
        <v>0.7</v>
      </c>
      <c r="G44" s="643">
        <v>-1.3</v>
      </c>
      <c r="H44" s="643">
        <v>-3.8</v>
      </c>
      <c r="I44" s="643">
        <v>-1.9</v>
      </c>
      <c r="J44" s="643">
        <v>4</v>
      </c>
      <c r="K44" s="643">
        <v>5.8</v>
      </c>
      <c r="L44" s="643">
        <v>-2.6</v>
      </c>
    </row>
    <row r="45" spans="1:12">
      <c r="A45" s="1398" t="s">
        <v>6901</v>
      </c>
      <c r="B45" s="1399"/>
      <c r="C45" s="645">
        <v>-27.2</v>
      </c>
      <c r="D45" s="645">
        <v>-21.6</v>
      </c>
      <c r="E45" s="645">
        <v>-23.3</v>
      </c>
      <c r="F45" s="645">
        <v>-21.1</v>
      </c>
      <c r="G45" s="645">
        <v>-1.9</v>
      </c>
      <c r="H45" s="645">
        <v>-5.2</v>
      </c>
      <c r="I45" s="645">
        <v>-4.5999999999999996</v>
      </c>
      <c r="J45" s="645">
        <v>-1.7</v>
      </c>
      <c r="K45" s="645">
        <v>-6.1</v>
      </c>
      <c r="L45" s="645">
        <v>-20.3</v>
      </c>
    </row>
    <row r="46" spans="1:12">
      <c r="A46" s="1389" t="s">
        <v>6902</v>
      </c>
      <c r="B46" s="1390"/>
      <c r="C46" s="641" t="s">
        <v>6765</v>
      </c>
      <c r="D46" s="641" t="s">
        <v>6765</v>
      </c>
      <c r="E46" s="641" t="s">
        <v>6765</v>
      </c>
      <c r="F46" s="641" t="s">
        <v>6765</v>
      </c>
      <c r="G46" s="641" t="s">
        <v>6765</v>
      </c>
      <c r="H46" s="641" t="s">
        <v>6765</v>
      </c>
      <c r="I46" s="641" t="s">
        <v>6765</v>
      </c>
      <c r="J46" s="641" t="s">
        <v>6765</v>
      </c>
      <c r="K46" s="641" t="s">
        <v>6765</v>
      </c>
      <c r="L46" s="641">
        <v>-0.8</v>
      </c>
    </row>
    <row r="47" spans="1:12">
      <c r="A47" s="1387" t="s">
        <v>6903</v>
      </c>
      <c r="B47" s="1388"/>
      <c r="C47" s="643" t="s">
        <v>6765</v>
      </c>
      <c r="D47" s="643" t="s">
        <v>6765</v>
      </c>
      <c r="E47" s="643" t="s">
        <v>6765</v>
      </c>
      <c r="F47" s="643" t="s">
        <v>6765</v>
      </c>
      <c r="G47" s="643" t="s">
        <v>6765</v>
      </c>
      <c r="H47" s="643" t="s">
        <v>6765</v>
      </c>
      <c r="I47" s="643" t="s">
        <v>6765</v>
      </c>
      <c r="J47" s="643" t="s">
        <v>6765</v>
      </c>
      <c r="K47" s="643" t="s">
        <v>6765</v>
      </c>
      <c r="L47" s="643">
        <v>-0.8</v>
      </c>
    </row>
    <row r="48" spans="1:12">
      <c r="A48" s="1398" t="s">
        <v>6904</v>
      </c>
      <c r="B48" s="1399"/>
      <c r="C48" s="645">
        <v>747.3</v>
      </c>
      <c r="D48" s="645">
        <v>557.6</v>
      </c>
      <c r="E48" s="645">
        <v>345.5</v>
      </c>
      <c r="F48" s="645">
        <v>470.7</v>
      </c>
      <c r="G48" s="645">
        <v>412.2</v>
      </c>
      <c r="H48" s="645">
        <v>335.7</v>
      </c>
      <c r="I48" s="645">
        <v>293.10000000000002</v>
      </c>
      <c r="J48" s="645">
        <v>251</v>
      </c>
      <c r="K48" s="645">
        <v>195.5</v>
      </c>
      <c r="L48" s="645">
        <v>145.19999999999999</v>
      </c>
    </row>
    <row r="49" spans="1:12">
      <c r="A49" s="1398" t="s">
        <v>6905</v>
      </c>
      <c r="B49" s="1399"/>
      <c r="C49" s="645">
        <v>140.6</v>
      </c>
      <c r="D49" s="645">
        <v>164.1</v>
      </c>
      <c r="E49" s="645">
        <v>45.2</v>
      </c>
      <c r="F49" s="645">
        <v>112</v>
      </c>
      <c r="G49" s="645">
        <v>79.7</v>
      </c>
      <c r="H49" s="645">
        <v>85.9</v>
      </c>
      <c r="I49" s="645">
        <v>96.8</v>
      </c>
      <c r="J49" s="645">
        <v>83.1</v>
      </c>
      <c r="K49" s="645">
        <v>65.400000000000006</v>
      </c>
      <c r="L49" s="645">
        <v>50.8</v>
      </c>
    </row>
    <row r="50" spans="1:12">
      <c r="A50" s="1398" t="s">
        <v>6906</v>
      </c>
      <c r="B50" s="1399"/>
      <c r="C50" s="645">
        <v>606.70000000000005</v>
      </c>
      <c r="D50" s="645">
        <v>393.6</v>
      </c>
      <c r="E50" s="645">
        <v>300.39999999999998</v>
      </c>
      <c r="F50" s="645">
        <v>358.7</v>
      </c>
      <c r="G50" s="645">
        <v>332.5</v>
      </c>
      <c r="H50" s="645">
        <v>249.8</v>
      </c>
      <c r="I50" s="645">
        <v>196.3</v>
      </c>
      <c r="J50" s="645">
        <v>167.9</v>
      </c>
      <c r="K50" s="645">
        <v>130.1</v>
      </c>
      <c r="L50" s="645">
        <v>94.4</v>
      </c>
    </row>
    <row r="51" spans="1:12">
      <c r="A51" s="1398" t="s">
        <v>6593</v>
      </c>
      <c r="B51" s="1399"/>
      <c r="C51" s="645">
        <v>0</v>
      </c>
      <c r="D51" s="645">
        <v>0</v>
      </c>
      <c r="E51" s="645">
        <v>0</v>
      </c>
      <c r="F51" s="645">
        <v>0</v>
      </c>
      <c r="G51" s="645">
        <v>-0.1</v>
      </c>
      <c r="H51" s="645">
        <v>-0.1</v>
      </c>
      <c r="I51" s="645">
        <v>-0.3</v>
      </c>
      <c r="J51" s="645">
        <v>0</v>
      </c>
      <c r="K51" s="645">
        <v>0.2</v>
      </c>
      <c r="L51" s="645">
        <v>-2.2999999999999998</v>
      </c>
    </row>
    <row r="52" spans="1:12">
      <c r="A52" s="1398" t="s">
        <v>6907</v>
      </c>
      <c r="B52" s="1399"/>
      <c r="C52" s="645">
        <v>606.70000000000005</v>
      </c>
      <c r="D52" s="645">
        <v>393.5</v>
      </c>
      <c r="E52" s="645">
        <v>300.39999999999998</v>
      </c>
      <c r="F52" s="645">
        <v>358.7</v>
      </c>
      <c r="G52" s="645">
        <v>332.4</v>
      </c>
      <c r="H52" s="645">
        <v>249.7</v>
      </c>
      <c r="I52" s="645">
        <v>196</v>
      </c>
      <c r="J52" s="645">
        <v>167.9</v>
      </c>
      <c r="K52" s="645">
        <v>130.30000000000001</v>
      </c>
      <c r="L52" s="645">
        <v>92.1</v>
      </c>
    </row>
    <row r="53" spans="1:12">
      <c r="A53" s="1401"/>
      <c r="B53" s="1401"/>
      <c r="C53" s="646"/>
      <c r="D53" s="646"/>
      <c r="E53" s="646"/>
      <c r="F53" s="646"/>
      <c r="G53" s="646"/>
      <c r="H53" s="646"/>
      <c r="I53" s="646"/>
      <c r="J53" s="646"/>
      <c r="K53" s="646"/>
      <c r="L53" s="646"/>
    </row>
    <row r="54" spans="1:12">
      <c r="A54" s="1398" t="s">
        <v>6908</v>
      </c>
      <c r="B54" s="1399"/>
      <c r="C54" s="645" t="s">
        <v>6765</v>
      </c>
      <c r="D54" s="645" t="s">
        <v>6765</v>
      </c>
      <c r="E54" s="645" t="s">
        <v>6765</v>
      </c>
      <c r="F54" s="645" t="s">
        <v>6765</v>
      </c>
      <c r="G54" s="645" t="s">
        <v>6765</v>
      </c>
      <c r="H54" s="645" t="s">
        <v>6765</v>
      </c>
      <c r="I54" s="645" t="s">
        <v>6765</v>
      </c>
      <c r="J54" s="645" t="s">
        <v>6765</v>
      </c>
      <c r="K54" s="645">
        <v>0</v>
      </c>
      <c r="L54" s="645">
        <v>-16</v>
      </c>
    </row>
    <row r="55" spans="1:12">
      <c r="A55" s="1398" t="s">
        <v>6909</v>
      </c>
      <c r="B55" s="1399"/>
      <c r="C55" s="645" t="s">
        <v>6765</v>
      </c>
      <c r="D55" s="645" t="s">
        <v>6765</v>
      </c>
      <c r="E55" s="645" t="s">
        <v>6765</v>
      </c>
      <c r="F55" s="645" t="s">
        <v>6765</v>
      </c>
      <c r="G55" s="645" t="s">
        <v>6765</v>
      </c>
      <c r="H55" s="645" t="s">
        <v>6765</v>
      </c>
      <c r="I55" s="645" t="s">
        <v>6765</v>
      </c>
      <c r="J55" s="645" t="s">
        <v>6765</v>
      </c>
      <c r="K55" s="645">
        <v>0</v>
      </c>
      <c r="L55" s="645">
        <v>-16</v>
      </c>
    </row>
    <row r="56" spans="1:12">
      <c r="A56" s="1398" t="s">
        <v>71</v>
      </c>
      <c r="B56" s="1399"/>
      <c r="C56" s="645">
        <v>606.70000000000005</v>
      </c>
      <c r="D56" s="645">
        <v>393.5</v>
      </c>
      <c r="E56" s="645">
        <v>300.39999999999998</v>
      </c>
      <c r="F56" s="645">
        <v>358.7</v>
      </c>
      <c r="G56" s="645">
        <v>332.4</v>
      </c>
      <c r="H56" s="645">
        <v>249.7</v>
      </c>
      <c r="I56" s="645">
        <v>196</v>
      </c>
      <c r="J56" s="645">
        <v>167.9</v>
      </c>
      <c r="K56" s="645">
        <v>130.30000000000001</v>
      </c>
      <c r="L56" s="645">
        <v>76.099999999999994</v>
      </c>
    </row>
    <row r="57" spans="1:12">
      <c r="A57" s="1401"/>
      <c r="B57" s="1401"/>
      <c r="C57" s="646"/>
      <c r="D57" s="646"/>
      <c r="E57" s="646"/>
      <c r="F57" s="646"/>
      <c r="G57" s="646"/>
      <c r="H57" s="646"/>
      <c r="I57" s="646"/>
      <c r="J57" s="646"/>
      <c r="K57" s="646"/>
      <c r="L57" s="646"/>
    </row>
    <row r="58" spans="1:12">
      <c r="A58" s="1398" t="s">
        <v>6910</v>
      </c>
      <c r="B58" s="1399"/>
      <c r="C58" s="645">
        <v>606.70000000000005</v>
      </c>
      <c r="D58" s="645">
        <v>393.5</v>
      </c>
      <c r="E58" s="645">
        <v>300.39999999999998</v>
      </c>
      <c r="F58" s="645">
        <v>358.7</v>
      </c>
      <c r="G58" s="645">
        <v>332.4</v>
      </c>
      <c r="H58" s="645">
        <v>249.7</v>
      </c>
      <c r="I58" s="645">
        <v>196</v>
      </c>
      <c r="J58" s="645">
        <v>167.9</v>
      </c>
      <c r="K58" s="645">
        <v>130.30000000000001</v>
      </c>
      <c r="L58" s="645">
        <v>92.1</v>
      </c>
    </row>
    <row r="59" spans="1:12">
      <c r="A59" s="1398" t="s">
        <v>6911</v>
      </c>
      <c r="B59" s="1399"/>
      <c r="C59" s="645">
        <v>606.70000000000005</v>
      </c>
      <c r="D59" s="645">
        <v>393.5</v>
      </c>
      <c r="E59" s="645">
        <v>300.39999999999998</v>
      </c>
      <c r="F59" s="645">
        <v>358.7</v>
      </c>
      <c r="G59" s="645">
        <v>332.4</v>
      </c>
      <c r="H59" s="645">
        <v>249.7</v>
      </c>
      <c r="I59" s="645">
        <v>196</v>
      </c>
      <c r="J59" s="645">
        <v>167.9</v>
      </c>
      <c r="K59" s="645">
        <v>130.30000000000001</v>
      </c>
      <c r="L59" s="645">
        <v>76.099999999999994</v>
      </c>
    </row>
    <row r="60" spans="1:12">
      <c r="A60" s="1398" t="s">
        <v>6912</v>
      </c>
      <c r="B60" s="1399"/>
      <c r="C60" s="645">
        <v>269</v>
      </c>
      <c r="D60" s="645">
        <v>265.89999999999998</v>
      </c>
      <c r="E60" s="645">
        <v>252.8</v>
      </c>
      <c r="F60" s="645">
        <v>252.3</v>
      </c>
      <c r="G60" s="645">
        <v>249.7</v>
      </c>
      <c r="H60" s="645">
        <v>252.1</v>
      </c>
      <c r="I60" s="645">
        <v>249.3</v>
      </c>
      <c r="J60" s="645">
        <v>250.1</v>
      </c>
      <c r="K60" s="645">
        <v>250</v>
      </c>
      <c r="L60" s="645">
        <v>250</v>
      </c>
    </row>
    <row r="61" spans="1:12">
      <c r="A61" s="1398" t="s">
        <v>6913</v>
      </c>
      <c r="B61" s="1399"/>
      <c r="C61" s="649">
        <v>2.2599999999999998</v>
      </c>
      <c r="D61" s="649">
        <v>1.48</v>
      </c>
      <c r="E61" s="649">
        <v>1.19</v>
      </c>
      <c r="F61" s="649">
        <v>1.42</v>
      </c>
      <c r="G61" s="649">
        <v>1.33</v>
      </c>
      <c r="H61" s="649">
        <v>0.99</v>
      </c>
      <c r="I61" s="649">
        <v>0.79</v>
      </c>
      <c r="J61" s="649">
        <v>0.67</v>
      </c>
      <c r="K61" s="649">
        <v>0.52</v>
      </c>
      <c r="L61" s="649">
        <v>0.37</v>
      </c>
    </row>
    <row r="62" spans="1:12">
      <c r="A62" s="1398" t="s">
        <v>6914</v>
      </c>
      <c r="B62" s="1399"/>
      <c r="C62" s="649">
        <v>2.2599999999999998</v>
      </c>
      <c r="D62" s="649">
        <v>1.48</v>
      </c>
      <c r="E62" s="649">
        <v>1.19</v>
      </c>
      <c r="F62" s="649">
        <v>1.42</v>
      </c>
      <c r="G62" s="649">
        <v>1.33</v>
      </c>
      <c r="H62" s="649">
        <v>0.99</v>
      </c>
      <c r="I62" s="649">
        <v>0.79</v>
      </c>
      <c r="J62" s="649">
        <v>0.67</v>
      </c>
      <c r="K62" s="649">
        <v>0.52</v>
      </c>
      <c r="L62" s="649">
        <v>0.3</v>
      </c>
    </row>
    <row r="63" spans="1:12">
      <c r="A63" s="1398" t="s">
        <v>6915</v>
      </c>
      <c r="B63" s="1399"/>
      <c r="C63" s="645">
        <v>606.70000000000005</v>
      </c>
      <c r="D63" s="645">
        <v>393.5</v>
      </c>
      <c r="E63" s="645">
        <v>300.39999999999998</v>
      </c>
      <c r="F63" s="645">
        <v>358.7</v>
      </c>
      <c r="G63" s="645">
        <v>332.4</v>
      </c>
      <c r="H63" s="645">
        <v>249.7</v>
      </c>
      <c r="I63" s="645">
        <v>196</v>
      </c>
      <c r="J63" s="645">
        <v>167.9</v>
      </c>
      <c r="K63" s="645">
        <v>130.30000000000001</v>
      </c>
      <c r="L63" s="645">
        <v>76.099999999999994</v>
      </c>
    </row>
    <row r="64" spans="1:12">
      <c r="A64" s="1398" t="s">
        <v>6916</v>
      </c>
      <c r="B64" s="1399"/>
      <c r="C64" s="645">
        <v>270.8</v>
      </c>
      <c r="D64" s="645">
        <v>267.7</v>
      </c>
      <c r="E64" s="645">
        <v>252.8</v>
      </c>
      <c r="F64" s="645">
        <v>252.3</v>
      </c>
      <c r="G64" s="645">
        <v>249.7</v>
      </c>
      <c r="H64" s="645">
        <v>252.1</v>
      </c>
      <c r="I64" s="645">
        <v>249.3</v>
      </c>
      <c r="J64" s="645">
        <v>250.1</v>
      </c>
      <c r="K64" s="645">
        <v>250</v>
      </c>
      <c r="L64" s="645">
        <v>250</v>
      </c>
    </row>
    <row r="65" spans="1:12">
      <c r="A65" s="1398" t="s">
        <v>6917</v>
      </c>
      <c r="B65" s="1399"/>
      <c r="C65" s="649">
        <v>2.2400000000000002</v>
      </c>
      <c r="D65" s="649">
        <v>1.47</v>
      </c>
      <c r="E65" s="649">
        <v>1.19</v>
      </c>
      <c r="F65" s="649">
        <v>1.42</v>
      </c>
      <c r="G65" s="649">
        <v>1.33</v>
      </c>
      <c r="H65" s="649">
        <v>0.99</v>
      </c>
      <c r="I65" s="649">
        <v>0.79</v>
      </c>
      <c r="J65" s="649">
        <v>0.67</v>
      </c>
      <c r="K65" s="649">
        <v>0.52</v>
      </c>
      <c r="L65" s="649">
        <v>0.37</v>
      </c>
    </row>
    <row r="66" spans="1:12">
      <c r="A66" s="1391" t="s">
        <v>6918</v>
      </c>
      <c r="B66" s="1392"/>
      <c r="C66" s="649">
        <v>2.2400000000000002</v>
      </c>
      <c r="D66" s="649">
        <v>1.47</v>
      </c>
      <c r="E66" s="649">
        <v>1.19</v>
      </c>
      <c r="F66" s="649">
        <v>1.42</v>
      </c>
      <c r="G66" s="649">
        <v>1.33</v>
      </c>
      <c r="H66" s="649">
        <v>0.99</v>
      </c>
      <c r="I66" s="649">
        <v>0.79</v>
      </c>
      <c r="J66" s="649">
        <v>0.67</v>
      </c>
      <c r="K66" s="649">
        <v>0.52</v>
      </c>
      <c r="L66" s="649">
        <v>0.3</v>
      </c>
    </row>
    <row r="67" spans="1:12">
      <c r="A67" s="1400" t="s">
        <v>6830</v>
      </c>
      <c r="B67" s="1400"/>
      <c r="C67" s="639"/>
      <c r="D67" s="639"/>
      <c r="E67" s="639"/>
      <c r="F67" s="639"/>
      <c r="G67" s="639"/>
      <c r="H67" s="639"/>
      <c r="I67" s="639"/>
      <c r="J67" s="639"/>
      <c r="K67" s="639"/>
      <c r="L67" s="639"/>
    </row>
    <row r="68" spans="1:12">
      <c r="A68" s="1398" t="s">
        <v>6919</v>
      </c>
      <c r="B68" s="1399"/>
      <c r="C68" s="649">
        <v>1.1200000000000001</v>
      </c>
      <c r="D68" s="649">
        <v>0.6</v>
      </c>
      <c r="E68" s="649">
        <v>0.45</v>
      </c>
      <c r="F68" s="649">
        <v>0</v>
      </c>
      <c r="G68" s="649">
        <v>0.4</v>
      </c>
      <c r="H68" s="649">
        <v>0.28000000000000003</v>
      </c>
      <c r="I68" s="649">
        <v>0.18</v>
      </c>
      <c r="J68" s="649">
        <v>0.14000000000000001</v>
      </c>
      <c r="K68" s="649">
        <v>0.12</v>
      </c>
      <c r="L68" s="649">
        <v>0.1</v>
      </c>
    </row>
    <row r="69" spans="1:12">
      <c r="A69" s="1398" t="s">
        <v>6920</v>
      </c>
      <c r="B69" s="1399"/>
      <c r="C69" s="645">
        <v>278.8</v>
      </c>
      <c r="D69" s="645">
        <v>136.5</v>
      </c>
      <c r="E69" s="645">
        <v>0</v>
      </c>
      <c r="F69" s="645" t="s">
        <v>6765</v>
      </c>
      <c r="G69" s="645">
        <v>70.5</v>
      </c>
      <c r="H69" s="645">
        <v>45.5</v>
      </c>
      <c r="I69" s="645">
        <v>30</v>
      </c>
      <c r="J69" s="645">
        <v>35</v>
      </c>
      <c r="K69" s="645">
        <v>30</v>
      </c>
      <c r="L69" s="645">
        <v>25</v>
      </c>
    </row>
    <row r="70" spans="1:12">
      <c r="A70" s="1398" t="s">
        <v>6921</v>
      </c>
      <c r="B70" s="1399"/>
      <c r="C70" s="645" t="s">
        <v>6765</v>
      </c>
      <c r="D70" s="645" t="s">
        <v>6765</v>
      </c>
      <c r="E70" s="645" t="s">
        <v>6765</v>
      </c>
      <c r="F70" s="645" t="s">
        <v>6765</v>
      </c>
      <c r="G70" s="645" t="s">
        <v>6765</v>
      </c>
      <c r="H70" s="645" t="s">
        <v>6765</v>
      </c>
      <c r="I70" s="645">
        <v>15.7</v>
      </c>
      <c r="J70" s="645">
        <v>11.4</v>
      </c>
      <c r="K70" s="645">
        <v>5</v>
      </c>
      <c r="L70" s="645">
        <v>6.1</v>
      </c>
    </row>
    <row r="71" spans="1:12">
      <c r="A71" s="1398" t="s">
        <v>6922</v>
      </c>
      <c r="B71" s="1399"/>
      <c r="C71" s="645">
        <v>747.3</v>
      </c>
      <c r="D71" s="645">
        <v>557.6</v>
      </c>
      <c r="E71" s="645">
        <v>345.5</v>
      </c>
      <c r="F71" s="645">
        <v>470.7</v>
      </c>
      <c r="G71" s="645">
        <v>412.2</v>
      </c>
      <c r="H71" s="645">
        <v>335.7</v>
      </c>
      <c r="I71" s="645">
        <v>308.8</v>
      </c>
      <c r="J71" s="645">
        <v>262.39999999999998</v>
      </c>
      <c r="K71" s="645">
        <v>200.5</v>
      </c>
      <c r="L71" s="645">
        <v>151.4</v>
      </c>
    </row>
    <row r="72" spans="1:12">
      <c r="A72" s="1398" t="s">
        <v>6923</v>
      </c>
      <c r="B72" s="1399"/>
      <c r="C72" s="645" t="s">
        <v>6765</v>
      </c>
      <c r="D72" s="645" t="s">
        <v>6765</v>
      </c>
      <c r="E72" s="645" t="s">
        <v>6765</v>
      </c>
      <c r="F72" s="645" t="s">
        <v>6765</v>
      </c>
      <c r="G72" s="645" t="s">
        <v>6765</v>
      </c>
      <c r="H72" s="645" t="s">
        <v>6765</v>
      </c>
      <c r="I72" s="645">
        <v>5.2</v>
      </c>
      <c r="J72" s="645">
        <v>3.8</v>
      </c>
      <c r="K72" s="645">
        <v>1.7</v>
      </c>
      <c r="L72" s="645">
        <v>2.1</v>
      </c>
    </row>
    <row r="73" spans="1:12">
      <c r="A73" s="1398" t="s">
        <v>6924</v>
      </c>
      <c r="B73" s="1399"/>
      <c r="C73" s="645">
        <v>140.6</v>
      </c>
      <c r="D73" s="645">
        <v>164.1</v>
      </c>
      <c r="E73" s="645">
        <v>45.2</v>
      </c>
      <c r="F73" s="645">
        <v>112</v>
      </c>
      <c r="G73" s="645">
        <v>79.7</v>
      </c>
      <c r="H73" s="645">
        <v>85.9</v>
      </c>
      <c r="I73" s="645">
        <v>102</v>
      </c>
      <c r="J73" s="645">
        <v>86.8</v>
      </c>
      <c r="K73" s="645">
        <v>67.099999999999994</v>
      </c>
      <c r="L73" s="645">
        <v>53</v>
      </c>
    </row>
    <row r="74" spans="1:12">
      <c r="A74" s="1398" t="s">
        <v>6925</v>
      </c>
      <c r="B74" s="1399"/>
      <c r="C74" s="645">
        <v>606.70000000000005</v>
      </c>
      <c r="D74" s="645">
        <v>393.6</v>
      </c>
      <c r="E74" s="645">
        <v>300.39999999999998</v>
      </c>
      <c r="F74" s="645">
        <v>358.7</v>
      </c>
      <c r="G74" s="645">
        <v>332.5</v>
      </c>
      <c r="H74" s="645">
        <v>249.8</v>
      </c>
      <c r="I74" s="645">
        <v>206.9</v>
      </c>
      <c r="J74" s="645">
        <v>175.5</v>
      </c>
      <c r="K74" s="645">
        <v>133.5</v>
      </c>
      <c r="L74" s="645">
        <v>98.4</v>
      </c>
    </row>
    <row r="75" spans="1:12">
      <c r="A75" s="1398" t="s">
        <v>6926</v>
      </c>
      <c r="B75" s="1399"/>
      <c r="C75" s="645">
        <v>606.70000000000005</v>
      </c>
      <c r="D75" s="645">
        <v>393.5</v>
      </c>
      <c r="E75" s="645">
        <v>300.39999999999998</v>
      </c>
      <c r="F75" s="645">
        <v>358.7</v>
      </c>
      <c r="G75" s="645">
        <v>332.4</v>
      </c>
      <c r="H75" s="645">
        <v>249.7</v>
      </c>
      <c r="I75" s="645">
        <v>206.6</v>
      </c>
      <c r="J75" s="645">
        <v>175.5</v>
      </c>
      <c r="K75" s="645">
        <v>133.69999999999999</v>
      </c>
      <c r="L75" s="645">
        <v>96.1</v>
      </c>
    </row>
    <row r="76" spans="1:12">
      <c r="A76" s="1398" t="s">
        <v>6927</v>
      </c>
      <c r="B76" s="1399"/>
      <c r="C76" s="649">
        <v>2.2599999999999998</v>
      </c>
      <c r="D76" s="649">
        <v>1.48</v>
      </c>
      <c r="E76" s="649">
        <v>1.19</v>
      </c>
      <c r="F76" s="649">
        <v>1.42</v>
      </c>
      <c r="G76" s="649">
        <v>1.33</v>
      </c>
      <c r="H76" s="649">
        <v>0.99</v>
      </c>
      <c r="I76" s="649">
        <v>0.83</v>
      </c>
      <c r="J76" s="649">
        <v>0.7</v>
      </c>
      <c r="K76" s="649">
        <v>0.53</v>
      </c>
      <c r="L76" s="649">
        <v>0.38</v>
      </c>
    </row>
    <row r="77" spans="1:12">
      <c r="A77" s="1398" t="s">
        <v>6928</v>
      </c>
      <c r="B77" s="1399"/>
      <c r="C77" s="649">
        <v>2.2400000000000002</v>
      </c>
      <c r="D77" s="649">
        <v>1.47</v>
      </c>
      <c r="E77" s="649">
        <v>1.19</v>
      </c>
      <c r="F77" s="649">
        <v>1.42</v>
      </c>
      <c r="G77" s="649">
        <v>1.33</v>
      </c>
      <c r="H77" s="649">
        <v>0.99</v>
      </c>
      <c r="I77" s="649">
        <v>0.83</v>
      </c>
      <c r="J77" s="649">
        <v>0.7</v>
      </c>
      <c r="K77" s="649">
        <v>0.53</v>
      </c>
      <c r="L77" s="649">
        <v>0.38</v>
      </c>
    </row>
    <row r="78" spans="1:12">
      <c r="A78" s="1398" t="s">
        <v>6929</v>
      </c>
      <c r="B78" s="1399"/>
      <c r="C78" s="645">
        <v>22.2</v>
      </c>
      <c r="D78" s="645">
        <v>38.200000000000003</v>
      </c>
      <c r="E78" s="645">
        <v>15.7</v>
      </c>
      <c r="F78" s="645">
        <v>13.6</v>
      </c>
      <c r="G78" s="645">
        <v>11.8</v>
      </c>
      <c r="H78" s="645">
        <v>9.6999999999999993</v>
      </c>
      <c r="I78" s="645">
        <v>8.9</v>
      </c>
      <c r="J78" s="645">
        <v>8.1999999999999993</v>
      </c>
      <c r="K78" s="645">
        <v>5.9</v>
      </c>
      <c r="L78" s="645">
        <v>5.4</v>
      </c>
    </row>
    <row r="79" spans="1:12">
      <c r="A79" s="1398" t="s">
        <v>6930</v>
      </c>
      <c r="B79" s="1399"/>
      <c r="C79" s="645">
        <v>242.8</v>
      </c>
      <c r="D79" s="645">
        <v>347.2</v>
      </c>
      <c r="E79" s="645">
        <v>185.3</v>
      </c>
      <c r="F79" s="645">
        <v>157.5</v>
      </c>
      <c r="G79" s="645">
        <v>44.7</v>
      </c>
      <c r="H79" s="645">
        <v>37.6</v>
      </c>
      <c r="I79" s="645">
        <v>32.799999999999997</v>
      </c>
      <c r="J79" s="645">
        <v>27.8</v>
      </c>
      <c r="K79" s="645">
        <v>20.399999999999999</v>
      </c>
      <c r="L79" s="645">
        <v>13.8</v>
      </c>
    </row>
    <row r="80" spans="1:12">
      <c r="A80" s="1398" t="s">
        <v>6931</v>
      </c>
      <c r="B80" s="1399"/>
      <c r="C80" s="645">
        <v>161.5</v>
      </c>
      <c r="D80" s="645">
        <v>138.9</v>
      </c>
      <c r="E80" s="645" t="s">
        <v>6765</v>
      </c>
      <c r="F80" s="645" t="s">
        <v>6765</v>
      </c>
      <c r="G80" s="645" t="s">
        <v>6765</v>
      </c>
      <c r="H80" s="645" t="s">
        <v>6765</v>
      </c>
      <c r="I80" s="645" t="s">
        <v>6765</v>
      </c>
      <c r="J80" s="645" t="s">
        <v>6765</v>
      </c>
      <c r="K80" s="645" t="s">
        <v>6765</v>
      </c>
      <c r="L80" s="645" t="s">
        <v>6765</v>
      </c>
    </row>
    <row r="81" spans="1:12">
      <c r="A81" s="1398" t="s">
        <v>6932</v>
      </c>
      <c r="B81" s="1399"/>
      <c r="C81" s="645">
        <v>26.3</v>
      </c>
      <c r="D81" s="645">
        <v>23.3</v>
      </c>
      <c r="E81" s="645">
        <v>23</v>
      </c>
      <c r="F81" s="645">
        <v>21.7</v>
      </c>
      <c r="G81" s="645">
        <v>1.3</v>
      </c>
      <c r="H81" s="645">
        <v>1.9</v>
      </c>
      <c r="I81" s="645">
        <v>3.2</v>
      </c>
      <c r="J81" s="645">
        <v>6</v>
      </c>
      <c r="K81" s="645">
        <v>12.2</v>
      </c>
      <c r="L81" s="645">
        <v>18.3</v>
      </c>
    </row>
    <row r="82" spans="1:12">
      <c r="A82" s="1398" t="s">
        <v>6563</v>
      </c>
      <c r="B82" s="1399"/>
      <c r="C82" s="645">
        <v>21.9</v>
      </c>
      <c r="D82" s="645">
        <v>19.600000000000001</v>
      </c>
      <c r="E82" s="645">
        <v>21</v>
      </c>
      <c r="F82" s="645">
        <v>20.2</v>
      </c>
      <c r="G82" s="645" t="s">
        <v>6765</v>
      </c>
      <c r="H82" s="645" t="s">
        <v>6765</v>
      </c>
      <c r="I82" s="645" t="s">
        <v>6765</v>
      </c>
      <c r="J82" s="645" t="s">
        <v>6765</v>
      </c>
      <c r="K82" s="645" t="s">
        <v>6765</v>
      </c>
      <c r="L82" s="645" t="s">
        <v>6765</v>
      </c>
    </row>
    <row r="83" spans="1:12">
      <c r="A83" s="1398" t="s">
        <v>6933</v>
      </c>
      <c r="B83" s="1399"/>
      <c r="C83" s="645">
        <v>195.4</v>
      </c>
      <c r="D83" s="645">
        <v>143.6</v>
      </c>
      <c r="E83" s="645" t="s">
        <v>6765</v>
      </c>
      <c r="F83" s="645" t="s">
        <v>6765</v>
      </c>
      <c r="G83" s="645" t="s">
        <v>6765</v>
      </c>
      <c r="H83" s="645" t="s">
        <v>6765</v>
      </c>
      <c r="I83" s="645" t="s">
        <v>6765</v>
      </c>
      <c r="J83" s="645" t="s">
        <v>6765</v>
      </c>
      <c r="K83" s="645" t="s">
        <v>6765</v>
      </c>
      <c r="L83" s="645" t="s">
        <v>6765</v>
      </c>
    </row>
    <row r="84" spans="1:12">
      <c r="A84" s="1398" t="s">
        <v>6934</v>
      </c>
      <c r="B84" s="1399"/>
      <c r="C84" s="645">
        <v>208.1</v>
      </c>
      <c r="D84" s="645">
        <v>232.9</v>
      </c>
      <c r="E84" s="645">
        <v>172.8</v>
      </c>
      <c r="F84" s="645">
        <v>183.9</v>
      </c>
      <c r="G84" s="645">
        <v>163.9</v>
      </c>
      <c r="H84" s="645">
        <v>139.6</v>
      </c>
      <c r="I84" s="645">
        <v>116.2</v>
      </c>
      <c r="J84" s="645">
        <v>87.5</v>
      </c>
      <c r="K84" s="645">
        <v>70</v>
      </c>
      <c r="L84" s="645">
        <v>58.1</v>
      </c>
    </row>
    <row r="85" spans="1:12">
      <c r="A85" s="1398" t="s">
        <v>6935</v>
      </c>
      <c r="B85" s="1399"/>
      <c r="C85" s="645">
        <v>30.9</v>
      </c>
      <c r="D85" s="645">
        <v>23.2</v>
      </c>
      <c r="E85" s="645" t="s">
        <v>6765</v>
      </c>
      <c r="F85" s="645">
        <v>29.4</v>
      </c>
      <c r="G85" s="645">
        <v>29.6</v>
      </c>
      <c r="H85" s="645">
        <v>23.5</v>
      </c>
      <c r="I85" s="645" t="s">
        <v>6765</v>
      </c>
      <c r="J85" s="645" t="s">
        <v>6765</v>
      </c>
      <c r="K85" s="645" t="s">
        <v>6765</v>
      </c>
      <c r="L85" s="645" t="s">
        <v>6765</v>
      </c>
    </row>
    <row r="86" spans="1:12">
      <c r="A86" s="1398" t="s">
        <v>6936</v>
      </c>
      <c r="B86" s="1399"/>
      <c r="C86" s="645">
        <v>171.9</v>
      </c>
      <c r="D86" s="645">
        <v>142.1</v>
      </c>
      <c r="E86" s="645">
        <v>83.8</v>
      </c>
      <c r="F86" s="645">
        <v>113.2</v>
      </c>
      <c r="G86" s="645">
        <v>99.5</v>
      </c>
      <c r="H86" s="645">
        <v>79.400000000000006</v>
      </c>
      <c r="I86" s="645">
        <v>68.099999999999994</v>
      </c>
      <c r="J86" s="645">
        <v>57.8</v>
      </c>
      <c r="K86" s="645">
        <v>46.1</v>
      </c>
      <c r="L86" s="645">
        <v>36</v>
      </c>
    </row>
    <row r="87" spans="1:12">
      <c r="A87" s="1398" t="s">
        <v>6937</v>
      </c>
      <c r="B87" s="1399"/>
      <c r="C87" s="645">
        <v>0</v>
      </c>
      <c r="D87" s="645">
        <v>0</v>
      </c>
      <c r="E87" s="645">
        <v>0</v>
      </c>
      <c r="F87" s="645">
        <v>0</v>
      </c>
      <c r="G87" s="645">
        <v>-0.1</v>
      </c>
      <c r="H87" s="645">
        <v>-0.1</v>
      </c>
      <c r="I87" s="645">
        <v>-0.3</v>
      </c>
      <c r="J87" s="645">
        <v>0</v>
      </c>
      <c r="K87" s="645">
        <v>0.2</v>
      </c>
      <c r="L87" s="645">
        <v>-2.2999999999999998</v>
      </c>
    </row>
    <row r="88" spans="1:12">
      <c r="A88" s="1398" t="s">
        <v>6938</v>
      </c>
      <c r="B88" s="1399"/>
      <c r="C88" s="645">
        <v>0.6</v>
      </c>
      <c r="D88" s="645">
        <v>0.8</v>
      </c>
      <c r="E88" s="645">
        <v>0.6</v>
      </c>
      <c r="F88" s="645">
        <v>0.6</v>
      </c>
      <c r="G88" s="645">
        <v>0.6</v>
      </c>
      <c r="H88" s="645">
        <v>0.5</v>
      </c>
      <c r="I88" s="645">
        <v>0.5</v>
      </c>
      <c r="J88" s="645">
        <v>0.4</v>
      </c>
      <c r="K88" s="645">
        <v>0.4</v>
      </c>
      <c r="L88" s="645">
        <v>0.6</v>
      </c>
    </row>
    <row r="89" spans="1:12">
      <c r="A89" s="1398" t="s">
        <v>6939</v>
      </c>
      <c r="B89" s="1399"/>
      <c r="C89" s="645">
        <v>0.1</v>
      </c>
      <c r="D89" s="645">
        <v>0.1</v>
      </c>
      <c r="E89" s="645">
        <v>0.1</v>
      </c>
      <c r="F89" s="645">
        <v>0.2</v>
      </c>
      <c r="G89" s="645">
        <v>0</v>
      </c>
      <c r="H89" s="645">
        <v>0</v>
      </c>
      <c r="I89" s="645">
        <v>0</v>
      </c>
      <c r="J89" s="645">
        <v>0</v>
      </c>
      <c r="K89" s="645">
        <v>0.1</v>
      </c>
      <c r="L89" s="645">
        <v>0.8</v>
      </c>
    </row>
    <row r="90" spans="1:12">
      <c r="A90" s="1398" t="s">
        <v>6940</v>
      </c>
      <c r="B90" s="1399"/>
      <c r="C90" s="645" t="s">
        <v>6765</v>
      </c>
      <c r="D90" s="645">
        <v>0.9</v>
      </c>
      <c r="E90" s="645">
        <v>0.5</v>
      </c>
      <c r="F90" s="645">
        <v>0.6</v>
      </c>
      <c r="G90" s="645">
        <v>0.1</v>
      </c>
      <c r="H90" s="645">
        <v>0.2</v>
      </c>
      <c r="I90" s="645">
        <v>0.2</v>
      </c>
      <c r="J90" s="645">
        <v>0.2</v>
      </c>
      <c r="K90" s="645">
        <v>0.1</v>
      </c>
      <c r="L90" s="645">
        <v>0.3</v>
      </c>
    </row>
    <row r="91" spans="1:12">
      <c r="A91" s="1398" t="s">
        <v>6941</v>
      </c>
      <c r="B91" s="1399"/>
      <c r="C91" s="645">
        <v>774.5</v>
      </c>
      <c r="D91" s="645">
        <v>579.20000000000005</v>
      </c>
      <c r="E91" s="645">
        <v>368.8</v>
      </c>
      <c r="F91" s="645">
        <v>491.8</v>
      </c>
      <c r="G91" s="645">
        <v>414.1</v>
      </c>
      <c r="H91" s="645">
        <v>340.9</v>
      </c>
      <c r="I91" s="645">
        <v>313.39999999999998</v>
      </c>
      <c r="J91" s="645">
        <v>264.10000000000002</v>
      </c>
      <c r="K91" s="645">
        <v>206.6</v>
      </c>
      <c r="L91" s="645">
        <v>172.5</v>
      </c>
    </row>
    <row r="92" spans="1:12">
      <c r="A92" s="1391" t="s">
        <v>6942</v>
      </c>
      <c r="B92" s="1392"/>
      <c r="C92" s="645">
        <v>1039.5</v>
      </c>
      <c r="D92" s="645">
        <v>964.6</v>
      </c>
      <c r="E92" s="645">
        <v>569.79999999999995</v>
      </c>
      <c r="F92" s="645">
        <v>662.9</v>
      </c>
      <c r="G92" s="645">
        <v>470.6</v>
      </c>
      <c r="H92" s="645">
        <v>388.2</v>
      </c>
      <c r="I92" s="645">
        <v>355.1</v>
      </c>
      <c r="J92" s="645">
        <v>300</v>
      </c>
      <c r="K92" s="645">
        <v>232.9</v>
      </c>
      <c r="L92" s="645">
        <v>191.7</v>
      </c>
    </row>
    <row r="93" spans="1:12">
      <c r="A93" s="1400" t="s">
        <v>6943</v>
      </c>
      <c r="B93" s="1400"/>
      <c r="C93" s="639"/>
      <c r="D93" s="639"/>
      <c r="E93" s="639"/>
      <c r="F93" s="639"/>
      <c r="G93" s="639"/>
      <c r="H93" s="639"/>
      <c r="I93" s="639"/>
      <c r="J93" s="639"/>
      <c r="K93" s="639"/>
      <c r="L93" s="639"/>
    </row>
    <row r="94" spans="1:12">
      <c r="A94" s="1389" t="s">
        <v>6944</v>
      </c>
      <c r="B94" s="1390"/>
      <c r="C94" s="641">
        <v>380.9</v>
      </c>
      <c r="D94" s="641">
        <v>179</v>
      </c>
      <c r="E94" s="641">
        <v>131</v>
      </c>
      <c r="F94" s="641">
        <v>140.9</v>
      </c>
      <c r="G94" s="641">
        <v>89.4</v>
      </c>
      <c r="H94" s="641">
        <v>96.8</v>
      </c>
      <c r="I94" s="641">
        <v>101.8</v>
      </c>
      <c r="J94" s="641">
        <v>107.9</v>
      </c>
      <c r="K94" s="641">
        <v>80.599999999999994</v>
      </c>
      <c r="L94" s="641">
        <v>56.4</v>
      </c>
    </row>
    <row r="95" spans="1:12">
      <c r="A95" s="1387" t="s">
        <v>6944</v>
      </c>
      <c r="B95" s="1388"/>
      <c r="C95" s="643">
        <v>380.9</v>
      </c>
      <c r="D95" s="643">
        <v>179</v>
      </c>
      <c r="E95" s="643">
        <v>131</v>
      </c>
      <c r="F95" s="643">
        <v>140.9</v>
      </c>
      <c r="G95" s="643">
        <v>89.4</v>
      </c>
      <c r="H95" s="643">
        <v>96.8</v>
      </c>
      <c r="I95" s="643">
        <v>101.8</v>
      </c>
      <c r="J95" s="643">
        <v>107.9</v>
      </c>
      <c r="K95" s="643">
        <v>80.599999999999994</v>
      </c>
      <c r="L95" s="643">
        <v>56.4</v>
      </c>
    </row>
    <row r="96" spans="1:12">
      <c r="A96" s="1389" t="s">
        <v>6945</v>
      </c>
      <c r="B96" s="1390"/>
      <c r="C96" s="641">
        <v>-240.2</v>
      </c>
      <c r="D96" s="641">
        <v>-14.9</v>
      </c>
      <c r="E96" s="641">
        <v>-85.8</v>
      </c>
      <c r="F96" s="641">
        <v>-28.9</v>
      </c>
      <c r="G96" s="641">
        <v>-9.6999999999999993</v>
      </c>
      <c r="H96" s="641">
        <v>-10.9</v>
      </c>
      <c r="I96" s="641">
        <v>-5</v>
      </c>
      <c r="J96" s="641">
        <v>-24.8</v>
      </c>
      <c r="K96" s="641">
        <v>-15.2</v>
      </c>
      <c r="L96" s="641">
        <v>-5.6</v>
      </c>
    </row>
    <row r="97" spans="1:12">
      <c r="A97" s="1387" t="s">
        <v>6946</v>
      </c>
      <c r="B97" s="1388"/>
      <c r="C97" s="643" t="s">
        <v>6765</v>
      </c>
      <c r="D97" s="643" t="s">
        <v>6765</v>
      </c>
      <c r="E97" s="643" t="s">
        <v>6765</v>
      </c>
      <c r="F97" s="643" t="s">
        <v>6765</v>
      </c>
      <c r="G97" s="643" t="s">
        <v>6765</v>
      </c>
      <c r="H97" s="643" t="s">
        <v>6765</v>
      </c>
      <c r="I97" s="643">
        <v>-5</v>
      </c>
      <c r="J97" s="643">
        <v>-24.8</v>
      </c>
      <c r="K97" s="643">
        <v>-15.2</v>
      </c>
      <c r="L97" s="643">
        <v>-5.6</v>
      </c>
    </row>
    <row r="98" spans="1:12">
      <c r="A98" s="1387" t="s">
        <v>6945</v>
      </c>
      <c r="B98" s="1388"/>
      <c r="C98" s="643">
        <v>-240.2</v>
      </c>
      <c r="D98" s="643">
        <v>-14.9</v>
      </c>
      <c r="E98" s="643">
        <v>-85.8</v>
      </c>
      <c r="F98" s="643">
        <v>-28.9</v>
      </c>
      <c r="G98" s="643">
        <v>-9.6999999999999993</v>
      </c>
      <c r="H98" s="643">
        <v>-10.9</v>
      </c>
      <c r="I98" s="643" t="s">
        <v>6765</v>
      </c>
      <c r="J98" s="643" t="s">
        <v>6765</v>
      </c>
      <c r="K98" s="643" t="s">
        <v>6765</v>
      </c>
      <c r="L98" s="643" t="s">
        <v>6765</v>
      </c>
    </row>
    <row r="99" spans="1:12">
      <c r="A99" s="1391" t="s">
        <v>6947</v>
      </c>
      <c r="B99" s="1392"/>
      <c r="C99" s="645">
        <v>140.6</v>
      </c>
      <c r="D99" s="645">
        <v>164.1</v>
      </c>
      <c r="E99" s="645">
        <v>45.2</v>
      </c>
      <c r="F99" s="645">
        <v>112</v>
      </c>
      <c r="G99" s="645">
        <v>79.7</v>
      </c>
      <c r="H99" s="645">
        <v>85.9</v>
      </c>
      <c r="I99" s="645">
        <v>96.8</v>
      </c>
      <c r="J99" s="645">
        <v>83.1</v>
      </c>
      <c r="K99" s="645">
        <v>65.400000000000006</v>
      </c>
      <c r="L99" s="645">
        <v>50.8</v>
      </c>
    </row>
    <row r="100" spans="1:12">
      <c r="A100" s="1393" t="s">
        <v>6948</v>
      </c>
      <c r="B100" s="1393"/>
      <c r="C100" s="650"/>
      <c r="D100" s="650"/>
      <c r="E100" s="650"/>
      <c r="F100" s="650"/>
      <c r="G100" s="650"/>
      <c r="H100" s="650"/>
      <c r="I100" s="650"/>
      <c r="J100" s="650"/>
      <c r="K100" s="650"/>
      <c r="L100" s="650"/>
    </row>
    <row r="101" spans="1:12">
      <c r="A101" s="1394" t="s">
        <v>6949</v>
      </c>
      <c r="B101" s="1395"/>
      <c r="C101" s="641"/>
      <c r="D101" s="641"/>
      <c r="E101" s="641"/>
      <c r="F101" s="641"/>
      <c r="G101" s="641"/>
      <c r="H101" s="641"/>
      <c r="I101" s="641"/>
      <c r="J101" s="641"/>
      <c r="K101" s="641"/>
      <c r="L101" s="641"/>
    </row>
    <row r="102" spans="1:12">
      <c r="A102" s="1383" t="s">
        <v>6950</v>
      </c>
      <c r="B102" s="1384"/>
      <c r="C102" s="651" t="s">
        <v>6951</v>
      </c>
      <c r="D102" s="651" t="s">
        <v>6952</v>
      </c>
      <c r="E102" s="651" t="s">
        <v>6953</v>
      </c>
      <c r="F102" s="651" t="s">
        <v>6954</v>
      </c>
      <c r="G102" s="651" t="s">
        <v>6955</v>
      </c>
      <c r="H102" s="651" t="s">
        <v>6956</v>
      </c>
      <c r="I102" s="651" t="s">
        <v>6957</v>
      </c>
      <c r="J102" s="651" t="s">
        <v>6958</v>
      </c>
      <c r="K102" s="651" t="s">
        <v>6959</v>
      </c>
      <c r="L102" s="651" t="s">
        <v>6960</v>
      </c>
    </row>
    <row r="103" spans="1:12">
      <c r="A103" s="1385"/>
      <c r="B103" s="1386"/>
      <c r="C103" s="652" t="s">
        <v>6961</v>
      </c>
      <c r="D103" s="652" t="s">
        <v>6961</v>
      </c>
      <c r="E103" s="652" t="s">
        <v>6961</v>
      </c>
      <c r="F103" s="652" t="s">
        <v>6961</v>
      </c>
      <c r="G103" s="652" t="s">
        <v>6961</v>
      </c>
      <c r="H103" s="652" t="s">
        <v>6961</v>
      </c>
      <c r="I103" s="652" t="s">
        <v>6961</v>
      </c>
      <c r="J103" s="652" t="s">
        <v>6961</v>
      </c>
      <c r="K103" s="652" t="s">
        <v>6961</v>
      </c>
      <c r="L103" s="652" t="s">
        <v>6961</v>
      </c>
    </row>
    <row r="104" spans="1:12">
      <c r="A104" s="1385"/>
      <c r="B104" s="1386"/>
      <c r="C104" s="1377" t="s">
        <v>6765</v>
      </c>
      <c r="D104" s="1379" t="s">
        <v>6765</v>
      </c>
      <c r="E104" s="1379" t="s">
        <v>6765</v>
      </c>
      <c r="F104" s="651" t="s">
        <v>6962</v>
      </c>
      <c r="G104" s="1379" t="s">
        <v>6765</v>
      </c>
      <c r="H104" s="1379" t="s">
        <v>6765</v>
      </c>
      <c r="I104" s="1379" t="s">
        <v>6765</v>
      </c>
      <c r="J104" s="1379" t="s">
        <v>6765</v>
      </c>
      <c r="K104" s="1379" t="s">
        <v>6765</v>
      </c>
      <c r="L104" s="1379" t="s">
        <v>6765</v>
      </c>
    </row>
    <row r="105" spans="1:12">
      <c r="A105" s="1396"/>
      <c r="B105" s="1397"/>
      <c r="C105" s="1378"/>
      <c r="D105" s="1380"/>
      <c r="E105" s="1380"/>
      <c r="F105" s="652" t="s">
        <v>6961</v>
      </c>
      <c r="G105" s="1380"/>
      <c r="H105" s="1380"/>
      <c r="I105" s="1380"/>
      <c r="J105" s="1380"/>
      <c r="K105" s="1380"/>
      <c r="L105" s="1380"/>
    </row>
    <row r="106" spans="1:12">
      <c r="A106" s="1383" t="s">
        <v>6963</v>
      </c>
      <c r="B106" s="1384"/>
      <c r="C106" s="1377" t="s">
        <v>6765</v>
      </c>
      <c r="D106" s="651" t="s">
        <v>6964</v>
      </c>
      <c r="E106" s="1379" t="s">
        <v>6765</v>
      </c>
      <c r="F106" s="1379" t="s">
        <v>6765</v>
      </c>
      <c r="G106" s="651" t="s">
        <v>6964</v>
      </c>
      <c r="H106" s="1379" t="s">
        <v>6765</v>
      </c>
      <c r="I106" s="651" t="s">
        <v>6964</v>
      </c>
      <c r="J106" s="1379" t="s">
        <v>6765</v>
      </c>
      <c r="K106" s="1379" t="s">
        <v>6765</v>
      </c>
      <c r="L106" s="1379" t="s">
        <v>6765</v>
      </c>
    </row>
    <row r="107" spans="1:12">
      <c r="A107" s="1385"/>
      <c r="B107" s="1386"/>
      <c r="C107" s="1382"/>
      <c r="D107" s="652" t="s">
        <v>6965</v>
      </c>
      <c r="E107" s="1381"/>
      <c r="F107" s="1381"/>
      <c r="G107" s="652" t="s">
        <v>6966</v>
      </c>
      <c r="H107" s="1381"/>
      <c r="I107" s="652" t="s">
        <v>6967</v>
      </c>
      <c r="J107" s="1381"/>
      <c r="K107" s="1381"/>
      <c r="L107" s="1381"/>
    </row>
    <row r="108" spans="1:12">
      <c r="A108" s="1385"/>
      <c r="B108" s="1386"/>
      <c r="C108" s="1377" t="s">
        <v>6765</v>
      </c>
      <c r="D108" s="1379" t="s">
        <v>6765</v>
      </c>
      <c r="E108" s="1379" t="s">
        <v>6765</v>
      </c>
      <c r="F108" s="1379" t="s">
        <v>6765</v>
      </c>
      <c r="G108" s="651" t="s">
        <v>6964</v>
      </c>
      <c r="H108" s="1379" t="s">
        <v>6765</v>
      </c>
      <c r="I108" s="1379" t="s">
        <v>6765</v>
      </c>
      <c r="J108" s="1379" t="s">
        <v>6765</v>
      </c>
      <c r="K108" s="1379" t="s">
        <v>6765</v>
      </c>
      <c r="L108" s="1379" t="s">
        <v>6765</v>
      </c>
    </row>
    <row r="109" spans="1:12">
      <c r="A109" s="1385"/>
      <c r="B109" s="1386"/>
      <c r="C109" s="1382"/>
      <c r="D109" s="1381"/>
      <c r="E109" s="1381"/>
      <c r="F109" s="1381"/>
      <c r="G109" s="652" t="s">
        <v>6968</v>
      </c>
      <c r="H109" s="1381"/>
      <c r="I109" s="1381"/>
      <c r="J109" s="1381"/>
      <c r="K109" s="1381"/>
      <c r="L109" s="1381"/>
    </row>
    <row r="110" spans="1:12">
      <c r="A110" s="1385"/>
      <c r="B110" s="1386"/>
      <c r="C110" s="1377" t="s">
        <v>6765</v>
      </c>
      <c r="D110" s="1379" t="s">
        <v>6765</v>
      </c>
      <c r="E110" s="1379" t="s">
        <v>6765</v>
      </c>
      <c r="F110" s="1379" t="s">
        <v>6765</v>
      </c>
      <c r="G110" s="651" t="s">
        <v>6964</v>
      </c>
      <c r="H110" s="1379" t="s">
        <v>6765</v>
      </c>
      <c r="I110" s="1379" t="s">
        <v>6765</v>
      </c>
      <c r="J110" s="1379" t="s">
        <v>6765</v>
      </c>
      <c r="K110" s="1379" t="s">
        <v>6765</v>
      </c>
      <c r="L110" s="1379" t="s">
        <v>6765</v>
      </c>
    </row>
    <row r="111" spans="1:12">
      <c r="A111" s="1385"/>
      <c r="B111" s="1386"/>
      <c r="C111" s="1378"/>
      <c r="D111" s="1380"/>
      <c r="E111" s="1380"/>
      <c r="F111" s="1380"/>
      <c r="G111" s="652" t="s">
        <v>6969</v>
      </c>
      <c r="H111" s="1380"/>
      <c r="I111" s="1380"/>
      <c r="J111" s="1380"/>
      <c r="K111" s="1380"/>
      <c r="L111" s="1380"/>
    </row>
  </sheetData>
  <mergeCells count="133">
    <mergeCell ref="A20:B20"/>
    <mergeCell ref="A21:B21"/>
    <mergeCell ref="A22:B22"/>
    <mergeCell ref="A35:B35"/>
    <mergeCell ref="A36:B36"/>
    <mergeCell ref="A37:B37"/>
    <mergeCell ref="A5:B5"/>
    <mergeCell ref="A6:B6"/>
    <mergeCell ref="A7:B7"/>
    <mergeCell ref="A8:B8"/>
    <mergeCell ref="A9:B9"/>
    <mergeCell ref="A10:B10"/>
    <mergeCell ref="A23:B23"/>
    <mergeCell ref="A24:B24"/>
    <mergeCell ref="A25:B25"/>
    <mergeCell ref="A17:B17"/>
    <mergeCell ref="A18:B18"/>
    <mergeCell ref="A19:B19"/>
    <mergeCell ref="A11:B11"/>
    <mergeCell ref="A12:B12"/>
    <mergeCell ref="A13:B13"/>
    <mergeCell ref="A14:B14"/>
    <mergeCell ref="A15:B15"/>
    <mergeCell ref="A16:B16"/>
    <mergeCell ref="A29:B29"/>
    <mergeCell ref="A30:B30"/>
    <mergeCell ref="A31:B31"/>
    <mergeCell ref="A32:B32"/>
    <mergeCell ref="A33:B33"/>
    <mergeCell ref="A34:B34"/>
    <mergeCell ref="A26:B26"/>
    <mergeCell ref="A27:B27"/>
    <mergeCell ref="A28:B28"/>
    <mergeCell ref="A41:B41"/>
    <mergeCell ref="A42:B42"/>
    <mergeCell ref="A43:B43"/>
    <mergeCell ref="A44:B44"/>
    <mergeCell ref="A45:B45"/>
    <mergeCell ref="A46:B46"/>
    <mergeCell ref="A38:B38"/>
    <mergeCell ref="A39:B39"/>
    <mergeCell ref="A40:B40"/>
    <mergeCell ref="A53:B53"/>
    <mergeCell ref="A54:B54"/>
    <mergeCell ref="A55:B55"/>
    <mergeCell ref="A56:B56"/>
    <mergeCell ref="A57:B57"/>
    <mergeCell ref="A58:B58"/>
    <mergeCell ref="A47:B47"/>
    <mergeCell ref="A48:B48"/>
    <mergeCell ref="A49:B49"/>
    <mergeCell ref="A50:B50"/>
    <mergeCell ref="A51:B51"/>
    <mergeCell ref="A52:B52"/>
    <mergeCell ref="A65:B65"/>
    <mergeCell ref="A66:B66"/>
    <mergeCell ref="A67:B67"/>
    <mergeCell ref="A68:B68"/>
    <mergeCell ref="A69:B69"/>
    <mergeCell ref="A70:B70"/>
    <mergeCell ref="A59:B59"/>
    <mergeCell ref="A60:B60"/>
    <mergeCell ref="A61:B61"/>
    <mergeCell ref="A62:B62"/>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L104:L105"/>
    <mergeCell ref="A106:B111"/>
    <mergeCell ref="C106:C107"/>
    <mergeCell ref="E106:E107"/>
    <mergeCell ref="A95:B95"/>
    <mergeCell ref="A96:B96"/>
    <mergeCell ref="A97:B97"/>
    <mergeCell ref="A98:B98"/>
    <mergeCell ref="A99:B99"/>
    <mergeCell ref="A100:B100"/>
    <mergeCell ref="A101:B101"/>
    <mergeCell ref="A102:B105"/>
    <mergeCell ref="C104:C105"/>
    <mergeCell ref="D104:D105"/>
    <mergeCell ref="E104:E105"/>
    <mergeCell ref="G104:G105"/>
    <mergeCell ref="I110:I111"/>
    <mergeCell ref="J110:J111"/>
    <mergeCell ref="K110:K111"/>
    <mergeCell ref="H104:H105"/>
    <mergeCell ref="I104:I105"/>
    <mergeCell ref="J104:J105"/>
    <mergeCell ref="K104:K105"/>
    <mergeCell ref="L110:L111"/>
    <mergeCell ref="L106:L107"/>
    <mergeCell ref="C108:C109"/>
    <mergeCell ref="D108:D109"/>
    <mergeCell ref="E108:E109"/>
    <mergeCell ref="F108:F109"/>
    <mergeCell ref="H108:H109"/>
    <mergeCell ref="I108:I109"/>
    <mergeCell ref="J108:J109"/>
    <mergeCell ref="K108:K109"/>
    <mergeCell ref="L108:L109"/>
    <mergeCell ref="C110:C111"/>
    <mergeCell ref="D110:D111"/>
    <mergeCell ref="E110:E111"/>
    <mergeCell ref="F110:F111"/>
    <mergeCell ref="H110:H111"/>
    <mergeCell ref="F106:F107"/>
    <mergeCell ref="H106:H107"/>
    <mergeCell ref="J106:J107"/>
    <mergeCell ref="K106:K10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2.75"/>
  <cols>
    <col min="1" max="9" width="0" hidden="1" customWidth="1"/>
    <col min="11" max="11" width="21.85546875" bestFit="1" customWidth="1"/>
  </cols>
  <sheetData>
    <row r="2" spans="2:27">
      <c r="E2" s="11" t="s">
        <v>6970</v>
      </c>
      <c r="F2" s="11" t="s">
        <v>6971</v>
      </c>
      <c r="H2" s="11" t="s">
        <v>388</v>
      </c>
      <c r="K2" s="1410" t="s">
        <v>6970</v>
      </c>
      <c r="L2" s="1412" t="s">
        <v>6972</v>
      </c>
      <c r="M2" s="1413"/>
      <c r="N2" s="1413"/>
      <c r="O2" s="1413"/>
      <c r="P2" s="1414"/>
      <c r="Q2" s="1413" t="s">
        <v>330</v>
      </c>
      <c r="R2" s="1413"/>
      <c r="S2" s="1413"/>
      <c r="T2" s="1413"/>
      <c r="U2" s="1413"/>
      <c r="V2" s="1413"/>
      <c r="W2" s="1413"/>
      <c r="X2" s="1413"/>
      <c r="Y2" s="1413"/>
      <c r="Z2" s="1413"/>
      <c r="AA2" s="1414"/>
    </row>
    <row r="3" spans="2:27">
      <c r="E3" t="s">
        <v>6973</v>
      </c>
      <c r="F3" t="s">
        <v>6974</v>
      </c>
      <c r="H3" s="11" t="s">
        <v>321</v>
      </c>
      <c r="K3" s="1411"/>
      <c r="L3" s="69" t="s">
        <v>6975</v>
      </c>
      <c r="M3" s="86" t="s">
        <v>6976</v>
      </c>
      <c r="N3" s="86" t="s">
        <v>6977</v>
      </c>
      <c r="O3" s="86" t="s">
        <v>6978</v>
      </c>
      <c r="P3" s="87" t="s">
        <v>6979</v>
      </c>
      <c r="Q3" s="86" t="s">
        <v>6980</v>
      </c>
      <c r="R3" s="86" t="s">
        <v>6981</v>
      </c>
      <c r="S3" s="86" t="s">
        <v>338</v>
      </c>
      <c r="T3" s="86" t="s">
        <v>6982</v>
      </c>
      <c r="U3" s="86" t="s">
        <v>6983</v>
      </c>
      <c r="V3" s="86" t="s">
        <v>6984</v>
      </c>
      <c r="W3" s="86" t="s">
        <v>6985</v>
      </c>
      <c r="X3" s="86" t="s">
        <v>6986</v>
      </c>
      <c r="Y3" s="86" t="s">
        <v>6987</v>
      </c>
      <c r="Z3" s="86" t="s">
        <v>6988</v>
      </c>
      <c r="AA3" s="87" t="s">
        <v>378</v>
      </c>
    </row>
    <row r="4" spans="2:27">
      <c r="B4" s="70"/>
      <c r="E4" t="s">
        <v>6973</v>
      </c>
      <c r="F4" t="s">
        <v>6989</v>
      </c>
      <c r="H4" s="11" t="s">
        <v>395</v>
      </c>
      <c r="K4" s="88" t="s">
        <v>6973</v>
      </c>
      <c r="L4" s="89" t="s">
        <v>388</v>
      </c>
      <c r="M4" t="s">
        <v>388</v>
      </c>
      <c r="N4" t="s">
        <v>321</v>
      </c>
      <c r="O4" t="s">
        <v>388</v>
      </c>
      <c r="P4" s="90" t="s">
        <v>388</v>
      </c>
      <c r="Q4" t="s">
        <v>321</v>
      </c>
      <c r="R4" t="s">
        <v>321</v>
      </c>
      <c r="S4" t="s">
        <v>388</v>
      </c>
      <c r="T4" t="s">
        <v>388</v>
      </c>
      <c r="U4" t="s">
        <v>395</v>
      </c>
      <c r="V4" t="s">
        <v>388</v>
      </c>
      <c r="W4" t="s">
        <v>388</v>
      </c>
      <c r="X4" t="s">
        <v>388</v>
      </c>
      <c r="Y4" t="s">
        <v>388</v>
      </c>
      <c r="Z4" t="s">
        <v>388</v>
      </c>
      <c r="AA4" s="90" t="s">
        <v>321</v>
      </c>
    </row>
    <row r="5" spans="2:27" ht="15">
      <c r="B5" s="82" t="s">
        <v>314</v>
      </c>
      <c r="E5" t="s">
        <v>6973</v>
      </c>
      <c r="F5" t="s">
        <v>6990</v>
      </c>
      <c r="H5" s="11" t="s">
        <v>6991</v>
      </c>
      <c r="K5" s="88" t="s">
        <v>296</v>
      </c>
      <c r="L5" s="89" t="s">
        <v>388</v>
      </c>
      <c r="M5" t="s">
        <v>388</v>
      </c>
      <c r="N5" t="s">
        <v>321</v>
      </c>
      <c r="O5" t="s">
        <v>321</v>
      </c>
      <c r="P5" s="90" t="s">
        <v>388</v>
      </c>
      <c r="Q5" t="s">
        <v>321</v>
      </c>
      <c r="R5" t="s">
        <v>321</v>
      </c>
      <c r="S5" t="s">
        <v>388</v>
      </c>
      <c r="T5" t="s">
        <v>388</v>
      </c>
      <c r="U5" t="s">
        <v>321</v>
      </c>
      <c r="V5" t="s">
        <v>321</v>
      </c>
      <c r="W5" t="s">
        <v>321</v>
      </c>
      <c r="X5" t="s">
        <v>395</v>
      </c>
      <c r="Y5" t="s">
        <v>388</v>
      </c>
      <c r="Z5" t="s">
        <v>395</v>
      </c>
      <c r="AA5" s="90" t="s">
        <v>388</v>
      </c>
    </row>
    <row r="6" spans="2:27">
      <c r="B6" s="84" t="s">
        <v>6992</v>
      </c>
      <c r="E6" t="s">
        <v>6973</v>
      </c>
      <c r="F6" t="s">
        <v>6993</v>
      </c>
      <c r="K6" s="88" t="s">
        <v>6994</v>
      </c>
      <c r="L6" s="89" t="s">
        <v>395</v>
      </c>
      <c r="M6" t="s">
        <v>6991</v>
      </c>
      <c r="N6" t="s">
        <v>395</v>
      </c>
      <c r="O6" t="s">
        <v>395</v>
      </c>
      <c r="P6" s="90" t="s">
        <v>395</v>
      </c>
      <c r="Q6" t="s">
        <v>321</v>
      </c>
      <c r="R6" t="s">
        <v>395</v>
      </c>
      <c r="S6" t="s">
        <v>395</v>
      </c>
      <c r="T6" t="s">
        <v>388</v>
      </c>
      <c r="U6" t="s">
        <v>321</v>
      </c>
      <c r="V6" t="s">
        <v>321</v>
      </c>
      <c r="W6" t="s">
        <v>388</v>
      </c>
      <c r="X6" t="s">
        <v>395</v>
      </c>
      <c r="Y6" t="s">
        <v>388</v>
      </c>
      <c r="Z6" t="s">
        <v>6991</v>
      </c>
      <c r="AA6" s="90" t="s">
        <v>388</v>
      </c>
    </row>
    <row r="7" spans="2:27">
      <c r="B7" s="84" t="s">
        <v>6995</v>
      </c>
      <c r="E7" t="s">
        <v>6973</v>
      </c>
      <c r="F7" t="s">
        <v>6996</v>
      </c>
      <c r="K7" s="88" t="s">
        <v>6977</v>
      </c>
      <c r="L7" s="89" t="s">
        <v>6991</v>
      </c>
      <c r="M7" t="s">
        <v>6991</v>
      </c>
      <c r="N7" t="s">
        <v>321</v>
      </c>
      <c r="O7" t="s">
        <v>6991</v>
      </c>
      <c r="P7" s="90" t="s">
        <v>395</v>
      </c>
      <c r="Q7" t="s">
        <v>395</v>
      </c>
      <c r="R7" t="s">
        <v>321</v>
      </c>
      <c r="S7" t="s">
        <v>321</v>
      </c>
      <c r="T7" t="s">
        <v>321</v>
      </c>
      <c r="U7" t="s">
        <v>321</v>
      </c>
      <c r="V7" t="s">
        <v>395</v>
      </c>
      <c r="W7" t="s">
        <v>321</v>
      </c>
      <c r="X7" t="s">
        <v>321</v>
      </c>
      <c r="Y7" t="s">
        <v>395</v>
      </c>
      <c r="Z7" t="s">
        <v>395</v>
      </c>
      <c r="AA7" s="90" t="s">
        <v>388</v>
      </c>
    </row>
    <row r="8" spans="2:27">
      <c r="B8" s="84"/>
      <c r="K8" s="88" t="s">
        <v>6997</v>
      </c>
      <c r="L8" s="89" t="s">
        <v>388</v>
      </c>
      <c r="M8" t="s">
        <v>388</v>
      </c>
      <c r="N8" t="s">
        <v>388</v>
      </c>
      <c r="O8" t="s">
        <v>321</v>
      </c>
      <c r="P8" s="90" t="s">
        <v>321</v>
      </c>
      <c r="Q8" t="s">
        <v>388</v>
      </c>
      <c r="R8" t="s">
        <v>321</v>
      </c>
      <c r="S8" t="s">
        <v>321</v>
      </c>
      <c r="T8" t="s">
        <v>395</v>
      </c>
      <c r="U8" t="s">
        <v>321</v>
      </c>
      <c r="V8" t="s">
        <v>388</v>
      </c>
      <c r="W8" t="s">
        <v>388</v>
      </c>
      <c r="X8" t="s">
        <v>321</v>
      </c>
      <c r="Y8" t="s">
        <v>321</v>
      </c>
      <c r="Z8" t="s">
        <v>395</v>
      </c>
      <c r="AA8" s="90" t="s">
        <v>388</v>
      </c>
    </row>
    <row r="9" spans="2:27">
      <c r="B9" s="84" t="s">
        <v>320</v>
      </c>
      <c r="E9" t="s">
        <v>6973</v>
      </c>
      <c r="F9" t="s">
        <v>6998</v>
      </c>
      <c r="K9" s="88" t="s">
        <v>6999</v>
      </c>
      <c r="L9" s="89" t="s">
        <v>388</v>
      </c>
      <c r="M9" t="s">
        <v>388</v>
      </c>
      <c r="N9" t="s">
        <v>388</v>
      </c>
      <c r="O9" t="s">
        <v>388</v>
      </c>
      <c r="P9" s="90" t="s">
        <v>388</v>
      </c>
      <c r="Q9" t="s">
        <v>388</v>
      </c>
      <c r="R9" t="s">
        <v>388</v>
      </c>
      <c r="S9" t="s">
        <v>321</v>
      </c>
      <c r="T9" t="s">
        <v>395</v>
      </c>
      <c r="U9" t="s">
        <v>321</v>
      </c>
      <c r="V9" t="s">
        <v>388</v>
      </c>
      <c r="W9" t="s">
        <v>388</v>
      </c>
      <c r="X9" t="s">
        <v>388</v>
      </c>
      <c r="Y9" t="s">
        <v>388</v>
      </c>
      <c r="Z9" t="s">
        <v>321</v>
      </c>
      <c r="AA9" s="90" t="s">
        <v>388</v>
      </c>
    </row>
    <row r="10" spans="2:27">
      <c r="B10" s="84"/>
      <c r="K10" s="88" t="s">
        <v>7000</v>
      </c>
      <c r="L10" s="89" t="s">
        <v>388</v>
      </c>
      <c r="M10" t="s">
        <v>321</v>
      </c>
      <c r="N10" t="s">
        <v>388</v>
      </c>
      <c r="O10" t="s">
        <v>321</v>
      </c>
      <c r="P10" s="90" t="s">
        <v>395</v>
      </c>
      <c r="Q10" t="s">
        <v>388</v>
      </c>
      <c r="R10" t="s">
        <v>388</v>
      </c>
      <c r="S10" t="s">
        <v>388</v>
      </c>
      <c r="T10" t="s">
        <v>388</v>
      </c>
      <c r="U10" t="s">
        <v>388</v>
      </c>
      <c r="V10" t="s">
        <v>388</v>
      </c>
      <c r="W10" t="s">
        <v>388</v>
      </c>
      <c r="X10" t="s">
        <v>388</v>
      </c>
      <c r="Y10" t="s">
        <v>321</v>
      </c>
      <c r="Z10" t="s">
        <v>388</v>
      </c>
      <c r="AA10" s="90" t="s">
        <v>388</v>
      </c>
    </row>
    <row r="11" spans="2:27">
      <c r="B11" s="84" t="s">
        <v>324</v>
      </c>
      <c r="E11" t="s">
        <v>6973</v>
      </c>
      <c r="F11" t="s">
        <v>7001</v>
      </c>
      <c r="K11" s="88" t="s">
        <v>7002</v>
      </c>
      <c r="L11" s="89" t="s">
        <v>388</v>
      </c>
      <c r="M11" t="s">
        <v>321</v>
      </c>
      <c r="N11" t="s">
        <v>388</v>
      </c>
      <c r="O11" t="s">
        <v>388</v>
      </c>
      <c r="P11" s="90" t="s">
        <v>388</v>
      </c>
      <c r="Q11" t="s">
        <v>388</v>
      </c>
      <c r="R11" t="s">
        <v>388</v>
      </c>
      <c r="S11" t="s">
        <v>321</v>
      </c>
      <c r="T11" t="s">
        <v>388</v>
      </c>
      <c r="U11" t="s">
        <v>395</v>
      </c>
      <c r="V11" t="s">
        <v>388</v>
      </c>
      <c r="W11" t="s">
        <v>388</v>
      </c>
      <c r="X11" t="s">
        <v>388</v>
      </c>
      <c r="Y11" t="s">
        <v>388</v>
      </c>
      <c r="Z11" t="s">
        <v>388</v>
      </c>
      <c r="AA11" s="90" t="s">
        <v>388</v>
      </c>
    </row>
    <row r="12" spans="2:27">
      <c r="B12" s="83" t="s">
        <v>7003</v>
      </c>
      <c r="E12" t="s">
        <v>6973</v>
      </c>
      <c r="F12" t="s">
        <v>7004</v>
      </c>
      <c r="K12" s="88" t="s">
        <v>7005</v>
      </c>
      <c r="L12" s="89" t="s">
        <v>6991</v>
      </c>
      <c r="M12" t="s">
        <v>6991</v>
      </c>
      <c r="N12" t="s">
        <v>6991</v>
      </c>
      <c r="O12" t="s">
        <v>395</v>
      </c>
      <c r="P12" s="90" t="s">
        <v>395</v>
      </c>
      <c r="Q12" t="s">
        <v>388</v>
      </c>
      <c r="R12" t="s">
        <v>321</v>
      </c>
      <c r="S12" t="s">
        <v>395</v>
      </c>
      <c r="T12" t="s">
        <v>6991</v>
      </c>
      <c r="U12" t="s">
        <v>321</v>
      </c>
      <c r="V12" t="s">
        <v>6991</v>
      </c>
      <c r="W12" t="s">
        <v>321</v>
      </c>
      <c r="X12" t="s">
        <v>6991</v>
      </c>
      <c r="Y12" t="s">
        <v>6991</v>
      </c>
      <c r="Z12" t="s">
        <v>6991</v>
      </c>
      <c r="AA12" s="90" t="s">
        <v>395</v>
      </c>
    </row>
    <row r="13" spans="2:27" ht="15">
      <c r="B13" s="82" t="s">
        <v>330</v>
      </c>
      <c r="E13" t="s">
        <v>6973</v>
      </c>
      <c r="F13" t="s">
        <v>7006</v>
      </c>
      <c r="K13" s="88" t="s">
        <v>7007</v>
      </c>
      <c r="L13" s="89" t="s">
        <v>321</v>
      </c>
      <c r="M13" t="s">
        <v>388</v>
      </c>
      <c r="N13" t="s">
        <v>395</v>
      </c>
      <c r="O13" t="s">
        <v>388</v>
      </c>
      <c r="P13" s="90" t="s">
        <v>388</v>
      </c>
      <c r="Q13" t="s">
        <v>388</v>
      </c>
      <c r="R13" t="s">
        <v>388</v>
      </c>
      <c r="S13" t="s">
        <v>388</v>
      </c>
      <c r="T13" t="s">
        <v>388</v>
      </c>
      <c r="U13" t="s">
        <v>395</v>
      </c>
      <c r="V13" t="s">
        <v>388</v>
      </c>
      <c r="W13" t="s">
        <v>388</v>
      </c>
      <c r="X13" t="s">
        <v>388</v>
      </c>
      <c r="Y13" t="s">
        <v>388</v>
      </c>
      <c r="Z13" t="s">
        <v>321</v>
      </c>
      <c r="AA13" s="90" t="s">
        <v>6991</v>
      </c>
    </row>
    <row r="14" spans="2:27">
      <c r="B14" s="74" t="s">
        <v>7008</v>
      </c>
      <c r="E14" t="s">
        <v>6973</v>
      </c>
      <c r="F14" t="s">
        <v>7009</v>
      </c>
      <c r="K14" s="88" t="s">
        <v>7010</v>
      </c>
      <c r="L14" s="89" t="s">
        <v>6991</v>
      </c>
      <c r="M14" t="s">
        <v>6991</v>
      </c>
      <c r="N14" t="s">
        <v>6991</v>
      </c>
      <c r="O14" t="s">
        <v>6991</v>
      </c>
      <c r="P14" s="90" t="s">
        <v>395</v>
      </c>
      <c r="Q14" t="s">
        <v>395</v>
      </c>
      <c r="R14" t="s">
        <v>395</v>
      </c>
      <c r="S14" t="s">
        <v>321</v>
      </c>
      <c r="T14" t="s">
        <v>395</v>
      </c>
      <c r="U14" t="s">
        <v>388</v>
      </c>
      <c r="V14" t="s">
        <v>6991</v>
      </c>
      <c r="W14" t="s">
        <v>321</v>
      </c>
      <c r="X14" t="s">
        <v>321</v>
      </c>
      <c r="Y14" t="s">
        <v>6991</v>
      </c>
      <c r="Z14" t="s">
        <v>395</v>
      </c>
      <c r="AA14" s="90" t="s">
        <v>321</v>
      </c>
    </row>
    <row r="15" spans="2:27">
      <c r="B15" s="74" t="s">
        <v>7011</v>
      </c>
      <c r="E15" t="s">
        <v>296</v>
      </c>
      <c r="F15" t="s">
        <v>7012</v>
      </c>
      <c r="K15" s="88" t="s">
        <v>7013</v>
      </c>
      <c r="L15" s="89" t="s">
        <v>388</v>
      </c>
      <c r="M15" t="s">
        <v>388</v>
      </c>
      <c r="N15" t="s">
        <v>321</v>
      </c>
      <c r="O15" t="s">
        <v>388</v>
      </c>
      <c r="P15" s="90" t="s">
        <v>388</v>
      </c>
      <c r="Q15" t="s">
        <v>321</v>
      </c>
      <c r="R15" t="s">
        <v>388</v>
      </c>
      <c r="S15" t="s">
        <v>388</v>
      </c>
      <c r="T15" t="s">
        <v>388</v>
      </c>
      <c r="U15" t="s">
        <v>395</v>
      </c>
      <c r="V15" t="s">
        <v>388</v>
      </c>
      <c r="W15" t="s">
        <v>321</v>
      </c>
      <c r="X15" t="s">
        <v>388</v>
      </c>
      <c r="Y15" t="s">
        <v>321</v>
      </c>
      <c r="Z15" t="s">
        <v>388</v>
      </c>
      <c r="AA15" s="90" t="s">
        <v>388</v>
      </c>
    </row>
    <row r="16" spans="2:27">
      <c r="B16" s="77" t="s">
        <v>7014</v>
      </c>
      <c r="E16" t="s">
        <v>296</v>
      </c>
      <c r="F16" t="s">
        <v>7015</v>
      </c>
      <c r="K16" s="91" t="s">
        <v>7016</v>
      </c>
      <c r="L16" s="92" t="s">
        <v>6991</v>
      </c>
      <c r="M16" s="93" t="s">
        <v>395</v>
      </c>
      <c r="N16" s="93" t="s">
        <v>395</v>
      </c>
      <c r="O16" s="93" t="s">
        <v>321</v>
      </c>
      <c r="P16" s="94" t="s">
        <v>395</v>
      </c>
      <c r="Q16" s="93" t="s">
        <v>388</v>
      </c>
      <c r="R16" s="93" t="s">
        <v>321</v>
      </c>
      <c r="S16" s="93" t="s">
        <v>321</v>
      </c>
      <c r="T16" s="93" t="s">
        <v>388</v>
      </c>
      <c r="U16" s="93" t="s">
        <v>321</v>
      </c>
      <c r="V16" s="93" t="s">
        <v>321</v>
      </c>
      <c r="W16" s="93" t="s">
        <v>321</v>
      </c>
      <c r="X16" s="93" t="s">
        <v>321</v>
      </c>
      <c r="Y16" s="93" t="s">
        <v>388</v>
      </c>
      <c r="Z16" s="93" t="s">
        <v>321</v>
      </c>
      <c r="AA16" s="94" t="s">
        <v>388</v>
      </c>
    </row>
    <row r="17" spans="2:22">
      <c r="B17" s="77" t="s">
        <v>7017</v>
      </c>
      <c r="E17" t="s">
        <v>296</v>
      </c>
      <c r="F17" t="s">
        <v>7018</v>
      </c>
    </row>
    <row r="18" spans="2:22" hidden="1">
      <c r="B18" s="74" t="s">
        <v>7019</v>
      </c>
      <c r="E18" t="s">
        <v>296</v>
      </c>
      <c r="F18" t="s">
        <v>7020</v>
      </c>
    </row>
    <row r="19" spans="2:22" hidden="1">
      <c r="B19" s="74" t="s">
        <v>7021</v>
      </c>
      <c r="E19" t="s">
        <v>296</v>
      </c>
      <c r="F19" t="s">
        <v>7022</v>
      </c>
      <c r="L19" s="95" t="s">
        <v>6973</v>
      </c>
      <c r="M19" s="96" t="s">
        <v>296</v>
      </c>
      <c r="N19" s="96" t="s">
        <v>6994</v>
      </c>
      <c r="O19" s="96" t="s">
        <v>6977</v>
      </c>
      <c r="P19" s="96" t="s">
        <v>6999</v>
      </c>
      <c r="Q19" s="96" t="s">
        <v>7002</v>
      </c>
      <c r="R19" s="96" t="s">
        <v>7005</v>
      </c>
      <c r="S19" s="96" t="s">
        <v>7007</v>
      </c>
      <c r="T19" s="96" t="s">
        <v>7010</v>
      </c>
      <c r="U19" s="96" t="s">
        <v>7013</v>
      </c>
      <c r="V19" s="97" t="s">
        <v>7016</v>
      </c>
    </row>
    <row r="20" spans="2:22" hidden="1">
      <c r="B20" s="74" t="s">
        <v>356</v>
      </c>
      <c r="E20" t="s">
        <v>296</v>
      </c>
      <c r="F20" t="s">
        <v>7023</v>
      </c>
      <c r="L20" s="89" t="s">
        <v>6974</v>
      </c>
      <c r="M20" t="s">
        <v>7012</v>
      </c>
      <c r="N20" t="s">
        <v>7024</v>
      </c>
      <c r="O20" t="s">
        <v>7025</v>
      </c>
      <c r="P20" t="s">
        <v>7026</v>
      </c>
      <c r="Q20" t="s">
        <v>7027</v>
      </c>
      <c r="R20" t="s">
        <v>7028</v>
      </c>
      <c r="S20" t="s">
        <v>7029</v>
      </c>
      <c r="T20" t="s">
        <v>7030</v>
      </c>
      <c r="U20" t="s">
        <v>7031</v>
      </c>
      <c r="V20" s="90" t="s">
        <v>7032</v>
      </c>
    </row>
    <row r="21" spans="2:22" hidden="1">
      <c r="B21" s="74" t="s">
        <v>363</v>
      </c>
      <c r="E21" t="s">
        <v>296</v>
      </c>
      <c r="F21" t="s">
        <v>7033</v>
      </c>
      <c r="L21" s="89" t="s">
        <v>6989</v>
      </c>
      <c r="M21" t="s">
        <v>7015</v>
      </c>
      <c r="N21" t="s">
        <v>7034</v>
      </c>
      <c r="O21" t="s">
        <v>7035</v>
      </c>
      <c r="P21" t="s">
        <v>7036</v>
      </c>
      <c r="Q21" t="s">
        <v>7037</v>
      </c>
      <c r="R21" t="s">
        <v>7038</v>
      </c>
      <c r="S21" t="s">
        <v>7039</v>
      </c>
      <c r="T21" t="s">
        <v>7040</v>
      </c>
      <c r="U21" t="s">
        <v>7041</v>
      </c>
      <c r="V21" s="90" t="s">
        <v>7042</v>
      </c>
    </row>
    <row r="22" spans="2:22" hidden="1">
      <c r="B22" s="74" t="s">
        <v>370</v>
      </c>
      <c r="E22" t="s">
        <v>296</v>
      </c>
      <c r="F22" t="s">
        <v>7043</v>
      </c>
      <c r="L22" s="89" t="s">
        <v>6990</v>
      </c>
      <c r="M22" t="s">
        <v>7018</v>
      </c>
      <c r="N22" t="s">
        <v>7044</v>
      </c>
      <c r="O22" t="s">
        <v>7045</v>
      </c>
      <c r="P22" t="s">
        <v>7046</v>
      </c>
      <c r="Q22" t="s">
        <v>7047</v>
      </c>
      <c r="R22" t="s">
        <v>7048</v>
      </c>
      <c r="S22" t="s">
        <v>7049</v>
      </c>
      <c r="T22" t="s">
        <v>7050</v>
      </c>
      <c r="U22" t="s">
        <v>7051</v>
      </c>
      <c r="V22" s="90" t="s">
        <v>7052</v>
      </c>
    </row>
    <row r="23" spans="2:22" hidden="1">
      <c r="B23" s="74" t="s">
        <v>376</v>
      </c>
      <c r="E23" t="s">
        <v>296</v>
      </c>
      <c r="F23" t="s">
        <v>7053</v>
      </c>
      <c r="L23" s="89" t="s">
        <v>6993</v>
      </c>
      <c r="M23" t="s">
        <v>7020</v>
      </c>
      <c r="N23" t="s">
        <v>7054</v>
      </c>
      <c r="O23" t="s">
        <v>7055</v>
      </c>
      <c r="P23" t="s">
        <v>7056</v>
      </c>
      <c r="Q23" t="s">
        <v>7057</v>
      </c>
      <c r="R23" t="s">
        <v>7058</v>
      </c>
      <c r="S23" t="s">
        <v>7059</v>
      </c>
      <c r="T23" t="s">
        <v>7060</v>
      </c>
      <c r="U23" t="s">
        <v>7061</v>
      </c>
      <c r="V23" s="90" t="s">
        <v>7062</v>
      </c>
    </row>
    <row r="24" spans="2:22" hidden="1">
      <c r="B24" s="76" t="s">
        <v>378</v>
      </c>
      <c r="E24" t="s">
        <v>296</v>
      </c>
      <c r="F24" t="s">
        <v>7063</v>
      </c>
      <c r="L24" s="89" t="s">
        <v>6996</v>
      </c>
      <c r="M24" t="s">
        <v>7022</v>
      </c>
      <c r="N24" t="s">
        <v>7064</v>
      </c>
      <c r="O24" t="s">
        <v>7065</v>
      </c>
      <c r="P24" t="s">
        <v>7066</v>
      </c>
      <c r="Q24" t="s">
        <v>7067</v>
      </c>
      <c r="R24" t="s">
        <v>7068</v>
      </c>
      <c r="S24" t="s">
        <v>7069</v>
      </c>
      <c r="T24" t="s">
        <v>7070</v>
      </c>
      <c r="U24" t="s">
        <v>7071</v>
      </c>
      <c r="V24" s="90" t="s">
        <v>7072</v>
      </c>
    </row>
    <row r="25" spans="2:22" hidden="1">
      <c r="E25" t="s">
        <v>296</v>
      </c>
      <c r="F25" t="s">
        <v>7073</v>
      </c>
      <c r="L25" s="89" t="s">
        <v>6998</v>
      </c>
      <c r="M25" t="s">
        <v>7023</v>
      </c>
      <c r="N25" t="s">
        <v>7074</v>
      </c>
      <c r="P25" t="s">
        <v>7075</v>
      </c>
      <c r="Q25" t="s">
        <v>7076</v>
      </c>
      <c r="R25" t="s">
        <v>7077</v>
      </c>
      <c r="S25" t="s">
        <v>7078</v>
      </c>
      <c r="T25" t="s">
        <v>7079</v>
      </c>
      <c r="U25" t="s">
        <v>7080</v>
      </c>
      <c r="V25" s="90"/>
    </row>
    <row r="26" spans="2:22" hidden="1">
      <c r="E26" t="s">
        <v>296</v>
      </c>
      <c r="F26" t="s">
        <v>7081</v>
      </c>
      <c r="L26" s="89" t="s">
        <v>7001</v>
      </c>
      <c r="M26" t="s">
        <v>7033</v>
      </c>
      <c r="N26" t="s">
        <v>7082</v>
      </c>
      <c r="P26" t="s">
        <v>7083</v>
      </c>
      <c r="Q26" t="s">
        <v>7084</v>
      </c>
      <c r="R26" t="s">
        <v>7085</v>
      </c>
      <c r="S26" t="s">
        <v>7086</v>
      </c>
      <c r="T26" t="s">
        <v>7087</v>
      </c>
      <c r="U26" t="s">
        <v>7088</v>
      </c>
      <c r="V26" s="90"/>
    </row>
    <row r="27" spans="2:22" hidden="1">
      <c r="E27" t="s">
        <v>296</v>
      </c>
      <c r="F27" t="s">
        <v>7089</v>
      </c>
      <c r="L27" s="89" t="s">
        <v>7004</v>
      </c>
      <c r="M27" t="s">
        <v>7043</v>
      </c>
      <c r="N27" t="s">
        <v>7090</v>
      </c>
      <c r="P27" t="s">
        <v>7091</v>
      </c>
      <c r="Q27" t="s">
        <v>7092</v>
      </c>
      <c r="R27" t="s">
        <v>7093</v>
      </c>
      <c r="S27" t="s">
        <v>7094</v>
      </c>
      <c r="T27" t="s">
        <v>7095</v>
      </c>
      <c r="U27" t="s">
        <v>7096</v>
      </c>
      <c r="V27" s="90"/>
    </row>
    <row r="28" spans="2:22" hidden="1">
      <c r="E28" t="s">
        <v>296</v>
      </c>
      <c r="F28" t="s">
        <v>7097</v>
      </c>
      <c r="L28" s="89" t="s">
        <v>7006</v>
      </c>
      <c r="M28" t="s">
        <v>7053</v>
      </c>
      <c r="N28" t="s">
        <v>7098</v>
      </c>
      <c r="P28" t="s">
        <v>7099</v>
      </c>
      <c r="Q28" t="s">
        <v>7100</v>
      </c>
      <c r="R28" t="s">
        <v>7101</v>
      </c>
      <c r="S28" t="s">
        <v>7102</v>
      </c>
      <c r="T28" t="s">
        <v>7103</v>
      </c>
      <c r="V28" s="90"/>
    </row>
    <row r="29" spans="2:22" hidden="1">
      <c r="E29" t="s">
        <v>296</v>
      </c>
      <c r="F29" t="s">
        <v>7104</v>
      </c>
      <c r="L29" s="92" t="s">
        <v>7009</v>
      </c>
      <c r="M29" s="93" t="s">
        <v>7063</v>
      </c>
      <c r="N29" s="93" t="s">
        <v>7105</v>
      </c>
      <c r="O29" s="93"/>
      <c r="P29" s="93" t="s">
        <v>7106</v>
      </c>
      <c r="Q29" s="93" t="s">
        <v>7107</v>
      </c>
      <c r="R29" s="93" t="s">
        <v>7108</v>
      </c>
      <c r="S29" s="93" t="s">
        <v>7109</v>
      </c>
      <c r="T29" s="93" t="s">
        <v>7110</v>
      </c>
      <c r="U29" s="93"/>
      <c r="V29" s="94"/>
    </row>
    <row r="30" spans="2:22" hidden="1">
      <c r="E30" t="s">
        <v>296</v>
      </c>
      <c r="F30" t="s">
        <v>7111</v>
      </c>
      <c r="M30" t="s">
        <v>7073</v>
      </c>
      <c r="N30" t="s">
        <v>7112</v>
      </c>
      <c r="P30" t="s">
        <v>7113</v>
      </c>
      <c r="R30" t="s">
        <v>7114</v>
      </c>
      <c r="S30" t="s">
        <v>7115</v>
      </c>
      <c r="T30" t="s">
        <v>7116</v>
      </c>
    </row>
    <row r="31" spans="2:22" hidden="1">
      <c r="E31" t="s">
        <v>296</v>
      </c>
      <c r="F31" t="s">
        <v>7117</v>
      </c>
      <c r="M31" t="s">
        <v>7081</v>
      </c>
      <c r="N31" t="s">
        <v>7118</v>
      </c>
      <c r="P31" t="s">
        <v>7119</v>
      </c>
      <c r="R31" t="s">
        <v>7120</v>
      </c>
      <c r="S31" t="s">
        <v>7121</v>
      </c>
    </row>
    <row r="32" spans="2:22" hidden="1">
      <c r="E32" t="s">
        <v>296</v>
      </c>
      <c r="F32" t="s">
        <v>7122</v>
      </c>
      <c r="M32" t="s">
        <v>7089</v>
      </c>
      <c r="P32" t="s">
        <v>7123</v>
      </c>
      <c r="R32" t="s">
        <v>7124</v>
      </c>
      <c r="S32" t="s">
        <v>7125</v>
      </c>
    </row>
    <row r="33" spans="5:18" hidden="1">
      <c r="E33" t="s">
        <v>296</v>
      </c>
      <c r="F33" t="s">
        <v>7126</v>
      </c>
      <c r="M33" t="s">
        <v>7097</v>
      </c>
      <c r="R33" t="s">
        <v>7127</v>
      </c>
    </row>
    <row r="34" spans="5:18" hidden="1">
      <c r="E34" t="s">
        <v>296</v>
      </c>
      <c r="F34" t="s">
        <v>7128</v>
      </c>
      <c r="M34" t="s">
        <v>7104</v>
      </c>
      <c r="R34" t="s">
        <v>7129</v>
      </c>
    </row>
    <row r="35" spans="5:18" hidden="1">
      <c r="E35" t="s">
        <v>6994</v>
      </c>
      <c r="F35" t="s">
        <v>7024</v>
      </c>
      <c r="M35" t="s">
        <v>7111</v>
      </c>
      <c r="R35" t="s">
        <v>7130</v>
      </c>
    </row>
    <row r="36" spans="5:18" hidden="1">
      <c r="E36" t="s">
        <v>6994</v>
      </c>
      <c r="F36" t="s">
        <v>7034</v>
      </c>
      <c r="M36" t="s">
        <v>7117</v>
      </c>
      <c r="R36" t="s">
        <v>7131</v>
      </c>
    </row>
    <row r="37" spans="5:18" hidden="1">
      <c r="E37" t="s">
        <v>6994</v>
      </c>
      <c r="F37" t="s">
        <v>7044</v>
      </c>
      <c r="M37" t="s">
        <v>7122</v>
      </c>
    </row>
    <row r="38" spans="5:18" hidden="1">
      <c r="E38" t="s">
        <v>6994</v>
      </c>
      <c r="F38" t="s">
        <v>7054</v>
      </c>
      <c r="M38" t="s">
        <v>7126</v>
      </c>
    </row>
    <row r="39" spans="5:18" hidden="1">
      <c r="E39" t="s">
        <v>6994</v>
      </c>
      <c r="F39" t="s">
        <v>7064</v>
      </c>
      <c r="M39" t="s">
        <v>7128</v>
      </c>
    </row>
    <row r="40" spans="5:18" hidden="1">
      <c r="E40" t="s">
        <v>6994</v>
      </c>
      <c r="F40" t="s">
        <v>7074</v>
      </c>
    </row>
    <row r="41" spans="5:18" hidden="1">
      <c r="E41" t="s">
        <v>6994</v>
      </c>
      <c r="F41" t="s">
        <v>7082</v>
      </c>
    </row>
    <row r="42" spans="5:18">
      <c r="E42" t="s">
        <v>6994</v>
      </c>
      <c r="F42" t="s">
        <v>7090</v>
      </c>
    </row>
    <row r="43" spans="5:18">
      <c r="E43" t="s">
        <v>6994</v>
      </c>
      <c r="F43" t="s">
        <v>7098</v>
      </c>
    </row>
    <row r="44" spans="5:18">
      <c r="E44" t="s">
        <v>6994</v>
      </c>
      <c r="F44" t="s">
        <v>7105</v>
      </c>
    </row>
    <row r="45" spans="5:18">
      <c r="E45" t="s">
        <v>6994</v>
      </c>
      <c r="F45" t="s">
        <v>7112</v>
      </c>
    </row>
    <row r="46" spans="5:18">
      <c r="E46" t="s">
        <v>6994</v>
      </c>
      <c r="F46" t="s">
        <v>7118</v>
      </c>
    </row>
    <row r="47" spans="5:18">
      <c r="E47" t="s">
        <v>6977</v>
      </c>
      <c r="F47" t="s">
        <v>7025</v>
      </c>
    </row>
    <row r="48" spans="5:18">
      <c r="E48" t="s">
        <v>6977</v>
      </c>
      <c r="F48" t="s">
        <v>7035</v>
      </c>
    </row>
    <row r="49" spans="5:6">
      <c r="E49" t="s">
        <v>6977</v>
      </c>
      <c r="F49" t="s">
        <v>7045</v>
      </c>
    </row>
    <row r="50" spans="5:6">
      <c r="E50" t="s">
        <v>6977</v>
      </c>
      <c r="F50" t="s">
        <v>7055</v>
      </c>
    </row>
    <row r="51" spans="5:6">
      <c r="E51" t="s">
        <v>6977</v>
      </c>
      <c r="F51" t="s">
        <v>7065</v>
      </c>
    </row>
    <row r="52" spans="5:6">
      <c r="E52" t="s">
        <v>6999</v>
      </c>
      <c r="F52" t="s">
        <v>7026</v>
      </c>
    </row>
    <row r="53" spans="5:6">
      <c r="E53" t="s">
        <v>6999</v>
      </c>
      <c r="F53" t="s">
        <v>7036</v>
      </c>
    </row>
    <row r="54" spans="5:6">
      <c r="E54" t="s">
        <v>6999</v>
      </c>
      <c r="F54" t="s">
        <v>7046</v>
      </c>
    </row>
    <row r="55" spans="5:6">
      <c r="E55" t="s">
        <v>6999</v>
      </c>
      <c r="F55" t="s">
        <v>7056</v>
      </c>
    </row>
    <row r="56" spans="5:6">
      <c r="E56" t="s">
        <v>6999</v>
      </c>
      <c r="F56" t="s">
        <v>7066</v>
      </c>
    </row>
    <row r="57" spans="5:6">
      <c r="E57" t="s">
        <v>6999</v>
      </c>
      <c r="F57" t="s">
        <v>7075</v>
      </c>
    </row>
    <row r="58" spans="5:6">
      <c r="E58" t="s">
        <v>6999</v>
      </c>
      <c r="F58" t="s">
        <v>7083</v>
      </c>
    </row>
    <row r="59" spans="5:6">
      <c r="E59" t="s">
        <v>6999</v>
      </c>
      <c r="F59" t="s">
        <v>7091</v>
      </c>
    </row>
    <row r="60" spans="5:6">
      <c r="E60" t="s">
        <v>6999</v>
      </c>
      <c r="F60" t="s">
        <v>7099</v>
      </c>
    </row>
    <row r="61" spans="5:6">
      <c r="E61" t="s">
        <v>6999</v>
      </c>
      <c r="F61" t="s">
        <v>7106</v>
      </c>
    </row>
    <row r="62" spans="5:6">
      <c r="E62" t="s">
        <v>6999</v>
      </c>
      <c r="F62" t="s">
        <v>7113</v>
      </c>
    </row>
    <row r="63" spans="5:6">
      <c r="E63" t="s">
        <v>6999</v>
      </c>
      <c r="F63" t="s">
        <v>7119</v>
      </c>
    </row>
    <row r="64" spans="5:6">
      <c r="E64" t="s">
        <v>6999</v>
      </c>
      <c r="F64" t="s">
        <v>7123</v>
      </c>
    </row>
    <row r="65" spans="5:6">
      <c r="E65" t="s">
        <v>7002</v>
      </c>
      <c r="F65" t="s">
        <v>7027</v>
      </c>
    </row>
    <row r="66" spans="5:6">
      <c r="E66" t="s">
        <v>7002</v>
      </c>
      <c r="F66" t="s">
        <v>7037</v>
      </c>
    </row>
    <row r="67" spans="5:6">
      <c r="E67" t="s">
        <v>7002</v>
      </c>
      <c r="F67" t="s">
        <v>7047</v>
      </c>
    </row>
    <row r="68" spans="5:6">
      <c r="E68" t="s">
        <v>7002</v>
      </c>
      <c r="F68" t="s">
        <v>7057</v>
      </c>
    </row>
    <row r="69" spans="5:6">
      <c r="E69" t="s">
        <v>7002</v>
      </c>
      <c r="F69" t="s">
        <v>7067</v>
      </c>
    </row>
    <row r="70" spans="5:6">
      <c r="E70" t="s">
        <v>7002</v>
      </c>
      <c r="F70" t="s">
        <v>7076</v>
      </c>
    </row>
    <row r="71" spans="5:6">
      <c r="E71" t="s">
        <v>7002</v>
      </c>
      <c r="F71" t="s">
        <v>7084</v>
      </c>
    </row>
    <row r="72" spans="5:6">
      <c r="E72" t="s">
        <v>7002</v>
      </c>
      <c r="F72" t="s">
        <v>7092</v>
      </c>
    </row>
    <row r="73" spans="5:6">
      <c r="E73" t="s">
        <v>7002</v>
      </c>
      <c r="F73" t="s">
        <v>7100</v>
      </c>
    </row>
    <row r="74" spans="5:6">
      <c r="E74" t="s">
        <v>7002</v>
      </c>
      <c r="F74" t="s">
        <v>7107</v>
      </c>
    </row>
    <row r="75" spans="5:6">
      <c r="E75" t="s">
        <v>7005</v>
      </c>
      <c r="F75" t="s">
        <v>7028</v>
      </c>
    </row>
    <row r="76" spans="5:6">
      <c r="E76" t="s">
        <v>7005</v>
      </c>
      <c r="F76" t="s">
        <v>7038</v>
      </c>
    </row>
    <row r="77" spans="5:6">
      <c r="E77" t="s">
        <v>7005</v>
      </c>
      <c r="F77" t="s">
        <v>7048</v>
      </c>
    </row>
    <row r="78" spans="5:6">
      <c r="E78" t="s">
        <v>7005</v>
      </c>
      <c r="F78" t="s">
        <v>7058</v>
      </c>
    </row>
    <row r="79" spans="5:6">
      <c r="E79" t="s">
        <v>7005</v>
      </c>
      <c r="F79" t="s">
        <v>7068</v>
      </c>
    </row>
    <row r="80" spans="5:6">
      <c r="E80" t="s">
        <v>7005</v>
      </c>
      <c r="F80" t="s">
        <v>7077</v>
      </c>
    </row>
    <row r="81" spans="5:6">
      <c r="E81" t="s">
        <v>7005</v>
      </c>
      <c r="F81" t="s">
        <v>7085</v>
      </c>
    </row>
    <row r="82" spans="5:6">
      <c r="E82" t="s">
        <v>7005</v>
      </c>
      <c r="F82" t="s">
        <v>7093</v>
      </c>
    </row>
    <row r="83" spans="5:6">
      <c r="E83" t="s">
        <v>7005</v>
      </c>
      <c r="F83" t="s">
        <v>7101</v>
      </c>
    </row>
    <row r="84" spans="5:6">
      <c r="E84" t="s">
        <v>7005</v>
      </c>
      <c r="F84" t="s">
        <v>7108</v>
      </c>
    </row>
    <row r="85" spans="5:6">
      <c r="E85" t="s">
        <v>7005</v>
      </c>
      <c r="F85" t="s">
        <v>7114</v>
      </c>
    </row>
    <row r="86" spans="5:6">
      <c r="E86" t="s">
        <v>7005</v>
      </c>
      <c r="F86" t="s">
        <v>7120</v>
      </c>
    </row>
    <row r="87" spans="5:6">
      <c r="E87" t="s">
        <v>7005</v>
      </c>
      <c r="F87" t="s">
        <v>7124</v>
      </c>
    </row>
    <row r="88" spans="5:6">
      <c r="E88" t="s">
        <v>7005</v>
      </c>
      <c r="F88" t="s">
        <v>7127</v>
      </c>
    </row>
    <row r="89" spans="5:6">
      <c r="E89" t="s">
        <v>7005</v>
      </c>
      <c r="F89" t="s">
        <v>7129</v>
      </c>
    </row>
    <row r="90" spans="5:6">
      <c r="E90" t="s">
        <v>7005</v>
      </c>
      <c r="F90" t="s">
        <v>7130</v>
      </c>
    </row>
    <row r="91" spans="5:6">
      <c r="E91" t="s">
        <v>7005</v>
      </c>
      <c r="F91" t="s">
        <v>7131</v>
      </c>
    </row>
    <row r="92" spans="5:6">
      <c r="E92" t="s">
        <v>7007</v>
      </c>
      <c r="F92" t="s">
        <v>7029</v>
      </c>
    </row>
    <row r="93" spans="5:6">
      <c r="E93" t="s">
        <v>7007</v>
      </c>
      <c r="F93" t="s">
        <v>7039</v>
      </c>
    </row>
    <row r="94" spans="5:6">
      <c r="E94" t="s">
        <v>7007</v>
      </c>
      <c r="F94" t="s">
        <v>7049</v>
      </c>
    </row>
    <row r="95" spans="5:6">
      <c r="E95" t="s">
        <v>7007</v>
      </c>
      <c r="F95" t="s">
        <v>7059</v>
      </c>
    </row>
    <row r="96" spans="5:6">
      <c r="E96" t="s">
        <v>7007</v>
      </c>
      <c r="F96" t="s">
        <v>7069</v>
      </c>
    </row>
    <row r="97" spans="5:6">
      <c r="E97" t="s">
        <v>7007</v>
      </c>
      <c r="F97" t="s">
        <v>7078</v>
      </c>
    </row>
    <row r="98" spans="5:6">
      <c r="E98" t="s">
        <v>7007</v>
      </c>
      <c r="F98" t="s">
        <v>7086</v>
      </c>
    </row>
    <row r="99" spans="5:6">
      <c r="E99" t="s">
        <v>7007</v>
      </c>
      <c r="F99" t="s">
        <v>7094</v>
      </c>
    </row>
    <row r="100" spans="5:6">
      <c r="E100" t="s">
        <v>7007</v>
      </c>
      <c r="F100" t="s">
        <v>7102</v>
      </c>
    </row>
    <row r="101" spans="5:6">
      <c r="E101" t="s">
        <v>7007</v>
      </c>
      <c r="F101" t="s">
        <v>7109</v>
      </c>
    </row>
    <row r="102" spans="5:6">
      <c r="E102" t="s">
        <v>7007</v>
      </c>
      <c r="F102" t="s">
        <v>7115</v>
      </c>
    </row>
    <row r="103" spans="5:6">
      <c r="E103" t="s">
        <v>7007</v>
      </c>
      <c r="F103" t="s">
        <v>7121</v>
      </c>
    </row>
    <row r="104" spans="5:6">
      <c r="E104" t="s">
        <v>7007</v>
      </c>
      <c r="F104" t="s">
        <v>7125</v>
      </c>
    </row>
    <row r="105" spans="5:6">
      <c r="E105" t="s">
        <v>7010</v>
      </c>
      <c r="F105" t="s">
        <v>7030</v>
      </c>
    </row>
    <row r="106" spans="5:6">
      <c r="E106" t="s">
        <v>7010</v>
      </c>
      <c r="F106" t="s">
        <v>7040</v>
      </c>
    </row>
    <row r="107" spans="5:6">
      <c r="E107" t="s">
        <v>7010</v>
      </c>
      <c r="F107" t="s">
        <v>7050</v>
      </c>
    </row>
    <row r="108" spans="5:6">
      <c r="E108" t="s">
        <v>7010</v>
      </c>
      <c r="F108" t="s">
        <v>7060</v>
      </c>
    </row>
    <row r="109" spans="5:6">
      <c r="E109" t="s">
        <v>7010</v>
      </c>
      <c r="F109" t="s">
        <v>7070</v>
      </c>
    </row>
    <row r="110" spans="5:6">
      <c r="E110" t="s">
        <v>7010</v>
      </c>
      <c r="F110" t="s">
        <v>7079</v>
      </c>
    </row>
    <row r="111" spans="5:6">
      <c r="E111" t="s">
        <v>7010</v>
      </c>
      <c r="F111" t="s">
        <v>7087</v>
      </c>
    </row>
    <row r="112" spans="5:6">
      <c r="E112" t="s">
        <v>7010</v>
      </c>
      <c r="F112" t="s">
        <v>7095</v>
      </c>
    </row>
    <row r="113" spans="5:6">
      <c r="E113" t="s">
        <v>7010</v>
      </c>
      <c r="F113" t="s">
        <v>7103</v>
      </c>
    </row>
    <row r="114" spans="5:6">
      <c r="E114" t="s">
        <v>7010</v>
      </c>
      <c r="F114" t="s">
        <v>7110</v>
      </c>
    </row>
    <row r="115" spans="5:6">
      <c r="E115" t="s">
        <v>7010</v>
      </c>
      <c r="F115" t="s">
        <v>7116</v>
      </c>
    </row>
    <row r="116" spans="5:6">
      <c r="E116" t="s">
        <v>7013</v>
      </c>
      <c r="F116" t="s">
        <v>7031</v>
      </c>
    </row>
    <row r="117" spans="5:6">
      <c r="E117" t="s">
        <v>7013</v>
      </c>
      <c r="F117" t="s">
        <v>7041</v>
      </c>
    </row>
    <row r="118" spans="5:6">
      <c r="E118" t="s">
        <v>7013</v>
      </c>
      <c r="F118" t="s">
        <v>7051</v>
      </c>
    </row>
    <row r="119" spans="5:6">
      <c r="E119" t="s">
        <v>7013</v>
      </c>
      <c r="F119" t="s">
        <v>7061</v>
      </c>
    </row>
    <row r="120" spans="5:6">
      <c r="E120" t="s">
        <v>7013</v>
      </c>
      <c r="F120" t="s">
        <v>7071</v>
      </c>
    </row>
    <row r="121" spans="5:6">
      <c r="E121" t="s">
        <v>7013</v>
      </c>
      <c r="F121" t="s">
        <v>7080</v>
      </c>
    </row>
    <row r="122" spans="5:6">
      <c r="E122" t="s">
        <v>7013</v>
      </c>
      <c r="F122" t="s">
        <v>7088</v>
      </c>
    </row>
    <row r="123" spans="5:6">
      <c r="E123" t="s">
        <v>7013</v>
      </c>
      <c r="F123" t="s">
        <v>7096</v>
      </c>
    </row>
    <row r="124" spans="5:6">
      <c r="E124" t="s">
        <v>7016</v>
      </c>
      <c r="F124" t="s">
        <v>7032</v>
      </c>
    </row>
    <row r="125" spans="5:6">
      <c r="E125" t="s">
        <v>7016</v>
      </c>
      <c r="F125" t="s">
        <v>7042</v>
      </c>
    </row>
    <row r="126" spans="5:6">
      <c r="E126" t="s">
        <v>7016</v>
      </c>
      <c r="F126" t="s">
        <v>7052</v>
      </c>
    </row>
    <row r="127" spans="5:6">
      <c r="E127" t="s">
        <v>7016</v>
      </c>
      <c r="F127" t="s">
        <v>7062</v>
      </c>
    </row>
    <row r="128" spans="5:6">
      <c r="E128" t="s">
        <v>7016</v>
      </c>
      <c r="F128" t="s">
        <v>7072</v>
      </c>
    </row>
  </sheetData>
  <mergeCells count="3">
    <mergeCell ref="K2:K3"/>
    <mergeCell ref="L2:P2"/>
    <mergeCell ref="Q2:AA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2991-054A-440D-8FDB-2EBA1DC2A089}">
  <dimension ref="A1:K75"/>
  <sheetViews>
    <sheetView topLeftCell="A34" workbookViewId="0">
      <selection activeCell="B58" sqref="B58"/>
    </sheetView>
  </sheetViews>
  <sheetFormatPr defaultRowHeight="12.75"/>
  <cols>
    <col min="1" max="1" width="52.42578125" bestFit="1" customWidth="1"/>
    <col min="2" max="11" width="32.140625" bestFit="1" customWidth="1"/>
  </cols>
  <sheetData>
    <row r="1" spans="1:11">
      <c r="A1" s="629" t="s">
        <v>7132</v>
      </c>
    </row>
    <row r="3" spans="1:11">
      <c r="A3" s="630" t="s">
        <v>131</v>
      </c>
    </row>
    <row r="4" spans="1:11">
      <c r="A4" s="630" t="s">
        <v>6694</v>
      </c>
    </row>
    <row r="5" spans="1:11">
      <c r="A5" s="631"/>
      <c r="B5" s="632">
        <v>2022</v>
      </c>
      <c r="C5" s="632">
        <v>2021</v>
      </c>
      <c r="D5" s="632">
        <v>2020</v>
      </c>
      <c r="E5" s="632">
        <v>2019</v>
      </c>
      <c r="F5" s="632">
        <v>2018</v>
      </c>
      <c r="G5" s="632">
        <v>2017</v>
      </c>
      <c r="H5" s="632">
        <v>2016</v>
      </c>
      <c r="I5" s="632">
        <v>2015</v>
      </c>
      <c r="J5" s="632">
        <v>2014</v>
      </c>
      <c r="K5" s="632">
        <v>2013</v>
      </c>
    </row>
    <row r="6" spans="1:11" ht="15">
      <c r="A6" s="633" t="s">
        <v>6695</v>
      </c>
      <c r="B6" s="634" t="s">
        <v>6696</v>
      </c>
      <c r="C6" s="635" t="s">
        <v>6697</v>
      </c>
      <c r="D6" s="635" t="s">
        <v>6698</v>
      </c>
      <c r="E6" s="635" t="s">
        <v>6699</v>
      </c>
      <c r="F6" s="636" t="s">
        <v>6700</v>
      </c>
      <c r="G6" s="636" t="s">
        <v>6701</v>
      </c>
      <c r="H6" s="636" t="s">
        <v>6702</v>
      </c>
      <c r="I6" s="634" t="s">
        <v>6703</v>
      </c>
      <c r="J6" s="635" t="s">
        <v>6699</v>
      </c>
      <c r="K6" s="634" t="s">
        <v>6704</v>
      </c>
    </row>
    <row r="7" spans="1:11">
      <c r="A7" s="637" t="s">
        <v>6705</v>
      </c>
      <c r="B7" s="638" t="s">
        <v>6706</v>
      </c>
      <c r="C7" s="638" t="s">
        <v>6707</v>
      </c>
      <c r="D7" s="638" t="s">
        <v>6708</v>
      </c>
      <c r="E7" s="638" t="s">
        <v>6709</v>
      </c>
      <c r="F7" s="638" t="s">
        <v>6710</v>
      </c>
      <c r="G7" s="638" t="s">
        <v>6711</v>
      </c>
      <c r="H7" s="638" t="s">
        <v>6712</v>
      </c>
      <c r="I7" s="638" t="s">
        <v>6713</v>
      </c>
      <c r="J7" s="638" t="s">
        <v>6714</v>
      </c>
      <c r="K7" s="638" t="s">
        <v>6715</v>
      </c>
    </row>
    <row r="8" spans="1:11">
      <c r="A8" s="637" t="s">
        <v>6875</v>
      </c>
      <c r="B8" s="638" t="s">
        <v>6876</v>
      </c>
      <c r="C8" s="638" t="s">
        <v>6876</v>
      </c>
      <c r="D8" s="638" t="s">
        <v>6876</v>
      </c>
      <c r="E8" s="638" t="s">
        <v>6876</v>
      </c>
      <c r="F8" s="638" t="s">
        <v>6876</v>
      </c>
      <c r="G8" s="638" t="s">
        <v>6876</v>
      </c>
      <c r="H8" s="638" t="s">
        <v>6876</v>
      </c>
      <c r="I8" s="638" t="s">
        <v>6876</v>
      </c>
      <c r="J8" s="638" t="s">
        <v>6876</v>
      </c>
      <c r="K8" s="638" t="s">
        <v>6876</v>
      </c>
    </row>
    <row r="9" spans="1:11">
      <c r="A9" s="637" t="s">
        <v>6716</v>
      </c>
      <c r="B9" s="638" t="s">
        <v>6717</v>
      </c>
      <c r="C9" s="638" t="s">
        <v>6717</v>
      </c>
      <c r="D9" s="638" t="s">
        <v>6717</v>
      </c>
      <c r="E9" s="638" t="s">
        <v>6717</v>
      </c>
      <c r="F9" s="638" t="s">
        <v>6717</v>
      </c>
      <c r="G9" s="638" t="s">
        <v>6717</v>
      </c>
      <c r="H9" s="638" t="s">
        <v>6717</v>
      </c>
      <c r="I9" s="638" t="s">
        <v>6717</v>
      </c>
      <c r="J9" s="638" t="s">
        <v>6717</v>
      </c>
      <c r="K9" s="638" t="s">
        <v>6717</v>
      </c>
    </row>
    <row r="10" spans="1:11">
      <c r="A10" s="637" t="s">
        <v>6718</v>
      </c>
      <c r="B10" s="638" t="s">
        <v>6706</v>
      </c>
      <c r="C10" s="638" t="s">
        <v>6707</v>
      </c>
      <c r="D10" s="638" t="s">
        <v>6708</v>
      </c>
      <c r="E10" s="638" t="s">
        <v>6709</v>
      </c>
      <c r="F10" s="638" t="s">
        <v>6710</v>
      </c>
      <c r="G10" s="638" t="s">
        <v>6711</v>
      </c>
      <c r="H10" s="638" t="s">
        <v>6712</v>
      </c>
      <c r="I10" s="638" t="s">
        <v>6713</v>
      </c>
      <c r="J10" s="638" t="s">
        <v>6714</v>
      </c>
      <c r="K10" s="638" t="s">
        <v>6715</v>
      </c>
    </row>
    <row r="11" spans="1:11">
      <c r="A11" s="637" t="s">
        <v>6719</v>
      </c>
      <c r="B11" s="638" t="s">
        <v>6720</v>
      </c>
      <c r="C11" s="638" t="s">
        <v>6720</v>
      </c>
      <c r="D11" s="638" t="s">
        <v>6720</v>
      </c>
      <c r="E11" s="638" t="s">
        <v>6720</v>
      </c>
      <c r="F11" s="638" t="s">
        <v>6720</v>
      </c>
      <c r="G11" s="638" t="s">
        <v>6720</v>
      </c>
      <c r="H11" s="638" t="s">
        <v>6720</v>
      </c>
      <c r="I11" s="638" t="s">
        <v>6720</v>
      </c>
      <c r="J11" s="638" t="s">
        <v>6720</v>
      </c>
      <c r="K11" s="638" t="s">
        <v>6720</v>
      </c>
    </row>
    <row r="12" spans="1:11">
      <c r="A12" s="637" t="s">
        <v>6721</v>
      </c>
      <c r="B12" s="638" t="s">
        <v>6877</v>
      </c>
      <c r="C12" s="638" t="s">
        <v>7133</v>
      </c>
      <c r="D12" s="638" t="s">
        <v>6877</v>
      </c>
      <c r="E12" s="638" t="s">
        <v>6877</v>
      </c>
      <c r="F12" s="638" t="s">
        <v>6879</v>
      </c>
      <c r="G12" s="638" t="s">
        <v>6879</v>
      </c>
      <c r="H12" s="638" t="s">
        <v>7134</v>
      </c>
      <c r="I12" s="638" t="s">
        <v>7134</v>
      </c>
      <c r="J12" s="638" t="s">
        <v>7134</v>
      </c>
      <c r="K12" s="638" t="s">
        <v>7134</v>
      </c>
    </row>
    <row r="13" spans="1:11">
      <c r="A13" s="637" t="s">
        <v>6723</v>
      </c>
      <c r="B13" s="638" t="s">
        <v>6724</v>
      </c>
      <c r="C13" s="638" t="s">
        <v>6724</v>
      </c>
      <c r="D13" s="638" t="s">
        <v>6724</v>
      </c>
      <c r="E13" s="638" t="s">
        <v>6724</v>
      </c>
      <c r="F13" s="638" t="s">
        <v>6724</v>
      </c>
      <c r="G13" s="638" t="s">
        <v>6724</v>
      </c>
      <c r="H13" s="638" t="s">
        <v>6724</v>
      </c>
      <c r="I13" s="638" t="s">
        <v>6724</v>
      </c>
      <c r="J13" s="638" t="s">
        <v>6724</v>
      </c>
      <c r="K13" s="638" t="s">
        <v>6724</v>
      </c>
    </row>
    <row r="14" spans="1:11">
      <c r="A14" s="637" t="s">
        <v>204</v>
      </c>
      <c r="B14" s="638" t="s">
        <v>6725</v>
      </c>
      <c r="C14" s="638" t="s">
        <v>6725</v>
      </c>
      <c r="D14" s="638" t="s">
        <v>6725</v>
      </c>
      <c r="E14" s="638" t="s">
        <v>6725</v>
      </c>
      <c r="F14" s="638" t="s">
        <v>6725</v>
      </c>
      <c r="G14" s="638" t="s">
        <v>6725</v>
      </c>
      <c r="H14" s="638" t="s">
        <v>6725</v>
      </c>
      <c r="I14" s="638" t="s">
        <v>6725</v>
      </c>
      <c r="J14" s="638" t="s">
        <v>6725</v>
      </c>
      <c r="K14" s="638" t="s">
        <v>6725</v>
      </c>
    </row>
    <row r="15" spans="1:11">
      <c r="A15" s="637" t="s">
        <v>6726</v>
      </c>
      <c r="B15" s="638" t="s">
        <v>6727</v>
      </c>
      <c r="C15" s="638" t="s">
        <v>6728</v>
      </c>
      <c r="D15" s="638" t="s">
        <v>6729</v>
      </c>
      <c r="E15" s="638" t="s">
        <v>6730</v>
      </c>
      <c r="F15" s="638" t="s">
        <v>6731</v>
      </c>
      <c r="G15" s="638" t="s">
        <v>6732</v>
      </c>
      <c r="H15" s="638" t="s">
        <v>6733</v>
      </c>
      <c r="I15" s="638" t="s">
        <v>6734</v>
      </c>
      <c r="J15" s="638" t="s">
        <v>6735</v>
      </c>
      <c r="K15" s="638" t="s">
        <v>6736</v>
      </c>
    </row>
    <row r="16" spans="1:11">
      <c r="A16" s="637" t="s">
        <v>6737</v>
      </c>
      <c r="B16" s="638" t="s">
        <v>6738</v>
      </c>
      <c r="C16" s="638" t="s">
        <v>6739</v>
      </c>
      <c r="D16" s="638" t="s">
        <v>6740</v>
      </c>
      <c r="E16" s="638" t="s">
        <v>6741</v>
      </c>
      <c r="F16" s="638" t="s">
        <v>6742</v>
      </c>
      <c r="G16" s="638" t="s">
        <v>6743</v>
      </c>
      <c r="H16" s="638" t="s">
        <v>6744</v>
      </c>
      <c r="I16" s="638" t="s">
        <v>6745</v>
      </c>
      <c r="J16" s="638" t="s">
        <v>6746</v>
      </c>
      <c r="K16" s="638" t="s">
        <v>6747</v>
      </c>
    </row>
    <row r="17" spans="1:11">
      <c r="A17" s="637" t="s">
        <v>6748</v>
      </c>
      <c r="B17" s="638" t="s">
        <v>6749</v>
      </c>
      <c r="C17" s="638" t="s">
        <v>6749</v>
      </c>
      <c r="D17" s="638" t="s">
        <v>6749</v>
      </c>
      <c r="E17" s="638" t="s">
        <v>6749</v>
      </c>
      <c r="F17" s="638" t="s">
        <v>6749</v>
      </c>
      <c r="G17" s="638" t="s">
        <v>6749</v>
      </c>
      <c r="H17" s="638" t="s">
        <v>6749</v>
      </c>
      <c r="I17" s="638" t="s">
        <v>6749</v>
      </c>
      <c r="J17" s="638" t="s">
        <v>6749</v>
      </c>
      <c r="K17" s="638" t="s">
        <v>6749</v>
      </c>
    </row>
    <row r="18" spans="1:11">
      <c r="A18" s="637" t="s">
        <v>6750</v>
      </c>
      <c r="B18" s="638" t="s">
        <v>6751</v>
      </c>
      <c r="C18" s="638" t="s">
        <v>6751</v>
      </c>
      <c r="D18" s="638" t="s">
        <v>6751</v>
      </c>
      <c r="E18" s="638" t="s">
        <v>6751</v>
      </c>
      <c r="F18" s="638" t="s">
        <v>6751</v>
      </c>
      <c r="G18" s="638" t="s">
        <v>6751</v>
      </c>
      <c r="H18" s="638" t="s">
        <v>6751</v>
      </c>
      <c r="I18" s="638" t="s">
        <v>6751</v>
      </c>
      <c r="J18" s="638" t="s">
        <v>6751</v>
      </c>
      <c r="K18" s="638" t="s">
        <v>6751</v>
      </c>
    </row>
    <row r="19" spans="1:11">
      <c r="A19" s="637" t="s">
        <v>6752</v>
      </c>
      <c r="B19" s="638" t="s">
        <v>6753</v>
      </c>
      <c r="C19" s="638" t="s">
        <v>6753</v>
      </c>
      <c r="D19" s="638" t="s">
        <v>6753</v>
      </c>
      <c r="E19" s="638" t="s">
        <v>6753</v>
      </c>
      <c r="F19" s="638" t="s">
        <v>6753</v>
      </c>
      <c r="G19" s="638" t="s">
        <v>6753</v>
      </c>
      <c r="H19" s="638" t="s">
        <v>6753</v>
      </c>
      <c r="I19" s="638" t="s">
        <v>6753</v>
      </c>
      <c r="J19" s="638" t="s">
        <v>6753</v>
      </c>
      <c r="K19" s="638" t="s">
        <v>6753</v>
      </c>
    </row>
    <row r="20" spans="1:11">
      <c r="A20" s="637" t="s">
        <v>6754</v>
      </c>
      <c r="B20" s="638" t="s">
        <v>6755</v>
      </c>
      <c r="C20" s="638" t="s">
        <v>6756</v>
      </c>
      <c r="D20" s="638" t="s">
        <v>6756</v>
      </c>
      <c r="E20" s="638" t="s">
        <v>6756</v>
      </c>
      <c r="F20" s="638" t="s">
        <v>6756</v>
      </c>
      <c r="G20" s="638" t="s">
        <v>6756</v>
      </c>
      <c r="H20" s="638" t="s">
        <v>6756</v>
      </c>
      <c r="I20" s="638" t="s">
        <v>6756</v>
      </c>
      <c r="J20" s="638" t="s">
        <v>6756</v>
      </c>
      <c r="K20" s="638" t="s">
        <v>6756</v>
      </c>
    </row>
    <row r="21" spans="1:11">
      <c r="A21" s="637" t="s">
        <v>6757</v>
      </c>
      <c r="B21" s="638" t="s">
        <v>6758</v>
      </c>
      <c r="C21" s="638" t="s">
        <v>6758</v>
      </c>
      <c r="D21" s="638" t="s">
        <v>6758</v>
      </c>
      <c r="E21" s="638" t="s">
        <v>6758</v>
      </c>
      <c r="F21" s="638" t="s">
        <v>6759</v>
      </c>
      <c r="G21" s="638" t="s">
        <v>6759</v>
      </c>
      <c r="H21" s="638" t="s">
        <v>6758</v>
      </c>
      <c r="I21" s="638" t="s">
        <v>6758</v>
      </c>
      <c r="J21" s="638" t="s">
        <v>6758</v>
      </c>
      <c r="K21" s="638" t="s">
        <v>6758</v>
      </c>
    </row>
    <row r="22" spans="1:11">
      <c r="A22" s="637" t="s">
        <v>6760</v>
      </c>
      <c r="B22" s="638" t="s">
        <v>6761</v>
      </c>
      <c r="C22" s="638" t="s">
        <v>6761</v>
      </c>
      <c r="D22" s="638" t="s">
        <v>6761</v>
      </c>
      <c r="E22" s="638" t="s">
        <v>6761</v>
      </c>
      <c r="F22" s="638" t="s">
        <v>6761</v>
      </c>
      <c r="G22" s="638" t="s">
        <v>6761</v>
      </c>
      <c r="H22" s="638" t="s">
        <v>6761</v>
      </c>
      <c r="I22" s="638" t="s">
        <v>6761</v>
      </c>
      <c r="J22" s="638" t="s">
        <v>6761</v>
      </c>
      <c r="K22" s="638" t="s">
        <v>6761</v>
      </c>
    </row>
    <row r="23" spans="1:11">
      <c r="A23" s="639" t="s">
        <v>7135</v>
      </c>
      <c r="B23" s="639"/>
      <c r="C23" s="639"/>
      <c r="D23" s="639"/>
      <c r="E23" s="639"/>
      <c r="F23" s="639"/>
      <c r="G23" s="639"/>
      <c r="H23" s="639"/>
      <c r="I23" s="639"/>
      <c r="J23" s="639"/>
      <c r="K23" s="639"/>
    </row>
    <row r="24" spans="1:11">
      <c r="A24" s="644" t="s">
        <v>7136</v>
      </c>
      <c r="B24" s="645">
        <v>606.70000000000005</v>
      </c>
      <c r="C24" s="645">
        <v>393.6</v>
      </c>
      <c r="D24" s="645">
        <v>300.39999999999998</v>
      </c>
      <c r="E24" s="645">
        <v>358.7</v>
      </c>
      <c r="F24" s="645">
        <v>332.5</v>
      </c>
      <c r="G24" s="645">
        <v>249.8</v>
      </c>
      <c r="H24" s="645">
        <v>196.3</v>
      </c>
      <c r="I24" s="645">
        <v>167.9</v>
      </c>
      <c r="J24" s="645">
        <v>130.1</v>
      </c>
      <c r="K24" s="645">
        <v>78.400000000000006</v>
      </c>
    </row>
    <row r="25" spans="1:11">
      <c r="A25" s="640" t="s">
        <v>7137</v>
      </c>
      <c r="B25" s="641">
        <v>264.89999999999998</v>
      </c>
      <c r="C25" s="641">
        <v>246.5</v>
      </c>
      <c r="D25" s="641">
        <v>201</v>
      </c>
      <c r="E25" s="641">
        <v>171.1</v>
      </c>
      <c r="F25" s="641">
        <v>56.5</v>
      </c>
      <c r="G25" s="641">
        <v>47.3</v>
      </c>
      <c r="H25" s="641">
        <v>32.799999999999997</v>
      </c>
      <c r="I25" s="641">
        <v>27.8</v>
      </c>
      <c r="J25" s="641">
        <v>20.399999999999999</v>
      </c>
      <c r="K25" s="641">
        <v>19.2</v>
      </c>
    </row>
    <row r="26" spans="1:11">
      <c r="A26" s="642" t="s">
        <v>6892</v>
      </c>
      <c r="B26" s="643">
        <v>264.89999999999998</v>
      </c>
      <c r="C26" s="643">
        <v>246.5</v>
      </c>
      <c r="D26" s="643">
        <v>201</v>
      </c>
      <c r="E26" s="643">
        <v>171.1</v>
      </c>
      <c r="F26" s="643">
        <v>56.5</v>
      </c>
      <c r="G26" s="643">
        <v>47.3</v>
      </c>
      <c r="H26" s="643">
        <v>32.799999999999997</v>
      </c>
      <c r="I26" s="643">
        <v>27.8</v>
      </c>
      <c r="J26" s="643">
        <v>20.399999999999999</v>
      </c>
      <c r="K26" s="643">
        <v>19.2</v>
      </c>
    </row>
    <row r="27" spans="1:11">
      <c r="A27" s="640" t="s">
        <v>7138</v>
      </c>
      <c r="B27" s="641" t="s">
        <v>6765</v>
      </c>
      <c r="C27" s="641" t="s">
        <v>6765</v>
      </c>
      <c r="D27" s="641" t="s">
        <v>6765</v>
      </c>
      <c r="E27" s="641" t="s">
        <v>6765</v>
      </c>
      <c r="F27" s="641" t="s">
        <v>6765</v>
      </c>
      <c r="G27" s="641" t="s">
        <v>6765</v>
      </c>
      <c r="H27" s="641">
        <v>8.9</v>
      </c>
      <c r="I27" s="641">
        <v>8.1999999999999993</v>
      </c>
      <c r="J27" s="641">
        <v>5.9</v>
      </c>
      <c r="K27" s="641" t="s">
        <v>6765</v>
      </c>
    </row>
    <row r="28" spans="1:11">
      <c r="A28" s="642" t="s">
        <v>7139</v>
      </c>
      <c r="B28" s="643" t="s">
        <v>6765</v>
      </c>
      <c r="C28" s="643" t="s">
        <v>6765</v>
      </c>
      <c r="D28" s="643" t="s">
        <v>6765</v>
      </c>
      <c r="E28" s="643" t="s">
        <v>6765</v>
      </c>
      <c r="F28" s="643" t="s">
        <v>6765</v>
      </c>
      <c r="G28" s="643" t="s">
        <v>6765</v>
      </c>
      <c r="H28" s="643">
        <v>8.9</v>
      </c>
      <c r="I28" s="643">
        <v>8.1999999999999993</v>
      </c>
      <c r="J28" s="643">
        <v>5.9</v>
      </c>
      <c r="K28" s="643" t="s">
        <v>6765</v>
      </c>
    </row>
    <row r="29" spans="1:11">
      <c r="A29" s="640" t="s">
        <v>7140</v>
      </c>
      <c r="B29" s="641">
        <v>204.8</v>
      </c>
      <c r="C29" s="641">
        <v>214.1</v>
      </c>
      <c r="D29" s="641">
        <v>99.4</v>
      </c>
      <c r="E29" s="641">
        <v>162.30000000000001</v>
      </c>
      <c r="F29" s="641">
        <v>111.2</v>
      </c>
      <c r="G29" s="641">
        <v>114.3</v>
      </c>
      <c r="H29" s="641">
        <v>116.9</v>
      </c>
      <c r="I29" s="641">
        <v>91.4</v>
      </c>
      <c r="J29" s="641">
        <v>81.7</v>
      </c>
      <c r="K29" s="641">
        <v>88</v>
      </c>
    </row>
    <row r="30" spans="1:11">
      <c r="A30" s="642" t="s">
        <v>6908</v>
      </c>
      <c r="B30" s="643" t="s">
        <v>6765</v>
      </c>
      <c r="C30" s="643" t="s">
        <v>6765</v>
      </c>
      <c r="D30" s="643" t="s">
        <v>6765</v>
      </c>
      <c r="E30" s="643" t="s">
        <v>6765</v>
      </c>
      <c r="F30" s="643" t="s">
        <v>6765</v>
      </c>
      <c r="G30" s="643" t="s">
        <v>6765</v>
      </c>
      <c r="H30" s="643" t="s">
        <v>6765</v>
      </c>
      <c r="I30" s="643" t="s">
        <v>6765</v>
      </c>
      <c r="J30" s="643">
        <v>0</v>
      </c>
      <c r="K30" s="643">
        <v>16</v>
      </c>
    </row>
    <row r="31" spans="1:11">
      <c r="A31" s="642" t="s">
        <v>7141</v>
      </c>
      <c r="B31" s="643" t="s">
        <v>6765</v>
      </c>
      <c r="C31" s="643" t="s">
        <v>6765</v>
      </c>
      <c r="D31" s="643" t="s">
        <v>6765</v>
      </c>
      <c r="E31" s="643" t="s">
        <v>6765</v>
      </c>
      <c r="F31" s="643" t="s">
        <v>6765</v>
      </c>
      <c r="G31" s="643" t="s">
        <v>6765</v>
      </c>
      <c r="H31" s="643" t="s">
        <v>6765</v>
      </c>
      <c r="I31" s="643" t="s">
        <v>6765</v>
      </c>
      <c r="J31" s="643" t="s">
        <v>6765</v>
      </c>
      <c r="K31" s="643">
        <v>0</v>
      </c>
    </row>
    <row r="32" spans="1:11">
      <c r="A32" s="642" t="s">
        <v>7142</v>
      </c>
      <c r="B32" s="643">
        <v>204.8</v>
      </c>
      <c r="C32" s="643">
        <v>214.1</v>
      </c>
      <c r="D32" s="643">
        <v>99.4</v>
      </c>
      <c r="E32" s="643">
        <v>162.30000000000001</v>
      </c>
      <c r="F32" s="643">
        <v>111.2</v>
      </c>
      <c r="G32" s="643">
        <v>114.3</v>
      </c>
      <c r="H32" s="643">
        <v>116.9</v>
      </c>
      <c r="I32" s="643">
        <v>91.4</v>
      </c>
      <c r="J32" s="643">
        <v>81.7</v>
      </c>
      <c r="K32" s="643">
        <v>72</v>
      </c>
    </row>
    <row r="33" spans="1:11">
      <c r="A33" s="640" t="s">
        <v>7143</v>
      </c>
      <c r="B33" s="641">
        <v>-413.8</v>
      </c>
      <c r="C33" s="641">
        <v>11.1</v>
      </c>
      <c r="D33" s="641">
        <v>-194.3</v>
      </c>
      <c r="E33" s="641">
        <v>-103.5</v>
      </c>
      <c r="F33" s="641">
        <v>-34.299999999999997</v>
      </c>
      <c r="G33" s="641">
        <v>-97.2</v>
      </c>
      <c r="H33" s="641">
        <v>-77.400000000000006</v>
      </c>
      <c r="I33" s="641">
        <v>-113.4</v>
      </c>
      <c r="J33" s="641">
        <v>-96.4</v>
      </c>
      <c r="K33" s="641">
        <v>-95.2</v>
      </c>
    </row>
    <row r="34" spans="1:11">
      <c r="A34" s="642" t="s">
        <v>6581</v>
      </c>
      <c r="B34" s="643">
        <v>-88.1</v>
      </c>
      <c r="C34" s="643">
        <v>24.7</v>
      </c>
      <c r="D34" s="643">
        <v>-8.1</v>
      </c>
      <c r="E34" s="643">
        <v>-1.1000000000000001</v>
      </c>
      <c r="F34" s="643">
        <v>-24.5</v>
      </c>
      <c r="G34" s="643">
        <v>-20.7</v>
      </c>
      <c r="H34" s="643">
        <v>-14.9</v>
      </c>
      <c r="I34" s="643">
        <v>10.6</v>
      </c>
      <c r="J34" s="643">
        <v>-10.1</v>
      </c>
      <c r="K34" s="643">
        <v>-5.6</v>
      </c>
    </row>
    <row r="35" spans="1:11">
      <c r="A35" s="642" t="s">
        <v>7144</v>
      </c>
      <c r="B35" s="643">
        <v>-120.2</v>
      </c>
      <c r="C35" s="643">
        <v>-20.6</v>
      </c>
      <c r="D35" s="643">
        <v>2.8</v>
      </c>
      <c r="E35" s="643">
        <v>-36.299999999999997</v>
      </c>
      <c r="F35" s="643">
        <v>-34.799999999999997</v>
      </c>
      <c r="G35" s="643">
        <v>-3</v>
      </c>
      <c r="H35" s="643">
        <v>-1.2</v>
      </c>
      <c r="I35" s="643">
        <v>-14.9</v>
      </c>
      <c r="J35" s="643">
        <v>-45.6</v>
      </c>
      <c r="K35" s="643">
        <v>-17.399999999999999</v>
      </c>
    </row>
    <row r="36" spans="1:11">
      <c r="A36" s="642" t="s">
        <v>6803</v>
      </c>
      <c r="B36" s="643">
        <v>163.30000000000001</v>
      </c>
      <c r="C36" s="643">
        <v>105.8</v>
      </c>
      <c r="D36" s="643">
        <v>-40.6</v>
      </c>
      <c r="E36" s="643">
        <v>23.7</v>
      </c>
      <c r="F36" s="643">
        <v>55</v>
      </c>
      <c r="G36" s="643">
        <v>40.6</v>
      </c>
      <c r="H36" s="643">
        <v>17.899999999999999</v>
      </c>
      <c r="I36" s="643">
        <v>-2.9</v>
      </c>
      <c r="J36" s="643">
        <v>5.2</v>
      </c>
      <c r="K36" s="643">
        <v>12.8</v>
      </c>
    </row>
    <row r="37" spans="1:11">
      <c r="A37" s="642" t="s">
        <v>7145</v>
      </c>
      <c r="B37" s="643">
        <v>-26.7</v>
      </c>
      <c r="C37" s="643">
        <v>48.3</v>
      </c>
      <c r="D37" s="643">
        <v>-10.6</v>
      </c>
      <c r="E37" s="643">
        <v>-2.9</v>
      </c>
      <c r="F37" s="643">
        <v>16.600000000000001</v>
      </c>
      <c r="G37" s="643">
        <v>11.3</v>
      </c>
      <c r="H37" s="643">
        <v>30.1</v>
      </c>
      <c r="I37" s="643">
        <v>12.1</v>
      </c>
      <c r="J37" s="643">
        <v>2.9</v>
      </c>
      <c r="K37" s="643">
        <v>-5.5</v>
      </c>
    </row>
    <row r="38" spans="1:11">
      <c r="A38" s="642" t="s">
        <v>7146</v>
      </c>
      <c r="B38" s="643">
        <v>-342.1</v>
      </c>
      <c r="C38" s="643">
        <v>-147.1</v>
      </c>
      <c r="D38" s="643">
        <v>-137.69999999999999</v>
      </c>
      <c r="E38" s="643">
        <v>-86.8</v>
      </c>
      <c r="F38" s="643">
        <v>-46.7</v>
      </c>
      <c r="G38" s="643">
        <v>-125.3</v>
      </c>
      <c r="H38" s="643">
        <v>-109.3</v>
      </c>
      <c r="I38" s="643">
        <v>-118.3</v>
      </c>
      <c r="J38" s="643">
        <v>-48.9</v>
      </c>
      <c r="K38" s="643">
        <v>-79.599999999999994</v>
      </c>
    </row>
    <row r="39" spans="1:11">
      <c r="A39" s="644" t="s">
        <v>7147</v>
      </c>
      <c r="B39" s="645">
        <v>662.6</v>
      </c>
      <c r="C39" s="645">
        <v>865.3</v>
      </c>
      <c r="D39" s="645">
        <v>406.5</v>
      </c>
      <c r="E39" s="645">
        <v>588.6</v>
      </c>
      <c r="F39" s="645">
        <v>465.8</v>
      </c>
      <c r="G39" s="645">
        <v>314.10000000000002</v>
      </c>
      <c r="H39" s="645">
        <v>277.5</v>
      </c>
      <c r="I39" s="645">
        <v>181.9</v>
      </c>
      <c r="J39" s="645">
        <v>141.69999999999999</v>
      </c>
      <c r="K39" s="645">
        <v>90.4</v>
      </c>
    </row>
    <row r="40" spans="1:11">
      <c r="A40" s="646"/>
      <c r="B40" s="646"/>
      <c r="C40" s="646"/>
      <c r="D40" s="646"/>
      <c r="E40" s="646"/>
      <c r="F40" s="646"/>
      <c r="G40" s="646"/>
      <c r="H40" s="646"/>
      <c r="I40" s="646"/>
      <c r="J40" s="646"/>
      <c r="K40" s="646"/>
    </row>
    <row r="41" spans="1:11">
      <c r="A41" s="639" t="s">
        <v>7148</v>
      </c>
      <c r="B41" s="639"/>
      <c r="C41" s="639"/>
      <c r="D41" s="639"/>
      <c r="E41" s="639"/>
      <c r="F41" s="639"/>
      <c r="G41" s="639"/>
      <c r="H41" s="639"/>
      <c r="I41" s="639"/>
      <c r="J41" s="639"/>
      <c r="K41" s="639"/>
    </row>
    <row r="42" spans="1:11">
      <c r="A42" s="640" t="s">
        <v>7149</v>
      </c>
      <c r="B42" s="641">
        <v>-169.9</v>
      </c>
      <c r="C42" s="641">
        <v>-131.80000000000001</v>
      </c>
      <c r="D42" s="641">
        <v>-92.6</v>
      </c>
      <c r="E42" s="641">
        <v>-123.7</v>
      </c>
      <c r="F42" s="641">
        <v>-91.9</v>
      </c>
      <c r="G42" s="641">
        <v>-73.5</v>
      </c>
      <c r="H42" s="641">
        <v>-63.3</v>
      </c>
      <c r="I42" s="641">
        <v>-67.7</v>
      </c>
      <c r="J42" s="641">
        <v>-50.2</v>
      </c>
      <c r="K42" s="641">
        <v>-34.299999999999997</v>
      </c>
    </row>
    <row r="43" spans="1:11">
      <c r="A43" s="642" t="s">
        <v>7150</v>
      </c>
      <c r="B43" s="643">
        <v>-169.9</v>
      </c>
      <c r="C43" s="643">
        <v>-131.80000000000001</v>
      </c>
      <c r="D43" s="643">
        <v>-92.6</v>
      </c>
      <c r="E43" s="643">
        <v>-123.7</v>
      </c>
      <c r="F43" s="643">
        <v>-91.9</v>
      </c>
      <c r="G43" s="643">
        <v>-73.5</v>
      </c>
      <c r="H43" s="643">
        <v>-63.3</v>
      </c>
      <c r="I43" s="643">
        <v>-67.7</v>
      </c>
      <c r="J43" s="643">
        <v>-50.2</v>
      </c>
      <c r="K43" s="643">
        <v>-34.299999999999997</v>
      </c>
    </row>
    <row r="44" spans="1:11">
      <c r="A44" s="640" t="s">
        <v>7151</v>
      </c>
      <c r="B44" s="641">
        <v>2.8</v>
      </c>
      <c r="C44" s="641">
        <v>-489.6</v>
      </c>
      <c r="D44" s="641">
        <v>2.2000000000000002</v>
      </c>
      <c r="E44" s="641">
        <v>2.8</v>
      </c>
      <c r="F44" s="641">
        <v>0.4</v>
      </c>
      <c r="G44" s="641">
        <v>1</v>
      </c>
      <c r="H44" s="641">
        <v>1</v>
      </c>
      <c r="I44" s="641">
        <v>1.5</v>
      </c>
      <c r="J44" s="641">
        <v>0.7</v>
      </c>
      <c r="K44" s="641">
        <v>9.1</v>
      </c>
    </row>
    <row r="45" spans="1:11">
      <c r="A45" s="642" t="s">
        <v>7152</v>
      </c>
      <c r="B45" s="643">
        <v>0</v>
      </c>
      <c r="C45" s="643">
        <v>-496.7</v>
      </c>
      <c r="D45" s="643" t="s">
        <v>6765</v>
      </c>
      <c r="E45" s="643" t="s">
        <v>6765</v>
      </c>
      <c r="F45" s="643" t="s">
        <v>6765</v>
      </c>
      <c r="G45" s="643" t="s">
        <v>6765</v>
      </c>
      <c r="H45" s="643" t="s">
        <v>6765</v>
      </c>
      <c r="I45" s="643" t="s">
        <v>6765</v>
      </c>
      <c r="J45" s="643" t="s">
        <v>6765</v>
      </c>
      <c r="K45" s="643" t="s">
        <v>6765</v>
      </c>
    </row>
    <row r="46" spans="1:11">
      <c r="A46" s="642" t="s">
        <v>7153</v>
      </c>
      <c r="B46" s="643">
        <v>2.8</v>
      </c>
      <c r="C46" s="643">
        <v>7.1</v>
      </c>
      <c r="D46" s="643">
        <v>2.2000000000000002</v>
      </c>
      <c r="E46" s="643">
        <v>2.8</v>
      </c>
      <c r="F46" s="643">
        <v>0.4</v>
      </c>
      <c r="G46" s="643">
        <v>1</v>
      </c>
      <c r="H46" s="643">
        <v>1</v>
      </c>
      <c r="I46" s="643">
        <v>1.5</v>
      </c>
      <c r="J46" s="643">
        <v>0.7</v>
      </c>
      <c r="K46" s="643">
        <v>2</v>
      </c>
    </row>
    <row r="47" spans="1:11">
      <c r="A47" s="642" t="s">
        <v>7154</v>
      </c>
      <c r="B47" s="643" t="s">
        <v>6765</v>
      </c>
      <c r="C47" s="643" t="s">
        <v>6765</v>
      </c>
      <c r="D47" s="643" t="s">
        <v>6765</v>
      </c>
      <c r="E47" s="643" t="s">
        <v>6765</v>
      </c>
      <c r="F47" s="643" t="s">
        <v>6765</v>
      </c>
      <c r="G47" s="643" t="s">
        <v>6765</v>
      </c>
      <c r="H47" s="643" t="s">
        <v>6765</v>
      </c>
      <c r="I47" s="643" t="s">
        <v>6765</v>
      </c>
      <c r="J47" s="643">
        <v>0</v>
      </c>
      <c r="K47" s="643">
        <v>7.1</v>
      </c>
    </row>
    <row r="48" spans="1:11">
      <c r="A48" s="644" t="s">
        <v>7155</v>
      </c>
      <c r="B48" s="645">
        <v>-167.1</v>
      </c>
      <c r="C48" s="645">
        <v>-621.4</v>
      </c>
      <c r="D48" s="645">
        <v>-90.4</v>
      </c>
      <c r="E48" s="645">
        <v>-120.8</v>
      </c>
      <c r="F48" s="645">
        <v>-91.5</v>
      </c>
      <c r="G48" s="645">
        <v>-72.5</v>
      </c>
      <c r="H48" s="645">
        <v>-62.3</v>
      </c>
      <c r="I48" s="645">
        <v>-66.2</v>
      </c>
      <c r="J48" s="645">
        <v>-49.6</v>
      </c>
      <c r="K48" s="645">
        <v>-25.2</v>
      </c>
    </row>
    <row r="49" spans="1:11">
      <c r="A49" s="646"/>
      <c r="B49" s="646"/>
      <c r="C49" s="646"/>
      <c r="D49" s="646"/>
      <c r="E49" s="646"/>
      <c r="F49" s="646"/>
      <c r="G49" s="646"/>
      <c r="H49" s="646"/>
      <c r="I49" s="646"/>
      <c r="J49" s="646"/>
      <c r="K49" s="646"/>
    </row>
    <row r="50" spans="1:11">
      <c r="A50" s="639" t="s">
        <v>7156</v>
      </c>
      <c r="B50" s="639"/>
      <c r="C50" s="639"/>
      <c r="D50" s="639"/>
      <c r="E50" s="639"/>
      <c r="F50" s="639"/>
      <c r="G50" s="639"/>
      <c r="H50" s="639"/>
      <c r="I50" s="639"/>
      <c r="J50" s="639"/>
      <c r="K50" s="639"/>
    </row>
    <row r="51" spans="1:11">
      <c r="A51" s="640" t="s">
        <v>7157</v>
      </c>
      <c r="B51" s="641">
        <v>2.9</v>
      </c>
      <c r="C51" s="641">
        <v>-0.7</v>
      </c>
      <c r="D51" s="641" t="s">
        <v>6765</v>
      </c>
      <c r="E51" s="641">
        <v>-0.8</v>
      </c>
      <c r="F51" s="641">
        <v>-0.1</v>
      </c>
      <c r="G51" s="641">
        <v>-0.8</v>
      </c>
      <c r="H51" s="641">
        <v>-2.4</v>
      </c>
      <c r="I51" s="641">
        <v>1.8</v>
      </c>
      <c r="J51" s="641">
        <v>-0.6</v>
      </c>
      <c r="K51" s="641">
        <v>-1.4</v>
      </c>
    </row>
    <row r="52" spans="1:11">
      <c r="A52" s="642" t="s">
        <v>7158</v>
      </c>
      <c r="B52" s="643">
        <v>2.9</v>
      </c>
      <c r="C52" s="643">
        <v>-0.7</v>
      </c>
      <c r="D52" s="643" t="s">
        <v>6765</v>
      </c>
      <c r="E52" s="643">
        <v>-0.8</v>
      </c>
      <c r="F52" s="643">
        <v>-0.1</v>
      </c>
      <c r="G52" s="643">
        <v>-0.8</v>
      </c>
      <c r="H52" s="643">
        <v>-2.4</v>
      </c>
      <c r="I52" s="643">
        <v>1.8</v>
      </c>
      <c r="J52" s="643">
        <v>-0.6</v>
      </c>
      <c r="K52" s="643">
        <v>-1.4</v>
      </c>
    </row>
    <row r="53" spans="1:11">
      <c r="A53" s="640" t="s">
        <v>7159</v>
      </c>
      <c r="B53" s="641">
        <v>-161</v>
      </c>
      <c r="C53" s="641">
        <v>-120.7</v>
      </c>
      <c r="D53" s="641" t="s">
        <v>6765</v>
      </c>
      <c r="E53" s="641">
        <v>-100.9</v>
      </c>
      <c r="F53" s="641">
        <v>-70.5</v>
      </c>
      <c r="G53" s="641">
        <v>-45.5</v>
      </c>
      <c r="H53" s="641">
        <v>-34.9</v>
      </c>
      <c r="I53" s="641">
        <v>-30</v>
      </c>
      <c r="J53" s="641">
        <v>-25</v>
      </c>
      <c r="K53" s="641" t="s">
        <v>6765</v>
      </c>
    </row>
    <row r="54" spans="1:11">
      <c r="A54" s="642" t="s">
        <v>7160</v>
      </c>
      <c r="B54" s="643">
        <v>-161</v>
      </c>
      <c r="C54" s="643">
        <v>-120.7</v>
      </c>
      <c r="D54" s="643" t="s">
        <v>6765</v>
      </c>
      <c r="E54" s="643">
        <v>-100.9</v>
      </c>
      <c r="F54" s="643">
        <v>-70.5</v>
      </c>
      <c r="G54" s="643">
        <v>-45.5</v>
      </c>
      <c r="H54" s="643">
        <v>-34.9</v>
      </c>
      <c r="I54" s="643">
        <v>-30</v>
      </c>
      <c r="J54" s="643">
        <v>-25</v>
      </c>
      <c r="K54" s="643" t="s">
        <v>6765</v>
      </c>
    </row>
    <row r="55" spans="1:11">
      <c r="A55" s="640" t="s">
        <v>7161</v>
      </c>
      <c r="B55" s="641">
        <v>-48.4</v>
      </c>
      <c r="C55" s="641">
        <v>0</v>
      </c>
      <c r="D55" s="641">
        <v>1.1000000000000001</v>
      </c>
      <c r="E55" s="641">
        <v>-14.4</v>
      </c>
      <c r="F55" s="641">
        <v>-131.6</v>
      </c>
      <c r="G55" s="641">
        <v>25.2</v>
      </c>
      <c r="H55" s="641">
        <v>-11.9</v>
      </c>
      <c r="I55" s="641">
        <v>1.3</v>
      </c>
      <c r="J55" s="641" t="s">
        <v>6765</v>
      </c>
      <c r="K55" s="641" t="s">
        <v>6765</v>
      </c>
    </row>
    <row r="56" spans="1:11">
      <c r="A56" s="642" t="s">
        <v>7162</v>
      </c>
      <c r="B56" s="643">
        <v>-48.4</v>
      </c>
      <c r="C56" s="643">
        <v>0</v>
      </c>
      <c r="D56" s="643">
        <v>1.1000000000000001</v>
      </c>
      <c r="E56" s="643">
        <v>-14.4</v>
      </c>
      <c r="F56" s="643">
        <v>-131.6</v>
      </c>
      <c r="G56" s="643">
        <v>25.2</v>
      </c>
      <c r="H56" s="643">
        <v>-11.9</v>
      </c>
      <c r="I56" s="643">
        <v>1.3</v>
      </c>
      <c r="J56" s="643" t="s">
        <v>6765</v>
      </c>
      <c r="K56" s="643" t="s">
        <v>6765</v>
      </c>
    </row>
    <row r="57" spans="1:11">
      <c r="A57" s="640" t="s">
        <v>7163</v>
      </c>
      <c r="B57" s="641">
        <v>-184.9</v>
      </c>
      <c r="C57" s="641">
        <v>-223.8</v>
      </c>
      <c r="D57" s="641">
        <v>-152.69999999999999</v>
      </c>
      <c r="E57" s="641">
        <v>-127.7</v>
      </c>
      <c r="F57" s="641">
        <v>-17.5</v>
      </c>
      <c r="G57" s="641">
        <v>-62</v>
      </c>
      <c r="H57" s="641">
        <v>-68.599999999999994</v>
      </c>
      <c r="I57" s="641">
        <v>-61.2</v>
      </c>
      <c r="J57" s="641">
        <v>-43.4</v>
      </c>
      <c r="K57" s="641">
        <v>-47.6</v>
      </c>
    </row>
    <row r="58" spans="1:11">
      <c r="A58" s="642" t="s">
        <v>7164</v>
      </c>
      <c r="B58" s="643">
        <v>-2.6</v>
      </c>
      <c r="C58" s="643">
        <v>-44.8</v>
      </c>
      <c r="D58" s="643">
        <v>-15.7</v>
      </c>
      <c r="E58" s="643">
        <v>-10.9</v>
      </c>
      <c r="F58" s="643">
        <v>-15.3</v>
      </c>
      <c r="G58" s="643">
        <v>0</v>
      </c>
      <c r="H58" s="643">
        <v>0</v>
      </c>
      <c r="I58" s="643">
        <v>-29.4</v>
      </c>
      <c r="J58" s="643">
        <v>-26.8</v>
      </c>
      <c r="K58" s="643">
        <v>21.4</v>
      </c>
    </row>
    <row r="59" spans="1:11">
      <c r="A59" s="642" t="s">
        <v>7165</v>
      </c>
      <c r="B59" s="643" t="s">
        <v>6765</v>
      </c>
      <c r="C59" s="643" t="s">
        <v>6765</v>
      </c>
      <c r="D59" s="643" t="s">
        <v>6765</v>
      </c>
      <c r="E59" s="643" t="s">
        <v>6765</v>
      </c>
      <c r="F59" s="643">
        <v>0</v>
      </c>
      <c r="G59" s="643">
        <v>0.1</v>
      </c>
      <c r="H59" s="643">
        <v>0</v>
      </c>
      <c r="I59" s="643">
        <v>37.799999999999997</v>
      </c>
      <c r="J59" s="643">
        <v>155.1</v>
      </c>
      <c r="K59" s="643">
        <v>139.9</v>
      </c>
    </row>
    <row r="60" spans="1:11">
      <c r="A60" s="642" t="s">
        <v>7166</v>
      </c>
      <c r="B60" s="643">
        <v>-182.3</v>
      </c>
      <c r="C60" s="643">
        <v>-178.9</v>
      </c>
      <c r="D60" s="643">
        <v>-136.9</v>
      </c>
      <c r="E60" s="643">
        <v>-116.8</v>
      </c>
      <c r="F60" s="643">
        <v>-2.2000000000000002</v>
      </c>
      <c r="G60" s="643">
        <v>-62.1</v>
      </c>
      <c r="H60" s="643">
        <v>-68.599999999999994</v>
      </c>
      <c r="I60" s="643">
        <v>-69.7</v>
      </c>
      <c r="J60" s="643">
        <v>-171.7</v>
      </c>
      <c r="K60" s="643">
        <v>-208.8</v>
      </c>
    </row>
    <row r="61" spans="1:11">
      <c r="A61" s="642" t="s">
        <v>7167</v>
      </c>
      <c r="B61" s="643">
        <v>-182.3</v>
      </c>
      <c r="C61" s="643">
        <v>-178.9</v>
      </c>
      <c r="D61" s="643">
        <v>-136.9</v>
      </c>
      <c r="E61" s="643">
        <v>-116.8</v>
      </c>
      <c r="F61" s="643">
        <v>-2.2000000000000002</v>
      </c>
      <c r="G61" s="643">
        <v>-62</v>
      </c>
      <c r="H61" s="643">
        <v>-68.599999999999994</v>
      </c>
      <c r="I61" s="643">
        <v>-31.9</v>
      </c>
      <c r="J61" s="643">
        <v>-16.7</v>
      </c>
      <c r="K61" s="643">
        <v>-69</v>
      </c>
    </row>
    <row r="62" spans="1:11">
      <c r="A62" s="644" t="s">
        <v>7168</v>
      </c>
      <c r="B62" s="645">
        <v>-391.3</v>
      </c>
      <c r="C62" s="645">
        <v>-345.2</v>
      </c>
      <c r="D62" s="645">
        <v>-151.5</v>
      </c>
      <c r="E62" s="645">
        <v>-243.8</v>
      </c>
      <c r="F62" s="645">
        <v>-219.6</v>
      </c>
      <c r="G62" s="645">
        <v>-83</v>
      </c>
      <c r="H62" s="645">
        <v>-117.8</v>
      </c>
      <c r="I62" s="645">
        <v>-88.2</v>
      </c>
      <c r="J62" s="645">
        <v>-69</v>
      </c>
      <c r="K62" s="645">
        <v>-49</v>
      </c>
    </row>
    <row r="63" spans="1:11">
      <c r="A63" s="646"/>
      <c r="B63" s="646"/>
      <c r="C63" s="646"/>
      <c r="D63" s="646"/>
      <c r="E63" s="646"/>
      <c r="F63" s="646"/>
      <c r="G63" s="646"/>
      <c r="H63" s="646"/>
      <c r="I63" s="646"/>
      <c r="J63" s="646"/>
      <c r="K63" s="646"/>
    </row>
    <row r="64" spans="1:11">
      <c r="A64" s="644" t="s">
        <v>7169</v>
      </c>
      <c r="B64" s="645">
        <v>-24.7</v>
      </c>
      <c r="C64" s="645">
        <v>-19.5</v>
      </c>
      <c r="D64" s="645">
        <v>-0.1</v>
      </c>
      <c r="E64" s="645">
        <v>-11.1</v>
      </c>
      <c r="F64" s="645">
        <v>-2.6</v>
      </c>
      <c r="G64" s="645">
        <v>-7.9</v>
      </c>
      <c r="H64" s="645">
        <v>-0.1</v>
      </c>
      <c r="I64" s="645">
        <v>-3.8</v>
      </c>
      <c r="J64" s="645" t="s">
        <v>6765</v>
      </c>
      <c r="K64" s="645" t="s">
        <v>6765</v>
      </c>
    </row>
    <row r="65" spans="1:11">
      <c r="A65" s="644" t="s">
        <v>7170</v>
      </c>
      <c r="B65" s="645">
        <v>79.5</v>
      </c>
      <c r="C65" s="645">
        <v>-120.8</v>
      </c>
      <c r="D65" s="645">
        <v>164.4</v>
      </c>
      <c r="E65" s="645">
        <v>212.8</v>
      </c>
      <c r="F65" s="645">
        <v>152.1</v>
      </c>
      <c r="G65" s="645">
        <v>150.80000000000001</v>
      </c>
      <c r="H65" s="645">
        <v>97.3</v>
      </c>
      <c r="I65" s="645">
        <v>23.7</v>
      </c>
      <c r="J65" s="645">
        <v>23.1</v>
      </c>
      <c r="K65" s="645">
        <v>16.2</v>
      </c>
    </row>
    <row r="66" spans="1:11">
      <c r="A66" s="646"/>
      <c r="B66" s="646"/>
      <c r="C66" s="646"/>
      <c r="D66" s="646"/>
      <c r="E66" s="646"/>
      <c r="F66" s="646"/>
      <c r="G66" s="646"/>
      <c r="H66" s="646"/>
      <c r="I66" s="646"/>
      <c r="J66" s="646"/>
      <c r="K66" s="646"/>
    </row>
    <row r="67" spans="1:11">
      <c r="A67" s="644" t="s">
        <v>7171</v>
      </c>
      <c r="B67" s="645">
        <v>802.7</v>
      </c>
      <c r="C67" s="645">
        <v>923.5</v>
      </c>
      <c r="D67" s="645">
        <v>759.1</v>
      </c>
      <c r="E67" s="645">
        <v>546.29999999999995</v>
      </c>
      <c r="F67" s="645">
        <v>394.1</v>
      </c>
      <c r="G67" s="645">
        <v>243.4</v>
      </c>
      <c r="H67" s="645">
        <v>146.1</v>
      </c>
      <c r="I67" s="645">
        <v>122.4</v>
      </c>
      <c r="J67" s="645">
        <v>99.3</v>
      </c>
      <c r="K67" s="645">
        <v>83.1</v>
      </c>
    </row>
    <row r="68" spans="1:11">
      <c r="A68" s="644" t="s">
        <v>7172</v>
      </c>
      <c r="B68" s="645">
        <v>882.3</v>
      </c>
      <c r="C68" s="645">
        <v>802.7</v>
      </c>
      <c r="D68" s="645">
        <v>923.5</v>
      </c>
      <c r="E68" s="645">
        <v>759.1</v>
      </c>
      <c r="F68" s="645">
        <v>546.29999999999995</v>
      </c>
      <c r="G68" s="645">
        <v>394.1</v>
      </c>
      <c r="H68" s="645">
        <v>243.4</v>
      </c>
      <c r="I68" s="645">
        <v>146.1</v>
      </c>
      <c r="J68" s="645">
        <v>122.4</v>
      </c>
      <c r="K68" s="645">
        <v>99.3</v>
      </c>
    </row>
    <row r="69" spans="1:11">
      <c r="A69" s="644" t="s">
        <v>7173</v>
      </c>
      <c r="B69" s="645" t="s">
        <v>6765</v>
      </c>
      <c r="C69" s="645" t="s">
        <v>6765</v>
      </c>
      <c r="D69" s="645" t="s">
        <v>6765</v>
      </c>
      <c r="E69" s="645" t="s">
        <v>6765</v>
      </c>
      <c r="F69" s="645">
        <v>0.2</v>
      </c>
      <c r="G69" s="645">
        <v>0.8</v>
      </c>
      <c r="H69" s="645">
        <v>1.9</v>
      </c>
      <c r="I69" s="645">
        <v>4.0999999999999996</v>
      </c>
      <c r="J69" s="645">
        <v>10</v>
      </c>
      <c r="K69" s="645">
        <v>14.5</v>
      </c>
    </row>
    <row r="70" spans="1:11">
      <c r="A70" s="644" t="s">
        <v>7174</v>
      </c>
      <c r="B70" s="645">
        <v>342.1</v>
      </c>
      <c r="C70" s="645">
        <v>146.69999999999999</v>
      </c>
      <c r="D70" s="645">
        <v>136.9</v>
      </c>
      <c r="E70" s="645">
        <v>86.9</v>
      </c>
      <c r="F70" s="645">
        <v>46.5</v>
      </c>
      <c r="G70" s="645">
        <v>124.6</v>
      </c>
      <c r="H70" s="645">
        <v>107.9</v>
      </c>
      <c r="I70" s="645">
        <v>114.4</v>
      </c>
      <c r="J70" s="645">
        <v>39.299999999999997</v>
      </c>
      <c r="K70" s="645">
        <v>65.7</v>
      </c>
    </row>
    <row r="71" spans="1:11">
      <c r="A71" s="644" t="s">
        <v>7175</v>
      </c>
      <c r="B71" s="645">
        <v>-170.5</v>
      </c>
      <c r="C71" s="645">
        <v>-146.30000000000001</v>
      </c>
      <c r="D71" s="645">
        <v>-136.9</v>
      </c>
      <c r="E71" s="645">
        <v>-116.8</v>
      </c>
      <c r="F71" s="645" t="s">
        <v>6765</v>
      </c>
      <c r="G71" s="645" t="s">
        <v>6765</v>
      </c>
      <c r="H71" s="645" t="s">
        <v>6765</v>
      </c>
      <c r="I71" s="645" t="s">
        <v>6765</v>
      </c>
      <c r="J71" s="645" t="s">
        <v>6765</v>
      </c>
      <c r="K71" s="645" t="s">
        <v>6765</v>
      </c>
    </row>
    <row r="72" spans="1:11">
      <c r="A72" s="644" t="s">
        <v>7176</v>
      </c>
      <c r="B72" s="645">
        <v>36.9</v>
      </c>
      <c r="C72" s="645">
        <v>28.4</v>
      </c>
      <c r="D72" s="645" t="s">
        <v>6765</v>
      </c>
      <c r="E72" s="645" t="s">
        <v>6765</v>
      </c>
      <c r="F72" s="645" t="s">
        <v>6765</v>
      </c>
      <c r="G72" s="645" t="s">
        <v>6765</v>
      </c>
      <c r="H72" s="645" t="s">
        <v>6765</v>
      </c>
      <c r="I72" s="645" t="s">
        <v>6765</v>
      </c>
      <c r="J72" s="645" t="s">
        <v>6765</v>
      </c>
      <c r="K72" s="645" t="s">
        <v>6765</v>
      </c>
    </row>
    <row r="73" spans="1:11">
      <c r="A73" s="644" t="s">
        <v>7177</v>
      </c>
      <c r="B73" s="645">
        <v>-71.7</v>
      </c>
      <c r="C73" s="645">
        <v>158.19999999999999</v>
      </c>
      <c r="D73" s="645">
        <v>-56.5</v>
      </c>
      <c r="E73" s="645">
        <v>-16.7</v>
      </c>
      <c r="F73" s="645">
        <v>12.4</v>
      </c>
      <c r="G73" s="645">
        <v>28.2</v>
      </c>
      <c r="H73" s="645">
        <v>31.9</v>
      </c>
      <c r="I73" s="645">
        <v>4.9000000000000004</v>
      </c>
      <c r="J73" s="645">
        <v>-47.5</v>
      </c>
      <c r="K73" s="645">
        <v>-15.6</v>
      </c>
    </row>
    <row r="74" spans="1:11">
      <c r="A74" s="648"/>
    </row>
    <row r="75" spans="1:11">
      <c r="A75" s="630" t="s">
        <v>7178</v>
      </c>
      <c r="B75" s="645">
        <v>492.7</v>
      </c>
      <c r="C75" s="645">
        <v>733.5</v>
      </c>
      <c r="D75" s="645">
        <v>313.89999999999998</v>
      </c>
      <c r="E75" s="645">
        <v>464.9</v>
      </c>
      <c r="F75" s="645">
        <v>373.9</v>
      </c>
      <c r="G75" s="645">
        <v>240.6</v>
      </c>
      <c r="H75" s="645">
        <v>214.2</v>
      </c>
      <c r="I75" s="645">
        <v>114.2</v>
      </c>
      <c r="J75" s="645">
        <v>91.5</v>
      </c>
      <c r="K75" s="645">
        <v>56.1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5A23753-5FB2-4D97-BB34-9F17A23FF369}"/>
</file>

<file path=customXml/itemProps2.xml><?xml version="1.0" encoding="utf-8"?>
<ds:datastoreItem xmlns:ds="http://schemas.openxmlformats.org/officeDocument/2006/customXml" ds:itemID="{A881089C-6E2A-4FD7-A402-55E9C86C97B5}"/>
</file>

<file path=customXml/itemProps3.xml><?xml version="1.0" encoding="utf-8"?>
<ds:datastoreItem xmlns:ds="http://schemas.openxmlformats.org/officeDocument/2006/customXml" ds:itemID="{E4E33FEE-1117-4802-A5BB-FA073D1C6E04}"/>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2025-01-20T17:00:40Z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